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工作\朝阳区曙光西里甲5号院3栋办公楼\"/>
    </mc:Choice>
  </mc:AlternateContent>
  <xr:revisionPtr revIDLastSave="0" documentId="13_ncr:1_{BE58F310-B23E-417C-BD51-A614CC4A27E4}" xr6:coauthVersionLast="47" xr6:coauthVersionMax="47" xr10:uidLastSave="{00000000-0000-0000-0000-000000000000}"/>
  <bookViews>
    <workbookView xWindow="-120" yWindow="-120" windowWidth="29040" windowHeight="15840"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年收益" sheetId="81" r:id="rId25"/>
    <sheet name="2_出租明细" sheetId="82" r:id="rId26"/>
    <sheet name="租赁台账" sheetId="83"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2">#REF!</definedName>
    <definedName name="_DAT12">#REF!</definedName>
    <definedName name="_DPU2003">#REF!</definedName>
    <definedName name="_DPU2004">#REF!</definedName>
    <definedName name="_DPU2005">#REF!</definedName>
    <definedName name="_DPU2006">#REF!</definedName>
    <definedName name="_DPU2007">#REF!</definedName>
    <definedName name="_Fill" hidden="1">[4]CP!#REF!</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Key1" hidden="1">#REF!</definedName>
    <definedName name="_LP1">[5]Assumptions!$C$31</definedName>
    <definedName name="_Order1" hidden="1">255</definedName>
    <definedName name="_qw1">'[6]Cashflow(Scenario)'!$C$30</definedName>
    <definedName name="_Sort" hidden="1">#REF!</definedName>
    <definedName name="_Table2_In2" hidden="1">#REF!</definedName>
    <definedName name="A">#REF!</definedName>
    <definedName name="aa">#REF!</definedName>
    <definedName name="AdjustedITSD">#REF!</definedName>
    <definedName name="akak">'[7]Cashflow(Scenario)'!$C$30</definedName>
    <definedName name="ALBERT_COMPLEX">#REF!</definedName>
    <definedName name="as">#REF!</definedName>
    <definedName name="asset_value">#REF!</definedName>
    <definedName name="B">#REF!</definedName>
    <definedName name="BS">#REF!</definedName>
    <definedName name="budget" hidden="1">{#N/A,#N/A,FALSE,"SOO";#N/A,#N/A,FALSE,"NOTES"}</definedName>
    <definedName name="BUGIS_VILLAGE">#REF!</definedName>
    <definedName name="CAIRNHILL_PLACE">#REF!</definedName>
    <definedName name="ChAC">#REF!</definedName>
    <definedName name="CHANGSHA">#REF!</definedName>
    <definedName name="ChBV">#REF!</definedName>
    <definedName name="CMTGearing2003">#REF!</definedName>
    <definedName name="cnfa">[5]Assumptions!#REF!</definedName>
    <definedName name="Credcard_Income_Growth">#REF!</definedName>
    <definedName name="CUPPAGE_TERRACE">#REF!</definedName>
    <definedName name="D">#REF!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C">[5]Assumptions!#REF!</definedName>
    <definedName name="ddd">'[8]P&amp;L'!#REF!</definedName>
    <definedName name="DDDDD">#REF!</definedName>
    <definedName name="DE" hidden="1">[9]CP!#REF!</definedName>
    <definedName name="delete" hidden="1">{#N/A,#N/A,FALSE,"SOO";#N/A,#N/A,FALSE,"NOTES"}</definedName>
    <definedName name="delete1" hidden="1">{#N/A,#N/A,FALSE,"SOO";#N/A,#N/A,FALSE,"NOTES"}</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'[10]Cashflow(Scenario)'!$C$30</definedName>
    <definedName name="eq">'[7]Cashflow(Scenario)'!$C$30</definedName>
    <definedName name="equ">'[6]Cashflow(Scenario)'!$C$30</definedName>
    <definedName name="Equity_IRR">'[6]Cashflow(Scenario)'!$C$30</definedName>
    <definedName name="er">'[11]Cashflow(Scenario)'!$C$30</definedName>
    <definedName name="F">#REF!</definedName>
    <definedName name="Gearing">#REF!</definedName>
    <definedName name="Gearinglevel">#REF!</definedName>
    <definedName name="GFA">[5]Assumptions!#REF!</definedName>
    <definedName name="ggg">year</definedName>
    <definedName name="Growth" hidden="1">{#N/A,#N/A,FALSE,"COST";#N/A,#N/A,FALSE,"INCOME";#N/A,#N/A,FALSE,"INTEREST";#N/A,#N/A,FALSE,"TAX &amp; CAM"}</definedName>
    <definedName name="GrowthRateRange">#REF!</definedName>
    <definedName name="H">#REF!</definedName>
    <definedName name="Ha" hidden="1">{#N/A,#N/A,FALSE,"COST";#N/A,#N/A,FALSE,"INCOME";#N/A,#N/A,FALSE,"INTEREST";#N/A,#N/A,FALSE,"LAND SALE"}</definedName>
    <definedName name="I">#REF!</definedName>
    <definedName name="if">#REF!</definedName>
    <definedName name="io">#REF!</definedName>
    <definedName name="IR">[5]Assumptions!$D$21</definedName>
    <definedName name="IRR">'[7]Cashflow(Scenario)'!$C$30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MAP">'[12]Cashflow(Scenario)'!$C$30</definedName>
    <definedName name="Marcom">'[12]Cashflow(Scenario)'!$C$30</definedName>
    <definedName name="MD">[5]Assumptions!#REF!</definedName>
    <definedName name="NAME_OF_PROPERTY_项目__嘉信茂广场·雨花亭">#REF!</definedName>
    <definedName name="NFA">[5]Assumptions!#REF!</definedName>
    <definedName name="Note6">'[12]Cashflow(Scenario)'!$C$30</definedName>
    <definedName name="NOTES">#REF!</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#REF!</definedName>
    <definedName name="Opex_Growth">#REF!</definedName>
    <definedName name="opi" hidden="1">{#N/A,#N/A,FALSE,"Assump";#N/A,#N/A,FALSE,"ROR_Sum";#N/A,#N/A,FALSE,"SF_Financial";#N/A,#N/A,FALSE,"CF_Sales";#N/A,#N/A,FALSE,"Approvals"}</definedName>
    <definedName name="OR">[13]Sheet2!#REF!</definedName>
    <definedName name="ORCHARD_POINT">#REF!</definedName>
    <definedName name="Other_Income_Growth">#REF!</definedName>
    <definedName name="P_EBITDAP">#REF!</definedName>
    <definedName name="P_EBITDAT">#REF!</definedName>
    <definedName name="P_L">#REF!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MISFEE">#REF!</definedName>
    <definedName name="PNL" hidden="1">#REF!</definedName>
    <definedName name="po">#REF!</definedName>
    <definedName name="ppms">#REF!</definedName>
    <definedName name="print" hidden="1">{#N/A,#N/A,FALSE,"COST";#N/A,#N/A,FALSE,"INCOME";#N/A,#N/A,FALSE,"INTEREST";#N/A,#N/A,FALSE,"TAX &amp; CAM"}</definedName>
    <definedName name="_xlnm.Print_Area" localSheetId="25">'2_出租明细'!$A$1:$M$499</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#REF!</definedName>
    <definedName name="q">'[7]Cashflow(Scenario)'!$C$30</definedName>
    <definedName name="qw">'[11]Cashflow(Scenario)'!$C$30</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[5]Assumptions!#REF!</definedName>
    <definedName name="rt">'[11]Cashflow(Scenario)'!$C$30</definedName>
    <definedName name="S">#REF!</definedName>
    <definedName name="SAM">#REF!</definedName>
    <definedName name="SAMPLES">#REF!</definedName>
    <definedName name="Sc1B">[5]Scenarios!#REF!</definedName>
    <definedName name="Sc1C">[5]Scenarios!#REF!</definedName>
    <definedName name="SMA_HOUSE">#REF!</definedName>
    <definedName name="soo" hidden="1">{#N/A,#N/A,FALSE,"COST";#N/A,#N/A,FALSE,"INCOME";#N/A,#N/A,FALSE,"INTEREST";#N/A,#N/A,FALSE,"TAX &amp; CAM"}</definedName>
    <definedName name="spec">#REF!</definedName>
    <definedName name="TB">#REF!</definedName>
    <definedName name="Tenant_Type">#REF!</definedName>
    <definedName name="TEST0">#REF!</definedName>
    <definedName name="TESTHKEY">#REF!</definedName>
    <definedName name="TESTKEYS">#REF!</definedName>
    <definedName name="TESTVKEY">#REF!</definedName>
    <definedName name="timing">#REF!</definedName>
    <definedName name="TotalCMTGearing2003">#REF!</definedName>
    <definedName name="ty">'[11]Cashflow(Scenario)'!$C$30</definedName>
    <definedName name="uy">#REF!</definedName>
    <definedName name="w">'[10]Cashflow(Scenario)'!$C$30</definedName>
    <definedName name="WarehseRentalGrowth_evy2yr">#REF!</definedName>
    <definedName name="we">'[11]Cashflow(Scenario)'!$C$30</definedName>
    <definedName name="wq_2">year</definedName>
    <definedName name="wqq_1">'[14]Cashflow(Scenario)'!$C$30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year</definedName>
    <definedName name="Year_Of__Assessment_2003">year</definedName>
    <definedName name="yy">year</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发票">'[8]P&amp;L'!$A$1:$EC$1</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'[12]Cashflow(Scenario)'!$C$30</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81029" iterate="1"/>
</workbook>
</file>

<file path=xl/calcChain.xml><?xml version="1.0" encoding="utf-8"?>
<calcChain xmlns="http://schemas.openxmlformats.org/spreadsheetml/2006/main">
  <c r="L29" i="80" l="1"/>
  <c r="M29" i="80"/>
  <c r="M25" i="80"/>
  <c r="M26" i="80"/>
  <c r="M27" i="80"/>
  <c r="M28" i="80"/>
  <c r="M24" i="80"/>
  <c r="L28" i="80"/>
  <c r="L27" i="80"/>
  <c r="L26" i="80"/>
  <c r="L24" i="80"/>
  <c r="U9" i="83" l="1"/>
  <c r="V9" i="83" s="1"/>
  <c r="U13" i="83"/>
  <c r="U17" i="83"/>
  <c r="U532" i="83" s="1"/>
  <c r="U533" i="83" s="1"/>
  <c r="U29" i="83"/>
  <c r="U34" i="83"/>
  <c r="U39" i="83"/>
  <c r="U47" i="83"/>
  <c r="U55" i="83"/>
  <c r="U64" i="83"/>
  <c r="U68" i="83"/>
  <c r="U71" i="83"/>
  <c r="U74" i="83"/>
  <c r="U85" i="83"/>
  <c r="U94" i="83"/>
  <c r="U97" i="83"/>
  <c r="U102" i="83"/>
  <c r="U103" i="83"/>
  <c r="U116" i="83"/>
  <c r="U125" i="83"/>
  <c r="U131" i="83"/>
  <c r="U145" i="83"/>
  <c r="U150" i="83"/>
  <c r="U154" i="83"/>
  <c r="U160" i="83"/>
  <c r="U164" i="83"/>
  <c r="U167" i="83"/>
  <c r="U172" i="83"/>
  <c r="U185" i="83"/>
  <c r="U187" i="83"/>
  <c r="U190" i="83"/>
  <c r="U200" i="83"/>
  <c r="U212" i="83"/>
  <c r="U216" i="83"/>
  <c r="U220" i="83"/>
  <c r="U226" i="83"/>
  <c r="U229" i="83"/>
  <c r="U231" i="83"/>
  <c r="U241" i="83"/>
  <c r="U244" i="83"/>
  <c r="U250" i="83"/>
  <c r="U251" i="83"/>
  <c r="U257" i="83"/>
  <c r="U264" i="83"/>
  <c r="U279" i="83"/>
  <c r="U287" i="83"/>
  <c r="U288" i="83"/>
  <c r="U292" i="83"/>
  <c r="U297" i="83"/>
  <c r="U309" i="83"/>
  <c r="U310" i="83"/>
  <c r="U320" i="83"/>
  <c r="U323" i="83"/>
  <c r="U328" i="83"/>
  <c r="U333" i="83"/>
  <c r="U335" i="83"/>
  <c r="U340" i="83"/>
  <c r="U346" i="83"/>
  <c r="U351" i="83"/>
  <c r="U356" i="83"/>
  <c r="U358" i="83"/>
  <c r="U364" i="83"/>
  <c r="U369" i="83"/>
  <c r="U379" i="83"/>
  <c r="U383" i="83"/>
  <c r="U390" i="83"/>
  <c r="U397" i="83"/>
  <c r="U406" i="83"/>
  <c r="U415" i="83"/>
  <c r="U425" i="83"/>
  <c r="U438" i="83"/>
  <c r="U441" i="83"/>
  <c r="U446" i="83"/>
  <c r="U455" i="83"/>
  <c r="U459" i="83"/>
  <c r="U462" i="83"/>
  <c r="U468" i="83"/>
  <c r="U470" i="83"/>
  <c r="U478" i="83"/>
  <c r="U481" i="83"/>
  <c r="U486" i="83"/>
  <c r="U487" i="83"/>
  <c r="U490" i="83"/>
  <c r="U494" i="83"/>
  <c r="U499" i="83"/>
  <c r="U505" i="83"/>
  <c r="U511" i="83"/>
  <c r="U515" i="83"/>
  <c r="U520" i="83"/>
  <c r="U525" i="83"/>
  <c r="U528" i="83"/>
  <c r="U531" i="83"/>
  <c r="G146" i="82"/>
  <c r="C147" i="82"/>
  <c r="C146" i="82"/>
  <c r="F145" i="82"/>
  <c r="G145" i="82" s="1"/>
  <c r="C145" i="82"/>
  <c r="F147" i="82"/>
  <c r="F148" i="82" s="1"/>
  <c r="F146" i="82"/>
  <c r="G144" i="82"/>
  <c r="G143" i="82"/>
  <c r="G142" i="82"/>
  <c r="G141" i="82"/>
  <c r="G140" i="82"/>
  <c r="G139" i="82"/>
  <c r="G138" i="82"/>
  <c r="G137" i="82"/>
  <c r="G136" i="82"/>
  <c r="G135" i="82"/>
  <c r="G134" i="82"/>
  <c r="G133" i="82"/>
  <c r="G132" i="82"/>
  <c r="G131" i="82"/>
  <c r="G130" i="82"/>
  <c r="G129" i="82"/>
  <c r="G128" i="82"/>
  <c r="G127" i="82"/>
  <c r="G126" i="82"/>
  <c r="G125" i="82"/>
  <c r="G124" i="82"/>
  <c r="G123" i="82"/>
  <c r="G122" i="82"/>
  <c r="G121" i="82"/>
  <c r="G120" i="82"/>
  <c r="G119" i="82"/>
  <c r="G118" i="82"/>
  <c r="G117" i="82"/>
  <c r="G116" i="82"/>
  <c r="G115" i="82"/>
  <c r="G114" i="82"/>
  <c r="G113" i="82"/>
  <c r="G112" i="82"/>
  <c r="G111" i="82"/>
  <c r="G110" i="82"/>
  <c r="G109" i="82"/>
  <c r="G108" i="82"/>
  <c r="G107" i="82"/>
  <c r="G106" i="82"/>
  <c r="G105" i="82"/>
  <c r="G104" i="82"/>
  <c r="G103" i="82"/>
  <c r="G102" i="82"/>
  <c r="G101" i="82"/>
  <c r="G100" i="82"/>
  <c r="G99" i="82"/>
  <c r="G98" i="82"/>
  <c r="G97" i="82"/>
  <c r="G96" i="82"/>
  <c r="G95" i="82"/>
  <c r="G94" i="82"/>
  <c r="G93" i="82"/>
  <c r="G92" i="82"/>
  <c r="G91" i="82"/>
  <c r="G90" i="82"/>
  <c r="G89" i="82"/>
  <c r="G88" i="82"/>
  <c r="G87" i="82"/>
  <c r="G86" i="82"/>
  <c r="G85" i="82"/>
  <c r="G84" i="82"/>
  <c r="G83" i="82"/>
  <c r="G82" i="82"/>
  <c r="G81" i="82"/>
  <c r="G80" i="82"/>
  <c r="G79" i="82"/>
  <c r="G78" i="82"/>
  <c r="G77" i="82"/>
  <c r="G76" i="82"/>
  <c r="G75" i="82"/>
  <c r="G74" i="82"/>
  <c r="G73" i="82"/>
  <c r="G72" i="82"/>
  <c r="G71" i="82"/>
  <c r="G70" i="82"/>
  <c r="G69" i="82"/>
  <c r="G68" i="82"/>
  <c r="G67" i="82"/>
  <c r="G66" i="82"/>
  <c r="G65" i="82"/>
  <c r="G64" i="82"/>
  <c r="G63" i="82"/>
  <c r="G62" i="82"/>
  <c r="G61" i="82"/>
  <c r="G60" i="82"/>
  <c r="G59" i="82"/>
  <c r="G58" i="82"/>
  <c r="G57" i="82"/>
  <c r="G56"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30" i="82"/>
  <c r="G29" i="82"/>
  <c r="G28" i="82"/>
  <c r="G27" i="82"/>
  <c r="G26" i="82"/>
  <c r="G25" i="82"/>
  <c r="G24" i="82"/>
  <c r="G23" i="82"/>
  <c r="G22" i="82"/>
  <c r="G21" i="82"/>
  <c r="G20" i="82"/>
  <c r="G19" i="82"/>
  <c r="G18" i="82"/>
  <c r="G17" i="82"/>
  <c r="G16" i="82"/>
  <c r="G15" i="82"/>
  <c r="G14" i="82"/>
  <c r="G13" i="82"/>
  <c r="G12" i="82"/>
  <c r="G11" i="82"/>
  <c r="G10" i="82"/>
  <c r="G9" i="82"/>
  <c r="G8" i="82"/>
  <c r="G7" i="82"/>
  <c r="G6" i="82"/>
  <c r="G5" i="82"/>
  <c r="G4" i="82"/>
  <c r="G3" i="82"/>
  <c r="G2" i="82"/>
  <c r="B17" i="74"/>
  <c r="B16" i="74"/>
  <c r="B15" i="74"/>
  <c r="A16" i="74"/>
  <c r="A17" i="74"/>
  <c r="A15" i="74"/>
  <c r="F149" i="82" l="1"/>
  <c r="D26" i="80"/>
  <c r="D17" i="74" l="1"/>
  <c r="D16" i="74"/>
  <c r="D15" i="74" l="1"/>
  <c r="G15" i="74" s="1"/>
  <c r="G17" i="74"/>
  <c r="G16" i="74"/>
  <c r="N23" i="1" l="1"/>
  <c r="G51" i="43" l="1"/>
  <c r="G52" i="43"/>
  <c r="G53" i="43"/>
  <c r="G54" i="43"/>
  <c r="G55" i="43"/>
  <c r="G56" i="43"/>
  <c r="G57" i="43"/>
  <c r="G58" i="43"/>
  <c r="G50" i="43"/>
  <c r="U3" i="43"/>
  <c r="U4" i="43"/>
  <c r="U5" i="43"/>
  <c r="U2" i="43"/>
  <c r="D37" i="43"/>
  <c r="M13" i="3" l="1"/>
  <c r="D41" i="43" s="1"/>
  <c r="K13" i="3"/>
  <c r="G19" i="6" s="1"/>
  <c r="I13" i="3"/>
  <c r="F19" i="6" s="1"/>
  <c r="D33" i="43" s="1"/>
  <c r="I29" i="80"/>
  <c r="I28" i="80"/>
  <c r="I27" i="80"/>
  <c r="I26" i="80"/>
  <c r="I25" i="80"/>
  <c r="I24" i="80"/>
  <c r="I23" i="80"/>
  <c r="N6" i="1"/>
  <c r="Y6" i="1" s="1"/>
  <c r="N22" i="1"/>
  <c r="C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5"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AD47" i="79"/>
  <c r="S48" i="79"/>
  <c r="AG48"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O35" i="71"/>
  <c r="N35" i="71"/>
  <c r="Q34" i="71"/>
  <c r="AB34" i="71"/>
  <c r="P34" i="71"/>
  <c r="O34" i="71"/>
  <c r="N34" i="71"/>
  <c r="Q33" i="71"/>
  <c r="P33" i="7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E34" i="71"/>
  <c r="C30" i="71"/>
  <c r="X31" i="71"/>
  <c r="C34" i="71"/>
  <c r="D34" i="71" s="1"/>
  <c r="X34" i="71"/>
  <c r="F51" i="71"/>
  <c r="F52" i="71" s="1"/>
  <c r="V52" i="71" s="1"/>
  <c r="B28" i="71"/>
  <c r="B27" i="71" s="1"/>
  <c r="B26" i="71"/>
  <c r="D30" i="71"/>
  <c r="D50" i="71"/>
  <c r="P28" i="71"/>
  <c r="AA3" i="71" s="1"/>
  <c r="E60" i="71"/>
  <c r="U60" i="71" s="1"/>
  <c r="U68" i="71"/>
  <c r="E67" i="71"/>
  <c r="E66" i="71" s="1"/>
  <c r="Q28" i="71"/>
  <c r="D54" i="71"/>
  <c r="C63" i="71"/>
  <c r="C64" i="71" s="1"/>
  <c r="D62" i="71"/>
  <c r="T68" i="71"/>
  <c r="O68" i="71"/>
  <c r="D68" i="71"/>
  <c r="C67" i="71"/>
  <c r="D67" i="71" s="1"/>
  <c r="Q68" i="71"/>
  <c r="E71" i="71"/>
  <c r="E70" i="71"/>
  <c r="C75" i="71"/>
  <c r="D76" i="71"/>
  <c r="D80" i="71"/>
  <c r="F28"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J18" i="35"/>
  <c r="H21" i="37"/>
  <c r="F21" i="37"/>
  <c r="H21" i="34"/>
  <c r="AB21" i="34" s="1"/>
  <c r="H21" i="33"/>
  <c r="U21" i="33" s="1"/>
  <c r="F21" i="33"/>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C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5" i="3" s="1"/>
  <c r="BO14" i="3"/>
  <c r="BO15" i="3"/>
  <c r="BO16" i="3"/>
  <c r="BO17" i="3"/>
  <c r="BN13" i="3"/>
  <c r="BN5" i="3" s="1"/>
  <c r="G29" i="6"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E5" i="3" s="1"/>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E5" i="6" s="1"/>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E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B99" i="35"/>
  <c r="B97" i="35"/>
  <c r="B77" i="35"/>
  <c r="B75" i="35"/>
  <c r="J24" i="35" s="1"/>
  <c r="AC24" i="35" s="1"/>
  <c r="B73" i="35"/>
  <c r="J23" i="35" s="1"/>
  <c r="AC23" i="35" s="1"/>
  <c r="B57" i="35"/>
  <c r="B61" i="35"/>
  <c r="B59" i="35"/>
  <c r="H12" i="35" s="1"/>
  <c r="B131" i="34"/>
  <c r="B129" i="34"/>
  <c r="B127" i="34"/>
  <c r="B99" i="34"/>
  <c r="J32" i="34" s="1"/>
  <c r="B97" i="34"/>
  <c r="B95" i="34"/>
  <c r="B93" i="34"/>
  <c r="B75" i="34"/>
  <c r="J14" i="34" s="1"/>
  <c r="B73" i="34"/>
  <c r="B71" i="34"/>
  <c r="J12" i="34" s="1"/>
  <c r="W12" i="34" s="1"/>
  <c r="B130" i="33"/>
  <c r="B128" i="33"/>
  <c r="F45" i="33" s="1"/>
  <c r="B126" i="33"/>
  <c r="B98" i="33"/>
  <c r="B96" i="33"/>
  <c r="B94" i="33"/>
  <c r="F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F26" i="33" s="1"/>
  <c r="S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B126" i="21"/>
  <c r="J44" i="21" s="1"/>
  <c r="B98" i="21"/>
  <c r="H31" i="21"/>
  <c r="B96" i="21"/>
  <c r="B94" i="21"/>
  <c r="J29" i="21" s="1"/>
  <c r="AC29" i="21" s="1"/>
  <c r="B92" i="21"/>
  <c r="F28" i="21" s="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c r="U9" i="39"/>
  <c r="W40" i="39"/>
  <c r="E103" i="37"/>
  <c r="F103" i="37"/>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s="1"/>
  <c r="AA26" i="33"/>
  <c r="W33" i="33"/>
  <c r="W39" i="33"/>
  <c r="H39" i="37"/>
  <c r="AB39" i="37" s="1"/>
  <c r="S27" i="35"/>
  <c r="F11" i="40"/>
  <c r="AA11" i="40"/>
  <c r="H11" i="40"/>
  <c r="AB11" i="40"/>
  <c r="W8" i="40"/>
  <c r="AB39" i="40"/>
  <c r="U9" i="40"/>
  <c r="S34" i="40"/>
  <c r="U38"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6"/>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F28" i="34"/>
  <c r="AA28" i="34" s="1"/>
  <c r="F25" i="34"/>
  <c r="S25" i="34" s="1"/>
  <c r="H23" i="34"/>
  <c r="U23" i="34" s="1"/>
  <c r="J23" i="34"/>
  <c r="F19" i="34"/>
  <c r="H17" i="34"/>
  <c r="U17" i="34" s="1"/>
  <c r="F15" i="34"/>
  <c r="AA15" i="34" s="1"/>
  <c r="J15" i="34"/>
  <c r="H15" i="34"/>
  <c r="AB15" i="34" s="1"/>
  <c r="J28" i="34"/>
  <c r="W28" i="34" s="1"/>
  <c r="F41" i="33"/>
  <c r="AA41" i="33"/>
  <c r="F32" i="33"/>
  <c r="AA32" i="33" s="1"/>
  <c r="J19" i="33"/>
  <c r="AC19" i="33" s="1"/>
  <c r="J15" i="33"/>
  <c r="AC15" i="33"/>
  <c r="F11" i="33"/>
  <c r="AA11" i="33" s="1"/>
  <c r="U40" i="33"/>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S44" i="34" s="1"/>
  <c r="J10" i="35"/>
  <c r="AC10" i="35" s="1"/>
  <c r="J14" i="21"/>
  <c r="W14" i="21"/>
  <c r="F14" i="21"/>
  <c r="S14" i="21" s="1"/>
  <c r="H14" i="21"/>
  <c r="U14" i="21" s="1"/>
  <c r="H28" i="21"/>
  <c r="AB28" i="21" s="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s="1"/>
  <c r="J29" i="33"/>
  <c r="J31" i="33"/>
  <c r="W31" i="33" s="1"/>
  <c r="H31" i="33"/>
  <c r="F31" i="33"/>
  <c r="H45" i="33"/>
  <c r="U45" i="33" s="1"/>
  <c r="J45" i="33"/>
  <c r="W45" i="33" s="1"/>
  <c r="F14" i="34"/>
  <c r="S14" i="34" s="1"/>
  <c r="H14" i="34"/>
  <c r="H30" i="34"/>
  <c r="F30" i="34"/>
  <c r="S30" i="34" s="1"/>
  <c r="J30" i="34"/>
  <c r="F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C28" i="21"/>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W47" i="34"/>
  <c r="AA13" i="33"/>
  <c r="AC45" i="33"/>
  <c r="W44" i="33"/>
  <c r="U11" i="33"/>
  <c r="U19" i="21"/>
  <c r="AB38" i="21"/>
  <c r="F43" i="33"/>
  <c r="AA43" i="33" s="1"/>
  <c r="W15" i="34"/>
  <c r="AC15" i="34"/>
  <c r="W16" i="35"/>
  <c r="H37" i="21"/>
  <c r="U37" i="21" s="1"/>
  <c r="S42" i="21"/>
  <c r="H19" i="34"/>
  <c r="AB19" i="34" s="1"/>
  <c r="F36" i="35"/>
  <c r="S36" i="35" s="1"/>
  <c r="J9" i="37"/>
  <c r="W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19" i="40"/>
  <c r="U19" i="40" s="1"/>
  <c r="F19" i="40"/>
  <c r="S19" i="40" s="1"/>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AZ12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AZ346" i="3" s="1"/>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500" i="3"/>
  <c r="BA16" i="3"/>
  <c r="BL303" i="3"/>
  <c r="G304" i="3"/>
  <c r="BA306" i="3"/>
  <c r="BL307" i="3"/>
  <c r="G308" i="3"/>
  <c r="BA310" i="3"/>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22" i="3"/>
  <c r="G342" i="3"/>
  <c r="BL345" i="3"/>
  <c r="AZ345" i="3" s="1"/>
  <c r="G346" i="3"/>
  <c r="BL349" i="3"/>
  <c r="BL352" i="3"/>
  <c r="G353" i="3"/>
  <c r="BA357" i="3"/>
  <c r="BL358" i="3"/>
  <c r="G359" i="3"/>
  <c r="BA361" i="3"/>
  <c r="AZ361" i="3"/>
  <c r="BL362" i="3"/>
  <c r="AZ362" i="3" s="1"/>
  <c r="G363" i="3"/>
  <c r="BA365" i="3"/>
  <c r="BL366" i="3"/>
  <c r="G367" i="3"/>
  <c r="BA369" i="3"/>
  <c r="AZ369" i="3"/>
  <c r="BL370" i="3"/>
  <c r="G371" i="3"/>
  <c r="BA373" i="3"/>
  <c r="AZ373" i="3"/>
  <c r="BL374" i="3"/>
  <c r="G375" i="3"/>
  <c r="BA377" i="3"/>
  <c r="AZ377" i="3"/>
  <c r="AZ237" i="3"/>
  <c r="AZ245" i="3"/>
  <c r="AZ249" i="3"/>
  <c r="AZ257" i="3"/>
  <c r="BA379" i="3"/>
  <c r="AZ379" i="3" s="1"/>
  <c r="BL380" i="3"/>
  <c r="G381" i="3"/>
  <c r="BA383" i="3"/>
  <c r="AZ383" i="3" s="1"/>
  <c r="BL384" i="3"/>
  <c r="AZ384" i="3" s="1"/>
  <c r="G385" i="3"/>
  <c r="BA387" i="3"/>
  <c r="AZ387" i="3" s="1"/>
  <c r="BL388" i="3"/>
  <c r="G389" i="3"/>
  <c r="BA391" i="3"/>
  <c r="BL392" i="3"/>
  <c r="AZ392" i="3" s="1"/>
  <c r="G393" i="3"/>
  <c r="AZ283" i="3"/>
  <c r="BM5" i="3"/>
  <c r="BH5" i="3"/>
  <c r="BD5" i="3"/>
  <c r="AZ325" i="3"/>
  <c r="AC5" i="3"/>
  <c r="AZ506" i="3"/>
  <c r="AZ496" i="3"/>
  <c r="G548" i="3"/>
  <c r="G538" i="3"/>
  <c r="G520" i="3"/>
  <c r="G502" i="3"/>
  <c r="BS5" i="3"/>
  <c r="BP5" i="3"/>
  <c r="BK5" i="3"/>
  <c r="BI5" i="3"/>
  <c r="BG5" i="3"/>
  <c r="G17" i="3"/>
  <c r="BA17" i="3"/>
  <c r="BT5" i="3"/>
  <c r="AZ356" i="3"/>
  <c r="BA15" i="3"/>
  <c r="AZ15" i="3" s="1"/>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AA39" i="40" s="1"/>
  <c r="BA14" i="3"/>
  <c r="AZ224" i="3"/>
  <c r="B12" i="1"/>
  <c r="E12" i="1" s="1"/>
  <c r="B10" i="1"/>
  <c r="E10" i="1" s="1"/>
  <c r="AZ88"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W42" i="33"/>
  <c r="AA35" i="33"/>
  <c r="S27" i="33"/>
  <c r="S32"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S15" i="33"/>
  <c r="W15" i="33"/>
  <c r="U9" i="33"/>
  <c r="J10" i="33"/>
  <c r="W10" i="33" s="1"/>
  <c r="H10" i="33"/>
  <c r="U10" i="33" s="1"/>
  <c r="AC11" i="33"/>
  <c r="AB14" i="33"/>
  <c r="W43" i="21"/>
  <c r="W36" i="21"/>
  <c r="W41" i="21"/>
  <c r="AB39" i="21"/>
  <c r="AA43" i="21"/>
  <c r="S39" i="21"/>
  <c r="AA38" i="21"/>
  <c r="AA36" i="21"/>
  <c r="AC40" i="21"/>
  <c r="J15" i="21"/>
  <c r="AC15" i="21" s="1"/>
  <c r="F77" i="21"/>
  <c r="G77" i="21"/>
  <c r="F23" i="21"/>
  <c r="S23" i="21" s="1"/>
  <c r="E85" i="21"/>
  <c r="AA14" i="21"/>
  <c r="D120" i="9"/>
  <c r="D121" i="9" s="1"/>
  <c r="D7" i="52" s="1"/>
  <c r="F34" i="67"/>
  <c r="F62" i="67" s="1"/>
  <c r="M20" i="67"/>
  <c r="F34" i="15"/>
  <c r="F62" i="15" s="1"/>
  <c r="BL17" i="3"/>
  <c r="AZ17" i="3"/>
  <c r="J56" i="9"/>
  <c r="J57" i="9" s="1"/>
  <c r="J59" i="9" s="1"/>
  <c r="J61" i="9" s="1"/>
  <c r="A24" i="51"/>
  <c r="B18" i="72" s="1"/>
  <c r="U29" i="34"/>
  <c r="E32" i="6"/>
  <c r="G1" i="68"/>
  <c r="E19" i="69"/>
  <c r="E19" i="68"/>
  <c r="E19" i="11"/>
  <c r="G22" i="68"/>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29" i="34"/>
  <c r="W29" i="34"/>
  <c r="W46" i="34"/>
  <c r="AC46" i="34"/>
  <c r="S32" i="34"/>
  <c r="AA32" i="34"/>
  <c r="U30" i="34"/>
  <c r="AB30" i="34"/>
  <c r="S37" i="34"/>
  <c r="U38" i="34"/>
  <c r="AC40" i="34"/>
  <c r="W40" i="34"/>
  <c r="AA19" i="34"/>
  <c r="S19" i="34"/>
  <c r="AA36" i="34"/>
  <c r="S36" i="34"/>
  <c r="AA8" i="34"/>
  <c r="S8" i="34"/>
  <c r="AB9" i="34"/>
  <c r="U9" i="34"/>
  <c r="S46" i="34"/>
  <c r="AA46"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S12" i="33"/>
  <c r="AA12" i="33"/>
  <c r="J32" i="39"/>
  <c r="AC32" i="39" s="1"/>
  <c r="H32" i="39"/>
  <c r="AB32" i="39" s="1"/>
  <c r="AA32" i="39"/>
  <c r="S32" i="39"/>
  <c r="AB21" i="39"/>
  <c r="AA21" i="39"/>
  <c r="S21" i="39"/>
  <c r="AC17" i="37"/>
  <c r="J19" i="37"/>
  <c r="W19" i="37" s="1"/>
  <c r="AA19" i="37"/>
  <c r="J23" i="37"/>
  <c r="AC23" i="37" s="1"/>
  <c r="G79" i="37"/>
  <c r="J10" i="37"/>
  <c r="W10" i="37" s="1"/>
  <c r="G63" i="37"/>
  <c r="H63" i="37" s="1"/>
  <c r="I63" i="37" s="1"/>
  <c r="H11" i="37"/>
  <c r="AB11" i="37" s="1"/>
  <c r="H11" i="34"/>
  <c r="U11" i="34" s="1"/>
  <c r="J10" i="34"/>
  <c r="AC10" i="34" s="1"/>
  <c r="AB41" i="33"/>
  <c r="U41" i="33"/>
  <c r="W35" i="33"/>
  <c r="AC35" i="33"/>
  <c r="J36" i="33"/>
  <c r="W36" i="33" s="1"/>
  <c r="H36" i="33"/>
  <c r="U36" i="33" s="1"/>
  <c r="S36" i="33"/>
  <c r="W32" i="33"/>
  <c r="U27" i="33"/>
  <c r="J27" i="33"/>
  <c r="AC27" i="33" s="1"/>
  <c r="U25" i="33"/>
  <c r="AB25" i="33"/>
  <c r="G87" i="33"/>
  <c r="H87" i="33"/>
  <c r="I87" i="33" s="1"/>
  <c r="J87" i="33" s="1"/>
  <c r="K87" i="33" s="1"/>
  <c r="L87" i="33" s="1"/>
  <c r="M87" i="33" s="1"/>
  <c r="J25" i="33"/>
  <c r="AB23" i="33"/>
  <c r="U23" i="33"/>
  <c r="F23" i="33"/>
  <c r="G85" i="33"/>
  <c r="H19" i="33"/>
  <c r="AB19" i="33" s="1"/>
  <c r="H17" i="33"/>
  <c r="U17" i="33" s="1"/>
  <c r="F17" i="33"/>
  <c r="S17" i="33" s="1"/>
  <c r="W17" i="33"/>
  <c r="AC17" i="33"/>
  <c r="AB15" i="21"/>
  <c r="J23" i="21"/>
  <c r="F85" i="21"/>
  <c r="G85" i="21" s="1"/>
  <c r="H23" i="21"/>
  <c r="U23" i="21" s="1"/>
  <c r="S13" i="21"/>
  <c r="AP7" i="1"/>
  <c r="AB45" i="21"/>
  <c r="AB9" i="21"/>
  <c r="U9" i="21"/>
  <c r="AA32" i="21"/>
  <c r="S32" i="21"/>
  <c r="W9" i="21"/>
  <c r="AB32" i="21"/>
  <c r="U32" i="21"/>
  <c r="U32" i="39"/>
  <c r="W23" i="37"/>
  <c r="J63" i="37"/>
  <c r="K63" i="37" s="1"/>
  <c r="L63" i="37" s="1"/>
  <c r="M63" i="37" s="1"/>
  <c r="J11" i="37"/>
  <c r="AC11" i="37"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AO13" i="1"/>
  <c r="F5" i="73"/>
  <c r="B9" i="76"/>
  <c r="B8" i="76"/>
  <c r="F20" i="31"/>
  <c r="E7" i="76"/>
  <c r="F4" i="73"/>
  <c r="E11" i="76"/>
  <c r="B10" i="76"/>
  <c r="F7" i="73"/>
  <c r="E13" i="76"/>
  <c r="B11" i="76"/>
  <c r="E10" i="76"/>
  <c r="F6" i="73"/>
  <c r="B13" i="76"/>
  <c r="E8" i="76"/>
  <c r="B12" i="76"/>
  <c r="D6" i="73"/>
  <c r="B7" i="76"/>
  <c r="E2" i="69"/>
  <c r="E12" i="76"/>
  <c r="F3" i="73"/>
  <c r="E9" i="76"/>
  <c r="A4" i="52" l="1"/>
  <c r="B41" i="72" s="1"/>
  <c r="A118" i="9"/>
  <c r="C18" i="9"/>
  <c r="D18" i="9" s="1"/>
  <c r="F11" i="1"/>
  <c r="G11" i="1" s="1"/>
  <c r="G44" i="43"/>
  <c r="D53" i="43"/>
  <c r="D58" i="43"/>
  <c r="D52" i="43"/>
  <c r="G13" i="3"/>
  <c r="BA13" i="3"/>
  <c r="F31" i="12"/>
  <c r="D68" i="9"/>
  <c r="M18" i="15"/>
  <c r="M18" i="67"/>
  <c r="F30" i="11"/>
  <c r="C48" i="11" s="1"/>
  <c r="F30" i="69"/>
  <c r="F48" i="69" s="1"/>
  <c r="F54" i="9"/>
  <c r="F28" i="15"/>
  <c r="F32" i="67"/>
  <c r="F60" i="67" s="1"/>
  <c r="F28" i="67"/>
  <c r="D93" i="9"/>
  <c r="G22" i="69"/>
  <c r="G22" i="11"/>
  <c r="E1" i="73"/>
  <c r="G26" i="12"/>
  <c r="G1" i="67"/>
  <c r="G1" i="15"/>
  <c r="B6" i="1"/>
  <c r="E6" i="1" s="1"/>
  <c r="K1" i="12"/>
  <c r="K6" i="1"/>
  <c r="AP6" i="1" s="1"/>
  <c r="C36" i="69" s="1"/>
  <c r="BB5" i="3"/>
  <c r="BL13" i="3"/>
  <c r="F29" i="6"/>
  <c r="B57" i="43"/>
  <c r="B79" i="43"/>
  <c r="AA28" i="21"/>
  <c r="S28" i="21"/>
  <c r="AC44" i="21"/>
  <c r="W44" i="21"/>
  <c r="S29" i="33"/>
  <c r="AA29" i="33"/>
  <c r="AA45" i="33"/>
  <c r="S45" i="33"/>
  <c r="W14" i="34"/>
  <c r="AC14" i="34"/>
  <c r="W32" i="34"/>
  <c r="AC32" i="34"/>
  <c r="U12" i="35"/>
  <c r="AB12" i="35"/>
  <c r="AB36" i="35"/>
  <c r="U36" i="35"/>
  <c r="W45" i="21"/>
  <c r="AC45" i="21"/>
  <c r="AB26" i="37"/>
  <c r="U26" i="37"/>
  <c r="AA23" i="21"/>
  <c r="AA25" i="33"/>
  <c r="U19" i="33"/>
  <c r="D6" i="52"/>
  <c r="AA23" i="37"/>
  <c r="S17" i="37"/>
  <c r="W27" i="40"/>
  <c r="W15" i="21"/>
  <c r="S43" i="34"/>
  <c r="U32" i="37"/>
  <c r="AZ14" i="3"/>
  <c r="AZ334" i="3"/>
  <c r="AZ347" i="3"/>
  <c r="AA11" i="39"/>
  <c r="AZ523" i="3"/>
  <c r="AZ547" i="3"/>
  <c r="AZ571" i="3"/>
  <c r="AZ579" i="3"/>
  <c r="AB46" i="34"/>
  <c r="AB30" i="21"/>
  <c r="AB23" i="34"/>
  <c r="AA12" i="36"/>
  <c r="S40" i="21"/>
  <c r="U35" i="33"/>
  <c r="W31" i="37"/>
  <c r="AC9" i="34"/>
  <c r="W9" i="34"/>
  <c r="S9" i="40"/>
  <c r="AA9" i="40"/>
  <c r="AC31" i="40"/>
  <c r="W31" i="40"/>
  <c r="G551" i="3"/>
  <c r="BL550" i="3"/>
  <c r="G542" i="3"/>
  <c r="S42" i="39"/>
  <c r="AB33" i="40"/>
  <c r="AC31" i="33"/>
  <c r="AA36" i="39"/>
  <c r="AZ539" i="3"/>
  <c r="AZ529" i="3"/>
  <c r="AZ537" i="3"/>
  <c r="AZ518" i="3"/>
  <c r="AZ526" i="3"/>
  <c r="AZ546" i="3"/>
  <c r="AZ564" i="3"/>
  <c r="AZ580" i="3"/>
  <c r="AB45" i="33"/>
  <c r="S11" i="36"/>
  <c r="S14" i="37"/>
  <c r="H32" i="34"/>
  <c r="H29" i="33"/>
  <c r="F45" i="21"/>
  <c r="AA44" i="34"/>
  <c r="AA29" i="35"/>
  <c r="AB17" i="34"/>
  <c r="W36" i="34"/>
  <c r="S38" i="33"/>
  <c r="W8" i="34"/>
  <c r="S35" i="34"/>
  <c r="AC12" i="34"/>
  <c r="U33" i="33"/>
  <c r="W25" i="37"/>
  <c r="G585" i="3"/>
  <c r="BL587" i="3"/>
  <c r="AZ587" i="3" s="1"/>
  <c r="BL586" i="3"/>
  <c r="AZ586" i="3" s="1"/>
  <c r="B72" i="43"/>
  <c r="C15" i="39"/>
  <c r="B75" i="43"/>
  <c r="H23" i="35"/>
  <c r="J9" i="36"/>
  <c r="H24" i="36"/>
  <c r="J24" i="36"/>
  <c r="J39" i="37"/>
  <c r="F39" i="37"/>
  <c r="S39" i="37" s="1"/>
  <c r="G570" i="3"/>
  <c r="AA19" i="33"/>
  <c r="S39" i="40"/>
  <c r="AZ391" i="3"/>
  <c r="AZ364" i="3"/>
  <c r="AZ329" i="3"/>
  <c r="AZ306" i="3"/>
  <c r="AZ513" i="3"/>
  <c r="AZ502" i="3"/>
  <c r="F12" i="35"/>
  <c r="J12" i="35"/>
  <c r="AB30" i="37"/>
  <c r="U30" i="37"/>
  <c r="H44" i="39"/>
  <c r="J44" i="39"/>
  <c r="AA34" i="39"/>
  <c r="AA31" i="35"/>
  <c r="S31" i="35"/>
  <c r="AB36" i="33"/>
  <c r="W32" i="39"/>
  <c r="AA17" i="33"/>
  <c r="S37" i="21"/>
  <c r="AZ357" i="3"/>
  <c r="AZ322" i="3"/>
  <c r="AZ313" i="3"/>
  <c r="AZ394" i="3"/>
  <c r="S14" i="40"/>
  <c r="AA25" i="21"/>
  <c r="AC28" i="34"/>
  <c r="AZ531" i="3"/>
  <c r="AZ583" i="3"/>
  <c r="AZ568" i="3"/>
  <c r="AZ576" i="3"/>
  <c r="AA14" i="34"/>
  <c r="BL585" i="3"/>
  <c r="AZ585" i="3" s="1"/>
  <c r="H12" i="34"/>
  <c r="AB31" i="36"/>
  <c r="U31" i="36"/>
  <c r="H25" i="37"/>
  <c r="F25" i="37"/>
  <c r="U8" i="39"/>
  <c r="AB8" i="39"/>
  <c r="BL398" i="3"/>
  <c r="AZ398" i="3" s="1"/>
  <c r="G402" i="3"/>
  <c r="BL403" i="3"/>
  <c r="G405" i="3"/>
  <c r="G406" i="3"/>
  <c r="BA408" i="3"/>
  <c r="BA409" i="3"/>
  <c r="AZ409" i="3" s="1"/>
  <c r="BA411" i="3"/>
  <c r="BA420" i="3"/>
  <c r="BA421" i="3"/>
  <c r="BA423" i="3"/>
  <c r="AZ423" i="3" s="1"/>
  <c r="G429" i="3"/>
  <c r="G430" i="3"/>
  <c r="BL432" i="3"/>
  <c r="BL435" i="3"/>
  <c r="BL436" i="3"/>
  <c r="BA439" i="3"/>
  <c r="BA440" i="3"/>
  <c r="AZ440" i="3" s="1"/>
  <c r="BA443" i="3"/>
  <c r="AZ443" i="3" s="1"/>
  <c r="BL445" i="3"/>
  <c r="BL446" i="3"/>
  <c r="BA449" i="3"/>
  <c r="BL455" i="3"/>
  <c r="BA460" i="3"/>
  <c r="BA461" i="3"/>
  <c r="AZ461" i="3" s="1"/>
  <c r="BL465" i="3"/>
  <c r="BA473" i="3"/>
  <c r="AZ473" i="3" s="1"/>
  <c r="AZ228" i="3"/>
  <c r="AZ483" i="3"/>
  <c r="G574" i="3"/>
  <c r="BL16" i="3"/>
  <c r="AZ16" i="3" s="1"/>
  <c r="BA401" i="3"/>
  <c r="AZ401" i="3" s="1"/>
  <c r="BA403" i="3"/>
  <c r="AZ403" i="3" s="1"/>
  <c r="BA404" i="3"/>
  <c r="AZ404" i="3" s="1"/>
  <c r="BA405" i="3"/>
  <c r="AZ405" i="3" s="1"/>
  <c r="G409" i="3"/>
  <c r="BL410" i="3"/>
  <c r="G419" i="3"/>
  <c r="BL420" i="3"/>
  <c r="G423" i="3"/>
  <c r="AZ435" i="3"/>
  <c r="BA441" i="3"/>
  <c r="AZ441" i="3" s="1"/>
  <c r="AZ451" i="3"/>
  <c r="BL452" i="3"/>
  <c r="G455" i="3"/>
  <c r="AZ458" i="3"/>
  <c r="BA464" i="3"/>
  <c r="AZ464" i="3" s="1"/>
  <c r="BL470" i="3"/>
  <c r="AZ487" i="3"/>
  <c r="G587" i="3"/>
  <c r="BA551" i="3"/>
  <c r="AZ551" i="3" s="1"/>
  <c r="BA550" i="3"/>
  <c r="AZ550" i="3" s="1"/>
  <c r="BL548" i="3"/>
  <c r="AZ548" i="3" s="1"/>
  <c r="G399" i="3"/>
  <c r="BL400" i="3"/>
  <c r="AZ400" i="3" s="1"/>
  <c r="BL408" i="3"/>
  <c r="BL411" i="3"/>
  <c r="BL413" i="3"/>
  <c r="AZ413" i="3" s="1"/>
  <c r="G416" i="3"/>
  <c r="BL417" i="3"/>
  <c r="BL418" i="3"/>
  <c r="AZ418" i="3" s="1"/>
  <c r="BA424" i="3"/>
  <c r="BA425" i="3"/>
  <c r="BA426" i="3"/>
  <c r="BA427" i="3"/>
  <c r="AZ427" i="3" s="1"/>
  <c r="BL431" i="3"/>
  <c r="BL434" i="3"/>
  <c r="G437" i="3"/>
  <c r="BL438" i="3"/>
  <c r="BL439" i="3"/>
  <c r="BA442" i="3"/>
  <c r="G444" i="3"/>
  <c r="BL444" i="3"/>
  <c r="AZ444" i="3" s="1"/>
  <c r="BL449" i="3"/>
  <c r="BL450" i="3"/>
  <c r="BL453" i="3"/>
  <c r="BL454" i="3"/>
  <c r="AZ454" i="3" s="1"/>
  <c r="BA456" i="3"/>
  <c r="BA457" i="3"/>
  <c r="BA462" i="3"/>
  <c r="AZ462" i="3" s="1"/>
  <c r="G466" i="3"/>
  <c r="BL466" i="3"/>
  <c r="AZ466" i="3" s="1"/>
  <c r="G468"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AZ218" i="3" s="1"/>
  <c r="BL218" i="3"/>
  <c r="BL220" i="3"/>
  <c r="BL221" i="3"/>
  <c r="BL223" i="3"/>
  <c r="BA227" i="3"/>
  <c r="AZ227" i="3" s="1"/>
  <c r="BA229" i="3"/>
  <c r="AZ229" i="3" s="1"/>
  <c r="BL229" i="3"/>
  <c r="BL231" i="3"/>
  <c r="BL233" i="3"/>
  <c r="AZ233" i="3" s="1"/>
  <c r="BL235" i="3"/>
  <c r="AZ235" i="3" s="1"/>
  <c r="BL236" i="3"/>
  <c r="BL238" i="3"/>
  <c r="BL243" i="3"/>
  <c r="BA247" i="3"/>
  <c r="AZ247" i="3" s="1"/>
  <c r="BL247" i="3"/>
  <c r="BL270" i="3"/>
  <c r="AZ270" i="3" s="1"/>
  <c r="BL287" i="3"/>
  <c r="BA122" i="3"/>
  <c r="AZ122"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3" i="3"/>
  <c r="BA256" i="3"/>
  <c r="AZ256" i="3" s="1"/>
  <c r="BL256" i="3"/>
  <c r="BA258" i="3"/>
  <c r="BL267" i="3"/>
  <c r="BA273" i="3"/>
  <c r="BL275" i="3"/>
  <c r="AZ275" i="3" s="1"/>
  <c r="BL285" i="3"/>
  <c r="BA291" i="3"/>
  <c r="BL295" i="3"/>
  <c r="BA298" i="3"/>
  <c r="AZ298" i="3" s="1"/>
  <c r="BL301" i="3"/>
  <c r="AZ301" i="3" s="1"/>
  <c r="BL302" i="3"/>
  <c r="BA114" i="3"/>
  <c r="BA125" i="3"/>
  <c r="AZ125" i="3" s="1"/>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BA230" i="3"/>
  <c r="AZ230" i="3" s="1"/>
  <c r="BL232" i="3"/>
  <c r="G249" i="3"/>
  <c r="BA251" i="3"/>
  <c r="BL251" i="3"/>
  <c r="BA254" i="3"/>
  <c r="AZ254" i="3" s="1"/>
  <c r="BL259" i="3"/>
  <c r="BA262" i="3"/>
  <c r="AZ262" i="3" s="1"/>
  <c r="G265" i="3"/>
  <c r="BL265" i="3"/>
  <c r="AZ265" i="3" s="1"/>
  <c r="G267" i="3"/>
  <c r="BL289" i="3"/>
  <c r="BA294" i="3"/>
  <c r="AZ294" i="3" s="1"/>
  <c r="BL123" i="3"/>
  <c r="AZ123" i="3" s="1"/>
  <c r="F34" i="71"/>
  <c r="F35" i="71" s="1"/>
  <c r="F36" i="71" s="1"/>
  <c r="V36" i="71" s="1"/>
  <c r="AB33" i="71"/>
  <c r="AB28"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G190" i="3"/>
  <c r="BL193" i="3"/>
  <c r="G194" i="3"/>
  <c r="BL194" i="3"/>
  <c r="AZ194" i="3" s="1"/>
  <c r="BA198" i="3"/>
  <c r="AZ198" i="3" s="1"/>
  <c r="BL205" i="3"/>
  <c r="G206" i="3"/>
  <c r="BL206" i="3"/>
  <c r="BA18" i="3"/>
  <c r="BL21" i="3"/>
  <c r="G23" i="3"/>
  <c r="AZ70" i="3"/>
  <c r="G73" i="3"/>
  <c r="BL264" i="3"/>
  <c r="BL266" i="3"/>
  <c r="BA268" i="3"/>
  <c r="BL273" i="3"/>
  <c r="BA277" i="3"/>
  <c r="AZ277" i="3" s="1"/>
  <c r="BL277" i="3"/>
  <c r="BA282" i="3"/>
  <c r="AZ282" i="3" s="1"/>
  <c r="BL282" i="3"/>
  <c r="BA284" i="3"/>
  <c r="AZ284" i="3" s="1"/>
  <c r="BL290" i="3"/>
  <c r="BL291" i="3"/>
  <c r="BL293" i="3"/>
  <c r="BL294" i="3"/>
  <c r="BA297" i="3"/>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A201" i="3"/>
  <c r="AZ201" i="3" s="1"/>
  <c r="AA18" i="36"/>
  <c r="S18" i="36"/>
  <c r="T72" i="71"/>
  <c r="C71" i="71"/>
  <c r="D72" i="71"/>
  <c r="U76" i="71"/>
  <c r="E75" i="71"/>
  <c r="E74" i="71" s="1"/>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L191" i="3"/>
  <c r="AZ191" i="3" s="1"/>
  <c r="BL198" i="3"/>
  <c r="G204" i="3"/>
  <c r="BL23" i="3"/>
  <c r="G24" i="3"/>
  <c r="G48" i="3"/>
  <c r="G63" i="3"/>
  <c r="G71" i="3"/>
  <c r="BA77" i="3"/>
  <c r="BA193" i="3"/>
  <c r="BA196" i="3"/>
  <c r="AZ196" i="3" s="1"/>
  <c r="G203" i="3"/>
  <c r="BA205" i="3"/>
  <c r="AZ205" i="3" s="1"/>
  <c r="BL20" i="3"/>
  <c r="BA21" i="3"/>
  <c r="AZ21" i="3" s="1"/>
  <c r="BA25" i="3"/>
  <c r="BA26" i="3"/>
  <c r="G28" i="3"/>
  <c r="BL28" i="3"/>
  <c r="BA29" i="3"/>
  <c r="BA36" i="3"/>
  <c r="BL38" i="3"/>
  <c r="BA39" i="3"/>
  <c r="BL47" i="3"/>
  <c r="AZ47" i="3" s="1"/>
  <c r="G49" i="3"/>
  <c r="G50" i="3"/>
  <c r="G52" i="3"/>
  <c r="BA52" i="3"/>
  <c r="AZ52" i="3" s="1"/>
  <c r="BA53" i="3"/>
  <c r="BA54" i="3"/>
  <c r="BL57" i="3"/>
  <c r="G59" i="3"/>
  <c r="G62" i="3"/>
  <c r="BL62" i="3"/>
  <c r="AZ62" i="3" s="1"/>
  <c r="BL63" i="3"/>
  <c r="G65" i="3"/>
  <c r="BL65" i="3"/>
  <c r="AZ65" i="3" s="1"/>
  <c r="BL66" i="3"/>
  <c r="BL67" i="3"/>
  <c r="AZ67" i="3" s="1"/>
  <c r="G69" i="3"/>
  <c r="G70" i="3"/>
  <c r="BL70" i="3"/>
  <c r="BL71" i="3"/>
  <c r="BL72" i="3"/>
  <c r="AZ72" i="3" s="1"/>
  <c r="G74" i="3"/>
  <c r="G75" i="3"/>
  <c r="BL75" i="3"/>
  <c r="BL91" i="3"/>
  <c r="BL100" i="3"/>
  <c r="BL105" i="3"/>
  <c r="AZ105" i="3" s="1"/>
  <c r="BL107" i="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A75" i="3"/>
  <c r="BA78" i="3"/>
  <c r="BA80" i="3"/>
  <c r="G84" i="3"/>
  <c r="BL84" i="3"/>
  <c r="AZ84" i="3" s="1"/>
  <c r="BA89" i="3"/>
  <c r="BL92" i="3"/>
  <c r="BL94" i="3"/>
  <c r="AZ94" i="3" s="1"/>
  <c r="BL99" i="3"/>
  <c r="BA101" i="3"/>
  <c r="BA102" i="3"/>
  <c r="AZ102" i="3" s="1"/>
  <c r="BL110" i="3"/>
  <c r="BL111" i="3"/>
  <c r="AA21" i="33"/>
  <c r="S21" i="33"/>
  <c r="AA21" i="37"/>
  <c r="S21" i="37"/>
  <c r="P27" i="6"/>
  <c r="Y27" i="71"/>
  <c r="Z27" i="71" s="1"/>
  <c r="AB32" i="71"/>
  <c r="AA34" i="71"/>
  <c r="AA30" i="71"/>
  <c r="AA37" i="71"/>
  <c r="C51" i="71"/>
  <c r="D56" i="71"/>
  <c r="T56" i="71"/>
  <c r="C60" i="71"/>
  <c r="D59" i="71"/>
  <c r="N67" i="71"/>
  <c r="B66" i="71"/>
  <c r="F66" i="71"/>
  <c r="Q67" i="71"/>
  <c r="T80" i="71"/>
  <c r="C79" i="71"/>
  <c r="BL29" i="3"/>
  <c r="G33" i="3"/>
  <c r="G34" i="3"/>
  <c r="BA37" i="3"/>
  <c r="BL39" i="3"/>
  <c r="G43" i="3"/>
  <c r="G44" i="3"/>
  <c r="BA45" i="3"/>
  <c r="AZ45" i="3" s="1"/>
  <c r="BA46" i="3"/>
  <c r="BL49" i="3"/>
  <c r="AZ49" i="3" s="1"/>
  <c r="BL50" i="3"/>
  <c r="AZ50" i="3" s="1"/>
  <c r="BL51" i="3"/>
  <c r="AZ51" i="3" s="1"/>
  <c r="BL53" i="3"/>
  <c r="BA56" i="3"/>
  <c r="BA57" i="3"/>
  <c r="BL58" i="3"/>
  <c r="AZ58" i="3" s="1"/>
  <c r="G60" i="3"/>
  <c r="BA60" i="3"/>
  <c r="BA63" i="3"/>
  <c r="BA66" i="3"/>
  <c r="AZ66" i="3" s="1"/>
  <c r="BA71" i="3"/>
  <c r="AZ71" i="3" s="1"/>
  <c r="BL77" i="3"/>
  <c r="BL81" i="3"/>
  <c r="BA82" i="3"/>
  <c r="AZ82" i="3" s="1"/>
  <c r="BL83" i="3"/>
  <c r="G88" i="3"/>
  <c r="BA90" i="3"/>
  <c r="BA100" i="3"/>
  <c r="AZ100" i="3" s="1"/>
  <c r="AZ103" i="3"/>
  <c r="G109" i="3"/>
  <c r="BA111" i="3"/>
  <c r="AZ111" i="3" s="1"/>
  <c r="F40" i="68"/>
  <c r="C21" i="68"/>
  <c r="AC29" i="39"/>
  <c r="W29" i="39"/>
  <c r="E28" i="71"/>
  <c r="AA27" i="71"/>
  <c r="AA28" i="71"/>
  <c r="C38" i="71"/>
  <c r="B39" i="71"/>
  <c r="B40" i="71" s="1"/>
  <c r="S40" i="71" s="1"/>
  <c r="X26" i="71"/>
  <c r="Y29" i="71"/>
  <c r="Z29" i="71" s="1"/>
  <c r="C31" i="71"/>
  <c r="Y30" i="71"/>
  <c r="Z30" i="71" s="1"/>
  <c r="X25" i="71"/>
  <c r="AA35" i="71"/>
  <c r="AA38" i="71"/>
  <c r="AA39" i="71"/>
  <c r="D84" i="71"/>
  <c r="C83" i="71"/>
  <c r="F27" i="71"/>
  <c r="F26" i="71" s="1"/>
  <c r="AB27" i="71"/>
  <c r="AB26" i="71"/>
  <c r="G81" i="3"/>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F37" i="67"/>
  <c r="F7" i="15"/>
  <c r="F36" i="15"/>
  <c r="F16" i="15"/>
  <c r="L47" i="15"/>
  <c r="F38" i="15"/>
  <c r="F37" i="15"/>
  <c r="M23" i="67"/>
  <c r="M29" i="67"/>
  <c r="F43" i="15"/>
  <c r="F6" i="67"/>
  <c r="M28" i="67"/>
  <c r="F42" i="67"/>
  <c r="F9" i="67"/>
  <c r="M22" i="67"/>
  <c r="F16" i="67"/>
  <c r="F13" i="67"/>
  <c r="M8" i="67"/>
  <c r="F36" i="67"/>
  <c r="M6" i="15"/>
  <c r="F6" i="15"/>
  <c r="F26" i="15"/>
  <c r="M24" i="15"/>
  <c r="F13" i="15"/>
  <c r="D3" i="73"/>
  <c r="M26" i="15"/>
  <c r="F7" i="67"/>
  <c r="C76" i="67"/>
  <c r="F26" i="67"/>
  <c r="F8" i="67"/>
  <c r="M29" i="15"/>
  <c r="F43" i="67"/>
  <c r="C76" i="15"/>
  <c r="M26" i="67"/>
  <c r="F40" i="67"/>
  <c r="D4" i="73"/>
  <c r="M6" i="67"/>
  <c r="L48" i="15"/>
  <c r="F42" i="15"/>
  <c r="M9" i="15"/>
  <c r="D5" i="73"/>
  <c r="J15" i="67"/>
  <c r="M28" i="15"/>
  <c r="M24" i="67"/>
  <c r="M8" i="15"/>
  <c r="F8" i="15"/>
  <c r="F40" i="15"/>
  <c r="M22" i="15"/>
  <c r="L48" i="67"/>
  <c r="F9" i="15"/>
  <c r="M9" i="67"/>
  <c r="F38" i="67"/>
  <c r="M23" i="15"/>
  <c r="L47" i="67"/>
  <c r="J15" i="15"/>
  <c r="D7" i="73"/>
  <c r="F26" i="43" l="1"/>
  <c r="E26" i="43"/>
  <c r="J26" i="43"/>
  <c r="F71" i="15"/>
  <c r="C6" i="15"/>
  <c r="C32" i="15" s="1"/>
  <c r="C27" i="15"/>
  <c r="F65" i="15"/>
  <c r="F64" i="15"/>
  <c r="F68" i="15"/>
  <c r="F66" i="15"/>
  <c r="F51" i="15"/>
  <c r="L59" i="15"/>
  <c r="Q74" i="15" s="1"/>
  <c r="N59" i="15"/>
  <c r="L58" i="15"/>
  <c r="Q60" i="15" s="1"/>
  <c r="M59" i="15"/>
  <c r="M7" i="15"/>
  <c r="J6" i="15" s="1"/>
  <c r="J18" i="15" s="1"/>
  <c r="F50" i="15"/>
  <c r="J57" i="15"/>
  <c r="J55" i="15" s="1"/>
  <c r="J58" i="15" s="1"/>
  <c r="Q50" i="15" s="1"/>
  <c r="I54" i="15"/>
  <c r="J53" i="15"/>
  <c r="L56" i="15" s="1"/>
  <c r="Q71" i="15"/>
  <c r="F65" i="67"/>
  <c r="F66" i="67"/>
  <c r="F51" i="67"/>
  <c r="F68" i="67"/>
  <c r="L56" i="67"/>
  <c r="I54" i="67"/>
  <c r="J53" i="67"/>
  <c r="F1" i="67" s="1"/>
  <c r="J57" i="67"/>
  <c r="J55" i="67" s="1"/>
  <c r="J58" i="67" s="1"/>
  <c r="Q50" i="67" s="1"/>
  <c r="M6" i="1"/>
  <c r="K16" i="1"/>
  <c r="Q16" i="1"/>
  <c r="F27" i="69" s="1"/>
  <c r="C47" i="69" s="1"/>
  <c r="D45" i="69" s="1"/>
  <c r="H16" i="1"/>
  <c r="N94" i="46"/>
  <c r="N370" i="46"/>
  <c r="G26" i="43"/>
  <c r="E59" i="40"/>
  <c r="C27" i="67"/>
  <c r="L59" i="67"/>
  <c r="Q61" i="67" s="1"/>
  <c r="L58" i="67"/>
  <c r="Q60" i="67" s="1"/>
  <c r="M59" i="67"/>
  <c r="N59" i="67"/>
  <c r="M7" i="67"/>
  <c r="J6" i="67" s="1"/>
  <c r="J18" i="67" s="1"/>
  <c r="F50" i="67"/>
  <c r="C49" i="67" s="1"/>
  <c r="Q71" i="67"/>
  <c r="C6" i="67"/>
  <c r="C32" i="67" s="1"/>
  <c r="F31" i="67"/>
  <c r="F64" i="67"/>
  <c r="F71" i="67"/>
  <c r="G5" i="3"/>
  <c r="B3" i="3" s="1"/>
  <c r="E517" i="3" s="1"/>
  <c r="C78" i="71"/>
  <c r="D78" i="71" s="1"/>
  <c r="D79" i="71"/>
  <c r="N65" i="71"/>
  <c r="N66" i="71"/>
  <c r="AZ101" i="3"/>
  <c r="AZ28" i="3"/>
  <c r="AZ38" i="3"/>
  <c r="AZ271" i="3"/>
  <c r="AZ297" i="3"/>
  <c r="AZ251" i="3"/>
  <c r="AZ353" i="3"/>
  <c r="AZ460" i="3"/>
  <c r="AZ411" i="3"/>
  <c r="AB44" i="39"/>
  <c r="U44" i="39"/>
  <c r="AC39" i="37"/>
  <c r="W39" i="37"/>
  <c r="U23" i="35"/>
  <c r="AB23" i="35"/>
  <c r="G16" i="1"/>
  <c r="F10" i="39" s="1"/>
  <c r="AA10" i="39" s="1"/>
  <c r="D31" i="71"/>
  <c r="C32" i="71"/>
  <c r="D38" i="71"/>
  <c r="C39" i="71"/>
  <c r="AZ63" i="3"/>
  <c r="AZ57" i="3"/>
  <c r="AZ75" i="3"/>
  <c r="AZ53" i="3"/>
  <c r="AZ77" i="3"/>
  <c r="AZ223" i="3"/>
  <c r="AZ273" i="3"/>
  <c r="AZ457" i="3"/>
  <c r="AZ425" i="3"/>
  <c r="AC24" i="36"/>
  <c r="W24" i="36"/>
  <c r="AA45" i="21"/>
  <c r="S45" i="21"/>
  <c r="O65" i="71"/>
  <c r="D66" i="71"/>
  <c r="O66" i="71"/>
  <c r="C36" i="71"/>
  <c r="D35" i="71"/>
  <c r="C86" i="71"/>
  <c r="D86" i="71" s="1"/>
  <c r="D87" i="71"/>
  <c r="C82" i="71"/>
  <c r="D82" i="71" s="1"/>
  <c r="D83" i="71"/>
  <c r="C52" i="71"/>
  <c r="D51" i="71"/>
  <c r="AZ29" i="3"/>
  <c r="AZ25" i="3"/>
  <c r="AZ121" i="3"/>
  <c r="AZ274" i="3"/>
  <c r="C70" i="71"/>
  <c r="D70" i="71" s="1"/>
  <c r="D71" i="71"/>
  <c r="AZ291" i="3"/>
  <c r="AZ421" i="3"/>
  <c r="AZ408" i="3"/>
  <c r="AA25" i="37"/>
  <c r="S25" i="37"/>
  <c r="U12" i="34"/>
  <c r="AB12" i="34"/>
  <c r="AB24" i="36"/>
  <c r="U24" i="36"/>
  <c r="AB29" i="33"/>
  <c r="U29" i="33"/>
  <c r="C44" i="71"/>
  <c r="D43" i="71"/>
  <c r="D60" i="71"/>
  <c r="T60" i="71"/>
  <c r="T28" i="71"/>
  <c r="D28" i="71"/>
  <c r="U28" i="71" s="1"/>
  <c r="C27" i="71"/>
  <c r="AZ39" i="3"/>
  <c r="U25" i="37"/>
  <c r="AB25" i="37"/>
  <c r="AC44" i="39"/>
  <c r="W44" i="39"/>
  <c r="W12" i="35"/>
  <c r="AC12" i="35"/>
  <c r="AC9" i="36"/>
  <c r="W9" i="36"/>
  <c r="U32" i="34"/>
  <c r="AB32" i="34"/>
  <c r="J7" i="37"/>
  <c r="K1" i="73"/>
  <c r="AA26" i="37"/>
  <c r="S26" i="37"/>
  <c r="BA5" i="3"/>
  <c r="E27" i="6" s="1"/>
  <c r="K26" i="6" s="1"/>
  <c r="M26" i="6" s="1"/>
  <c r="I26" i="6" s="1"/>
  <c r="S26" i="6" s="1"/>
  <c r="C19" i="71"/>
  <c r="T20" i="71"/>
  <c r="D20" i="71"/>
  <c r="U20" i="71" s="1"/>
  <c r="AZ5" i="3"/>
  <c r="E3" i="6" s="1"/>
  <c r="B14" i="74"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AE7" i="1"/>
  <c r="AE8" i="1"/>
  <c r="AE12" i="1"/>
  <c r="AE10" i="1"/>
  <c r="C16" i="67"/>
  <c r="C16" i="15"/>
  <c r="F41" i="67"/>
  <c r="G1" i="73"/>
  <c r="E511" i="3" l="1"/>
  <c r="E28" i="3"/>
  <c r="E413" i="3"/>
  <c r="E171" i="3"/>
  <c r="E94" i="3"/>
  <c r="E219" i="3"/>
  <c r="E275" i="3"/>
  <c r="E569" i="3"/>
  <c r="E535" i="3"/>
  <c r="E183" i="3"/>
  <c r="E496" i="3"/>
  <c r="E329" i="3"/>
  <c r="E247" i="3"/>
  <c r="E476" i="3"/>
  <c r="E574" i="3"/>
  <c r="E381" i="3"/>
  <c r="E265" i="3"/>
  <c r="E139" i="3"/>
  <c r="O6" i="1"/>
  <c r="Q73" i="15"/>
  <c r="D26" i="43"/>
  <c r="C25" i="43" s="1"/>
  <c r="Q52" i="15"/>
  <c r="F27" i="11"/>
  <c r="C29" i="11" s="1"/>
  <c r="D27" i="11" s="1"/>
  <c r="J5" i="15"/>
  <c r="J24" i="15" s="1"/>
  <c r="F45" i="69"/>
  <c r="F27" i="68"/>
  <c r="F45" i="68" s="1"/>
  <c r="Q61" i="15"/>
  <c r="Q52" i="67"/>
  <c r="F1" i="15"/>
  <c r="C29" i="69"/>
  <c r="D27" i="69" s="1"/>
  <c r="C49" i="15"/>
  <c r="F28" i="12"/>
  <c r="C29" i="12" s="1"/>
  <c r="D28" i="12" s="1"/>
  <c r="S10" i="39"/>
  <c r="F10" i="40"/>
  <c r="S10" i="40" s="1"/>
  <c r="P6" i="1"/>
  <c r="C13" i="12" s="1"/>
  <c r="E263" i="3"/>
  <c r="E273" i="3"/>
  <c r="E586" i="3"/>
  <c r="E457" i="3"/>
  <c r="E236" i="3"/>
  <c r="E529" i="3"/>
  <c r="E376" i="3"/>
  <c r="E369" i="3"/>
  <c r="E570" i="3"/>
  <c r="E368" i="3"/>
  <c r="E44" i="3"/>
  <c r="E407" i="3"/>
  <c r="E298" i="3"/>
  <c r="E386" i="3"/>
  <c r="E174" i="3"/>
  <c r="E148" i="3"/>
  <c r="E278" i="3"/>
  <c r="AJ6" i="3"/>
  <c r="E345" i="3"/>
  <c r="E406" i="3"/>
  <c r="E538" i="3"/>
  <c r="E107" i="3"/>
  <c r="E518" i="3"/>
  <c r="E480" i="3"/>
  <c r="E262" i="3"/>
  <c r="E291" i="3"/>
  <c r="E542" i="3"/>
  <c r="E325" i="3"/>
  <c r="E356" i="3"/>
  <c r="E409" i="3"/>
  <c r="E246" i="3"/>
  <c r="E335" i="3"/>
  <c r="E217" i="3"/>
  <c r="Z6" i="3"/>
  <c r="E545" i="3"/>
  <c r="E555" i="3"/>
  <c r="E279" i="3"/>
  <c r="E260" i="3"/>
  <c r="E404" i="3"/>
  <c r="E159" i="3"/>
  <c r="E196" i="3"/>
  <c r="E354" i="3"/>
  <c r="E372" i="3"/>
  <c r="E405" i="3"/>
  <c r="H10" i="39"/>
  <c r="U10" i="39" s="1"/>
  <c r="E118" i="3"/>
  <c r="E487" i="3"/>
  <c r="E296" i="3"/>
  <c r="E200" i="3"/>
  <c r="E385" i="3"/>
  <c r="E191" i="3"/>
  <c r="E445" i="3"/>
  <c r="E69" i="3"/>
  <c r="E387" i="3"/>
  <c r="E514" i="3"/>
  <c r="E431" i="3"/>
  <c r="E322" i="3"/>
  <c r="E109" i="3"/>
  <c r="E211" i="3"/>
  <c r="E489" i="3"/>
  <c r="E400" i="3"/>
  <c r="E327" i="3"/>
  <c r="E227" i="3"/>
  <c r="E454" i="3"/>
  <c r="K6" i="3"/>
  <c r="E77" i="3"/>
  <c r="E134" i="3"/>
  <c r="E185" i="3"/>
  <c r="E533" i="3"/>
  <c r="E305" i="3"/>
  <c r="E210" i="3"/>
  <c r="E477" i="3"/>
  <c r="E549" i="3"/>
  <c r="E72" i="3"/>
  <c r="E573" i="3"/>
  <c r="E453" i="3"/>
  <c r="E245" i="3"/>
  <c r="E114" i="3"/>
  <c r="E559" i="3"/>
  <c r="N6" i="3"/>
  <c r="E316" i="3"/>
  <c r="E443" i="3"/>
  <c r="E394" i="3"/>
  <c r="E424" i="3"/>
  <c r="E156" i="3"/>
  <c r="E17" i="3"/>
  <c r="E506" i="3"/>
  <c r="E153" i="3"/>
  <c r="E546" i="3"/>
  <c r="E257" i="3"/>
  <c r="E306" i="3"/>
  <c r="E488" i="3"/>
  <c r="E47" i="3"/>
  <c r="E57" i="3"/>
  <c r="E155" i="3"/>
  <c r="E50" i="3"/>
  <c r="E137" i="3"/>
  <c r="E202" i="3"/>
  <c r="E486" i="3"/>
  <c r="E370" i="3"/>
  <c r="E104" i="3"/>
  <c r="E140" i="3"/>
  <c r="AL6" i="3"/>
  <c r="E84" i="3"/>
  <c r="E152" i="3"/>
  <c r="H10" i="40"/>
  <c r="AB10" i="40" s="1"/>
  <c r="J10" i="40"/>
  <c r="AC10" i="40" s="1"/>
  <c r="E142" i="3"/>
  <c r="E240" i="3"/>
  <c r="E483" i="3"/>
  <c r="E132" i="3"/>
  <c r="E100" i="3"/>
  <c r="AI6" i="3"/>
  <c r="E135" i="3"/>
  <c r="E172" i="3"/>
  <c r="E189" i="3"/>
  <c r="AB6" i="3"/>
  <c r="E311" i="3"/>
  <c r="E579" i="3"/>
  <c r="E268" i="3"/>
  <c r="E572" i="3"/>
  <c r="E182" i="3"/>
  <c r="E531" i="3"/>
  <c r="E485" i="3"/>
  <c r="E204" i="3"/>
  <c r="E74" i="3"/>
  <c r="E468" i="3"/>
  <c r="E133" i="3"/>
  <c r="E347" i="3"/>
  <c r="E91" i="3"/>
  <c r="E216" i="3"/>
  <c r="E270" i="3"/>
  <c r="E343" i="3"/>
  <c r="E186" i="3"/>
  <c r="E414" i="3"/>
  <c r="E567" i="3"/>
  <c r="E433" i="3"/>
  <c r="E519" i="3"/>
  <c r="E253" i="3"/>
  <c r="E61" i="3"/>
  <c r="E130" i="3"/>
  <c r="E358" i="3"/>
  <c r="E282" i="3"/>
  <c r="E295" i="3"/>
  <c r="P6" i="3"/>
  <c r="E274" i="3"/>
  <c r="E437" i="3"/>
  <c r="AA6" i="3"/>
  <c r="E213" i="3"/>
  <c r="S6" i="3"/>
  <c r="E501" i="3"/>
  <c r="E367" i="3"/>
  <c r="E54" i="3"/>
  <c r="E461" i="3"/>
  <c r="E179" i="3"/>
  <c r="E436" i="3"/>
  <c r="E416" i="3"/>
  <c r="E566" i="3"/>
  <c r="E289" i="3"/>
  <c r="E79" i="3"/>
  <c r="E25" i="3"/>
  <c r="E564" i="3"/>
  <c r="E35" i="3"/>
  <c r="E470" i="3"/>
  <c r="E287" i="3"/>
  <c r="E198" i="3"/>
  <c r="E371" i="3"/>
  <c r="E539" i="3"/>
  <c r="E417" i="3"/>
  <c r="E349" i="3"/>
  <c r="E425" i="3"/>
  <c r="E160" i="3"/>
  <c r="E310" i="3"/>
  <c r="E144" i="3"/>
  <c r="E68" i="3"/>
  <c r="E309" i="3"/>
  <c r="E332" i="3"/>
  <c r="E482" i="3"/>
  <c r="E235" i="3"/>
  <c r="E251" i="3"/>
  <c r="E308" i="3"/>
  <c r="E173" i="3"/>
  <c r="E469" i="3"/>
  <c r="E556"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575" i="3"/>
  <c r="E95" i="3"/>
  <c r="E76" i="3"/>
  <c r="E467" i="3"/>
  <c r="E267" i="3"/>
  <c r="E23" i="3"/>
  <c r="E184" i="3"/>
  <c r="E63" i="3"/>
  <c r="E21" i="3"/>
  <c r="E391" i="3"/>
  <c r="E18" i="3"/>
  <c r="E522" i="3"/>
  <c r="AF6" i="3"/>
  <c r="E22" i="3"/>
  <c r="E534" i="3"/>
  <c r="E512" i="3"/>
  <c r="E497"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E292" i="3"/>
  <c r="E103" i="3"/>
  <c r="E67" i="3"/>
  <c r="E283" i="3"/>
  <c r="E75" i="3"/>
  <c r="E34" i="3"/>
  <c r="E197" i="3"/>
  <c r="E360" i="3"/>
  <c r="E41" i="3"/>
  <c r="E190" i="3"/>
  <c r="E80" i="3"/>
  <c r="E116" i="3"/>
  <c r="E507" i="3"/>
  <c r="E419" i="3"/>
  <c r="E226" i="3"/>
  <c r="E540" i="3"/>
  <c r="E194" i="3"/>
  <c r="E36" i="3"/>
  <c r="E20" i="3"/>
  <c r="E165" i="3"/>
  <c r="E348" i="3"/>
  <c r="E222" i="3"/>
  <c r="E110" i="3"/>
  <c r="E323" i="3"/>
  <c r="E266" i="3"/>
  <c r="E462" i="3"/>
  <c r="E195" i="3"/>
  <c r="E307" i="3"/>
  <c r="E157" i="3"/>
  <c r="W6" i="3"/>
  <c r="E357" i="3"/>
  <c r="U6" i="3"/>
  <c r="E71" i="3"/>
  <c r="E29" i="3"/>
  <c r="E426" i="3"/>
  <c r="E97" i="3"/>
  <c r="E418" i="3"/>
  <c r="E237" i="3"/>
  <c r="E221" i="3"/>
  <c r="AN6" i="3"/>
  <c r="E238" i="3"/>
  <c r="E330" i="3"/>
  <c r="E344" i="3"/>
  <c r="E73" i="3"/>
  <c r="E32" i="3"/>
  <c r="E576" i="3"/>
  <c r="E558"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449" i="3"/>
  <c r="E59" i="3"/>
  <c r="E300" i="3"/>
  <c r="E233" i="3"/>
  <c r="E494" i="3"/>
  <c r="E129" i="3"/>
  <c r="E102" i="3"/>
  <c r="T6"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53" i="3"/>
  <c r="O6" i="3"/>
  <c r="E390" i="3"/>
  <c r="E338" i="3"/>
  <c r="E565" i="3"/>
  <c r="E254" i="3"/>
  <c r="E353" i="3"/>
  <c r="E128" i="3"/>
  <c r="Q6" i="3"/>
  <c r="AE6" i="3"/>
  <c r="E256" i="3"/>
  <c r="I6" i="3"/>
  <c r="AG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J10" i="39"/>
  <c r="W10" i="39" s="1"/>
  <c r="E378" i="3"/>
  <c r="E248" i="3"/>
  <c r="E131" i="3"/>
  <c r="AY6" i="3"/>
  <c r="AY276" i="3" s="1"/>
  <c r="E242" i="3"/>
  <c r="E119" i="3"/>
  <c r="X6" i="3"/>
  <c r="E423" i="3"/>
  <c r="E161" i="3"/>
  <c r="E563" i="3"/>
  <c r="E215" i="3"/>
  <c r="M6" i="3"/>
  <c r="E201" i="3"/>
  <c r="E509" i="3"/>
  <c r="E526" i="3"/>
  <c r="E377" i="3"/>
  <c r="E70" i="3"/>
  <c r="E557" i="3"/>
  <c r="AO6" i="3"/>
  <c r="E89" i="3"/>
  <c r="E214" i="3"/>
  <c r="E465" i="3"/>
  <c r="AK6" i="3"/>
  <c r="E495" i="3"/>
  <c r="E361" i="3"/>
  <c r="E439" i="3"/>
  <c r="E410" i="3"/>
  <c r="E441" i="3"/>
  <c r="E447" i="3"/>
  <c r="E585" i="3"/>
  <c r="E351" i="3"/>
  <c r="E562" i="3"/>
  <c r="E99" i="3"/>
  <c r="E293" i="3"/>
  <c r="E550" i="3"/>
  <c r="E320" i="3"/>
  <c r="E396" i="3"/>
  <c r="E125" i="3"/>
  <c r="E88" i="3"/>
  <c r="E164" i="3"/>
  <c r="E55" i="3"/>
  <c r="E120" i="3"/>
  <c r="E402" i="3"/>
  <c r="E169" i="3"/>
  <c r="E359" i="3"/>
  <c r="AM6" i="3"/>
  <c r="E379" i="3"/>
  <c r="E288" i="3"/>
  <c r="E98" i="3"/>
  <c r="E259" i="3"/>
  <c r="E19" i="3"/>
  <c r="E51" i="3"/>
  <c r="E101" i="3"/>
  <c r="E52" i="3"/>
  <c r="E43" i="3"/>
  <c r="E498" i="3"/>
  <c r="E223" i="3"/>
  <c r="E78" i="3"/>
  <c r="E408" i="3"/>
  <c r="E86" i="3"/>
  <c r="E264" i="3"/>
  <c r="E64" i="3"/>
  <c r="E466" i="3"/>
  <c r="E212" i="3"/>
  <c r="E13" i="3"/>
  <c r="E451" i="3"/>
  <c r="E456" i="3"/>
  <c r="E525" i="3"/>
  <c r="E205" i="3"/>
  <c r="E113" i="3"/>
  <c r="E206" i="3"/>
  <c r="E383" i="3"/>
  <c r="E96" i="3"/>
  <c r="E42" i="3"/>
  <c r="E281" i="3"/>
  <c r="E513" i="3"/>
  <c r="E81" i="3"/>
  <c r="E355" i="3"/>
  <c r="E33" i="3"/>
  <c r="E492" i="3"/>
  <c r="E249" i="3"/>
  <c r="E46" i="3"/>
  <c r="E484" i="3"/>
  <c r="E544" i="3"/>
  <c r="E241" i="3"/>
  <c r="E37" i="3"/>
  <c r="E554" i="3"/>
  <c r="E442" i="3"/>
  <c r="E536" i="3"/>
  <c r="E389" i="3"/>
  <c r="E258" i="3"/>
  <c r="E479" i="3"/>
  <c r="E255" i="3"/>
  <c r="E499" i="3"/>
  <c r="Q74" i="67"/>
  <c r="Q73" i="67"/>
  <c r="M17" i="67"/>
  <c r="J5" i="67"/>
  <c r="J24" i="67" s="1"/>
  <c r="E363" i="3"/>
  <c r="E192" i="3"/>
  <c r="E56" i="3"/>
  <c r="E435" i="3"/>
  <c r="I3" i="6"/>
  <c r="E541" i="3"/>
  <c r="R6" i="3"/>
  <c r="E199" i="3"/>
  <c r="E510" i="3"/>
  <c r="D44" i="71"/>
  <c r="T44" i="71"/>
  <c r="T32" i="71"/>
  <c r="D32" i="71"/>
  <c r="T36" i="71"/>
  <c r="D36" i="71"/>
  <c r="C26" i="71"/>
  <c r="D26" i="71" s="1"/>
  <c r="D27" i="71"/>
  <c r="C40" i="71"/>
  <c r="D39" i="71"/>
  <c r="E491" i="3"/>
  <c r="AP6" i="3"/>
  <c r="E430" i="3"/>
  <c r="E502" i="3"/>
  <c r="E286"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155" i="3"/>
  <c r="AY188" i="3"/>
  <c r="AY371" i="3"/>
  <c r="AY50" i="3"/>
  <c r="AY209" i="3"/>
  <c r="AY441" i="3"/>
  <c r="AY395" i="3"/>
  <c r="AY463" i="3"/>
  <c r="BE6" i="3"/>
  <c r="AY76" i="3"/>
  <c r="AY165" i="3"/>
  <c r="AY283" i="3"/>
  <c r="AY392" i="3"/>
  <c r="BJ6" i="3"/>
  <c r="AY114" i="3"/>
  <c r="AY388" i="3"/>
  <c r="AY457" i="3"/>
  <c r="AY411" i="3"/>
  <c r="AY495" i="3"/>
  <c r="AY171" i="3"/>
  <c r="AY244" i="3"/>
  <c r="AY535" i="3"/>
  <c r="AY178" i="3"/>
  <c r="AY254" i="3"/>
  <c r="AY150" i="3"/>
  <c r="AY356" i="3"/>
  <c r="BN6" i="3"/>
  <c r="AY577" i="3"/>
  <c r="AY350" i="3"/>
  <c r="AY229" i="3"/>
  <c r="AY539" i="3"/>
  <c r="AY193" i="3"/>
  <c r="AY373" i="3"/>
  <c r="AY29" i="3"/>
  <c r="AY438" i="3"/>
  <c r="AY536" i="3"/>
  <c r="AY65" i="3"/>
  <c r="AY169" i="3"/>
  <c r="AY329" i="3"/>
  <c r="AY484" i="3"/>
  <c r="AY499" i="3"/>
  <c r="BR6" i="3"/>
  <c r="AY35" i="3"/>
  <c r="AY285" i="3"/>
  <c r="AY469" i="3"/>
  <c r="AY560" i="3"/>
  <c r="AY148" i="3"/>
  <c r="AY256" i="3"/>
  <c r="AY306" i="3"/>
  <c r="AY429" i="3"/>
  <c r="AY205" i="3"/>
  <c r="AY385" i="3"/>
  <c r="AY431" i="3"/>
  <c r="AY537" i="3"/>
  <c r="AY140" i="3"/>
  <c r="AY347" i="3"/>
  <c r="AY39" i="3"/>
  <c r="AY288" i="3"/>
  <c r="AY583" i="3"/>
  <c r="AY153" i="3"/>
  <c r="AY320" i="3"/>
  <c r="AY402" i="3"/>
  <c r="AY79" i="3"/>
  <c r="AY301" i="3"/>
  <c r="AY451" i="3"/>
  <c r="AY568" i="3"/>
  <c r="AY143" i="3"/>
  <c r="AY386" i="3"/>
  <c r="AY56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15"/>
  <c r="AE6" i="1"/>
  <c r="M27" i="67"/>
  <c r="AY305" i="3" l="1"/>
  <c r="AY323" i="3"/>
  <c r="AY369" i="3"/>
  <c r="AY227" i="3"/>
  <c r="AY31" i="3"/>
  <c r="AY516" i="3"/>
  <c r="AY57" i="3"/>
  <c r="AY199" i="3"/>
  <c r="AY546" i="3"/>
  <c r="AY491" i="3"/>
  <c r="AY145" i="3"/>
  <c r="AY219" i="3"/>
  <c r="AY185" i="3"/>
  <c r="AY533" i="3"/>
  <c r="AY260" i="3"/>
  <c r="AY284" i="3"/>
  <c r="AY236" i="3"/>
  <c r="AY176" i="3"/>
  <c r="AY521" i="3"/>
  <c r="AY164" i="3"/>
  <c r="AY315" i="3"/>
  <c r="BP6" i="3"/>
  <c r="AY432" i="3"/>
  <c r="AY102" i="3"/>
  <c r="AY203" i="3"/>
  <c r="AY461" i="3"/>
  <c r="AY32" i="3"/>
  <c r="AY38" i="3"/>
  <c r="AY314" i="3"/>
  <c r="AY78" i="3"/>
  <c r="AY407" i="3"/>
  <c r="AY96" i="3"/>
  <c r="AY324" i="3"/>
  <c r="AY573" i="3"/>
  <c r="AY36" i="3"/>
  <c r="AY307" i="3"/>
  <c r="AY107" i="3"/>
  <c r="AY265" i="3"/>
  <c r="AY538" i="3"/>
  <c r="AY113" i="3"/>
  <c r="AY208" i="3"/>
  <c r="AY482" i="3"/>
  <c r="AY548" i="3"/>
  <c r="AY352" i="3"/>
  <c r="BC6" i="3"/>
  <c r="AY224" i="3"/>
  <c r="AY512" i="3"/>
  <c r="AY232" i="3"/>
  <c r="AY570" i="3"/>
  <c r="AY468" i="3"/>
  <c r="AY282" i="3"/>
  <c r="AY552" i="3"/>
  <c r="AY121" i="3"/>
  <c r="AY173" i="3"/>
  <c r="AY343" i="3"/>
  <c r="AY112" i="3"/>
  <c r="AY467" i="3"/>
  <c r="AY222" i="3"/>
  <c r="AY562" i="3"/>
  <c r="AY237" i="3"/>
  <c r="AY581" i="3"/>
  <c r="AY353" i="3"/>
  <c r="AY73" i="3"/>
  <c r="AY263" i="3"/>
  <c r="AY60" i="3"/>
  <c r="AY401" i="3"/>
  <c r="AY529" i="3"/>
  <c r="AY160" i="3"/>
  <c r="C47" i="11"/>
  <c r="D45" i="11" s="1"/>
  <c r="O16" i="1"/>
  <c r="C48" i="15"/>
  <c r="C66" i="15" s="1"/>
  <c r="C29" i="68"/>
  <c r="D27" i="68" s="1"/>
  <c r="C47" i="68"/>
  <c r="D45" i="68" s="1"/>
  <c r="AA10" i="40"/>
  <c r="AC10" i="39"/>
  <c r="AB10" i="39"/>
  <c r="AY87"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43" i="3"/>
  <c r="AY519" i="3"/>
  <c r="AY37" i="3"/>
  <c r="AY137" i="3"/>
  <c r="AY266" i="3"/>
  <c r="AY345" i="3"/>
  <c r="AY312" i="3"/>
  <c r="AY453" i="3"/>
  <c r="AY423" i="3"/>
  <c r="AY14" i="3"/>
  <c r="AY509" i="3"/>
  <c r="BA6" i="3"/>
  <c r="AY46" i="3"/>
  <c r="AY167" i="3"/>
  <c r="AY264" i="3"/>
  <c r="AY362" i="3"/>
  <c r="AY466" i="3"/>
  <c r="AY517" i="3"/>
  <c r="AY91" i="3"/>
  <c r="AY27" i="3"/>
  <c r="AY119" i="3"/>
  <c r="AY66" i="3"/>
  <c r="AY124" i="3"/>
  <c r="AY281" i="3"/>
  <c r="AY268" i="3"/>
  <c r="AY335" i="3"/>
  <c r="AY289" i="3"/>
  <c r="AY252" i="3"/>
  <c r="AY460" i="3"/>
  <c r="AY300" i="3"/>
  <c r="AY372" i="3"/>
  <c r="AY452" i="3"/>
  <c r="AY569" i="3"/>
  <c r="AY92" i="3"/>
  <c r="AY44" i="3"/>
  <c r="AY154" i="3"/>
  <c r="AY299" i="3"/>
  <c r="AY262" i="3"/>
  <c r="AY374" i="3"/>
  <c r="AY109" i="3"/>
  <c r="AY197" i="3"/>
  <c r="AY274" i="3"/>
  <c r="AY333" i="3"/>
  <c r="AY475" i="3"/>
  <c r="AY398" i="3"/>
  <c r="AY561" i="3"/>
  <c r="BG6" i="3"/>
  <c r="AY75" i="3"/>
  <c r="AY425" i="3"/>
  <c r="AY311" i="3"/>
  <c r="AY555" i="3"/>
  <c r="AY182" i="3"/>
  <c r="AY302" i="3"/>
  <c r="BS6" i="3"/>
  <c r="AY130" i="3"/>
  <c r="AY340" i="3"/>
  <c r="AY525" i="3"/>
  <c r="AY508" i="3"/>
  <c r="AY81" i="3"/>
  <c r="AY220" i="3"/>
  <c r="AY116" i="3"/>
  <c r="AY478" i="3"/>
  <c r="AY100" i="3"/>
  <c r="AY162" i="3"/>
  <c r="AY270" i="3"/>
  <c r="AY88" i="3"/>
  <c r="AY275" i="3"/>
  <c r="AY483" i="3"/>
  <c r="AY572" i="3"/>
  <c r="AY514" i="3"/>
  <c r="AY80" i="3"/>
  <c r="AY129" i="3"/>
  <c r="AY380" i="3"/>
  <c r="AY328" i="3"/>
  <c r="AY442" i="3"/>
  <c r="AY579" i="3"/>
  <c r="AY565" i="3"/>
  <c r="AY99" i="3"/>
  <c r="AY187" i="3"/>
  <c r="AY280" i="3"/>
  <c r="AY331" i="3"/>
  <c r="AY437" i="3"/>
  <c r="AY587" i="3"/>
  <c r="AY179" i="3"/>
  <c r="AY273" i="3"/>
  <c r="AY367" i="3"/>
  <c r="AY490" i="3"/>
  <c r="AY550" i="3"/>
  <c r="AY498" i="3"/>
  <c r="AY298" i="3"/>
  <c r="AY321" i="3"/>
  <c r="AY418" i="3"/>
  <c r="AY575" i="3"/>
  <c r="AY110" i="3"/>
  <c r="AY296" i="3"/>
  <c r="AY330" i="3"/>
  <c r="AY528" i="3"/>
  <c r="AY175" i="3"/>
  <c r="AY375" i="3"/>
  <c r="AY413" i="3"/>
  <c r="AY174" i="3"/>
  <c r="AY396" i="3"/>
  <c r="AY479" i="3"/>
  <c r="AY505" i="3"/>
  <c r="AY545" i="3"/>
  <c r="AY19" i="3"/>
  <c r="W10" i="40"/>
  <c r="U10" i="40"/>
  <c r="AY443" i="3"/>
  <c r="AY240" i="3"/>
  <c r="AY200" i="3"/>
  <c r="AY500" i="3"/>
  <c r="AY359" i="3"/>
  <c r="AY151" i="3"/>
  <c r="AY551" i="3"/>
  <c r="AY434" i="3"/>
  <c r="AY361" i="3"/>
  <c r="AY64" i="3"/>
  <c r="AY474" i="3"/>
  <c r="AY136" i="3"/>
  <c r="AY13" i="3"/>
  <c r="AY216" i="3"/>
  <c r="AY30" i="3"/>
  <c r="AY564" i="3"/>
  <c r="AY492" i="3"/>
  <c r="AY235" i="3"/>
  <c r="AY504" i="3"/>
  <c r="AY416" i="3"/>
  <c r="AY354" i="3"/>
  <c r="AY277" i="3"/>
  <c r="AY70" i="3"/>
  <c r="AY405" i="3"/>
  <c r="AY376" i="3"/>
  <c r="AY127" i="3"/>
  <c r="AY94" i="3"/>
  <c r="AY502" i="3"/>
  <c r="AY410" i="3"/>
  <c r="AY487" i="3"/>
  <c r="AY223" i="3"/>
  <c r="AY189" i="3"/>
  <c r="AY582" i="3"/>
  <c r="AY419" i="3"/>
  <c r="AY341" i="3"/>
  <c r="AY72" i="3"/>
  <c r="AY286" i="3"/>
  <c r="AY52" i="3"/>
  <c r="AY557" i="3"/>
  <c r="AY497" i="3"/>
  <c r="AY132" i="3"/>
  <c r="AY556" i="3"/>
  <c r="AY422" i="3"/>
  <c r="AY393" i="3"/>
  <c r="AY93" i="3"/>
  <c r="AY117" i="3"/>
  <c r="AY53" i="3"/>
  <c r="AY404" i="3"/>
  <c r="AY444" i="3"/>
  <c r="AY18" i="3"/>
  <c r="AY534" i="3"/>
  <c r="AY430" i="3"/>
  <c r="AY316" i="3"/>
  <c r="AY242" i="3"/>
  <c r="AY202" i="3"/>
  <c r="AY360" i="3"/>
  <c r="AY230" i="3"/>
  <c r="AY125" i="3"/>
  <c r="AY190" i="3"/>
  <c r="AY77" i="3"/>
  <c r="AY549" i="3"/>
  <c r="AY310" i="3"/>
  <c r="AY245" i="3"/>
  <c r="AY473" i="3"/>
  <c r="AY123" i="3"/>
  <c r="AY67" i="3"/>
  <c r="AY297" i="3"/>
  <c r="AY42" i="3"/>
  <c r="AY23" i="3"/>
  <c r="BT6" i="3"/>
  <c r="AY477" i="3"/>
  <c r="AY257" i="3"/>
  <c r="AY71" i="3"/>
  <c r="AY408" i="3"/>
  <c r="AY394" i="3"/>
  <c r="AY62" i="3"/>
  <c r="AY522" i="3"/>
  <c r="AY445" i="3"/>
  <c r="AY250" i="3"/>
  <c r="AY567" i="3"/>
  <c r="AY339" i="3"/>
  <c r="AY22" i="3"/>
  <c r="AY421" i="3"/>
  <c r="AY233" i="3"/>
  <c r="AY563" i="3"/>
  <c r="AY399" i="3"/>
  <c r="AY304" i="3"/>
  <c r="AY122" i="3"/>
  <c r="AY511" i="3"/>
  <c r="AY459" i="3"/>
  <c r="AY213" i="3"/>
  <c r="AY159" i="3"/>
  <c r="AY86" i="3"/>
  <c r="AY424" i="3"/>
  <c r="AY221" i="3"/>
  <c r="AY156" i="3"/>
  <c r="AY531" i="3"/>
  <c r="D3" i="6"/>
  <c r="AY426" i="3"/>
  <c r="AY313" i="3"/>
  <c r="AY251" i="3"/>
  <c r="AY194" i="3"/>
  <c r="AY584" i="3"/>
  <c r="AY406" i="3"/>
  <c r="AY215" i="3"/>
  <c r="AY368" i="3"/>
  <c r="AY291" i="3"/>
  <c r="AY84" i="3"/>
  <c r="AY326" i="3"/>
  <c r="AY455" i="3"/>
  <c r="AY191" i="3"/>
  <c r="AY559" i="3"/>
  <c r="AY454" i="3"/>
  <c r="AY279" i="3"/>
  <c r="AY389" i="3"/>
  <c r="AY126" i="3"/>
  <c r="AY89" i="3"/>
  <c r="AY355" i="3"/>
  <c r="AY387" i="3"/>
  <c r="AY501" i="3"/>
  <c r="AY585" i="3"/>
  <c r="AY462" i="3"/>
  <c r="AY317" i="3"/>
  <c r="AY295" i="3"/>
  <c r="AY56" i="3"/>
  <c r="AY357" i="3"/>
  <c r="AY247" i="3"/>
  <c r="AY149" i="3"/>
  <c r="AY206" i="3"/>
  <c r="AY97" i="3"/>
  <c r="AY513" i="3"/>
  <c r="AY327" i="3"/>
  <c r="AY106" i="3"/>
  <c r="AY318" i="3"/>
  <c r="AY183" i="3"/>
  <c r="AY366" i="3"/>
  <c r="AY58" i="3"/>
  <c r="AY59" i="3"/>
  <c r="AY51" i="3"/>
  <c r="H6"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C6" i="3"/>
  <c r="D116" i="43"/>
  <c r="F25" i="12"/>
  <c r="C26" i="12" s="1"/>
  <c r="D25" i="12" s="1"/>
  <c r="T40" i="71"/>
  <c r="D40" i="71"/>
  <c r="F22" i="68"/>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9"/>
  <c r="C34" i="69"/>
  <c r="D10" i="68"/>
  <c r="C17" i="67"/>
  <c r="C14" i="67"/>
  <c r="F41" i="15"/>
  <c r="C17" i="15"/>
  <c r="C60" i="15" l="1"/>
  <c r="I54" i="34"/>
  <c r="J54" i="34" s="1"/>
  <c r="F69" i="15"/>
  <c r="D30" i="6"/>
  <c r="H24" i="6"/>
  <c r="H21" i="6"/>
  <c r="R21" i="6" s="1"/>
  <c r="R8" i="1" s="1"/>
  <c r="H22" i="6"/>
  <c r="H25" i="6"/>
  <c r="R25" i="6" s="1"/>
  <c r="R12" i="1" s="1"/>
  <c r="E6" i="3"/>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B3" i="43"/>
  <c r="C6" i="68"/>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7" i="68" l="1"/>
  <c r="C5" i="68" s="1"/>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F35" i="67"/>
  <c r="M21" i="67"/>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C19" i="9"/>
  <c r="C57" i="68" l="1"/>
  <c r="C102" i="9"/>
  <c r="C21" i="9"/>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5" i="9"/>
  <c r="D2" i="33"/>
  <c r="C56" i="68"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4" i="9"/>
  <c r="D2" i="35"/>
  <c r="D2" i="37"/>
  <c r="D2" i="34"/>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1" i="1"/>
  <c r="AO8"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G118" i="9" s="1"/>
  <c r="G4" i="52" s="1"/>
  <c r="B52" i="72" s="1"/>
  <c r="H118" i="9"/>
  <c r="C104" i="9" s="1"/>
  <c r="H4" i="52" l="1"/>
  <c r="F4" i="52"/>
  <c r="B51" i="72" s="1"/>
  <c r="D4" i="52"/>
  <c r="B47" i="72" s="1"/>
  <c r="H119" i="9"/>
  <c r="H5" i="52" s="1"/>
  <c r="F119" i="9"/>
  <c r="F5" i="52" s="1"/>
  <c r="B53" i="72" s="1"/>
  <c r="H101" i="9"/>
  <c r="I118" i="9"/>
  <c r="C105" i="9" l="1"/>
  <c r="E118" i="9"/>
  <c r="E4" i="52" s="1"/>
  <c r="B48" i="72" s="1"/>
  <c r="H102" i="9"/>
  <c r="I4" i="52"/>
  <c r="D45" i="9"/>
  <c r="D5" i="53"/>
  <c r="M48" i="9"/>
  <c r="H107" i="9"/>
  <c r="D122" i="9" l="1"/>
  <c r="M49" i="9"/>
  <c r="H108" i="9"/>
  <c r="D13" i="53"/>
  <c r="C5" i="74"/>
  <c r="D7" i="53"/>
  <c r="B21" i="72" s="1"/>
  <c r="D6" i="53"/>
  <c r="B22" i="72" s="1"/>
  <c r="B20" i="72"/>
  <c r="D52" i="9"/>
  <c r="C78" i="9"/>
  <c r="C73" i="9" s="1"/>
  <c r="C93" i="9"/>
  <c r="C86" i="9" s="1"/>
  <c r="D53" i="9"/>
  <c r="D55" i="9"/>
  <c r="M53" i="9" s="1"/>
  <c r="C72" i="9"/>
  <c r="C85" i="9"/>
  <c r="C64" i="9"/>
  <c r="C63" i="9" s="1"/>
  <c r="C67" i="9" s="1"/>
  <c r="C95" i="9" l="1"/>
  <c r="C79" i="9"/>
  <c r="C80" i="9" s="1"/>
  <c r="E80" i="9" s="1"/>
  <c r="E81" i="9" s="1"/>
  <c r="D59" i="9"/>
  <c r="M55" i="9" s="1"/>
  <c r="C68" i="9"/>
  <c r="D54" i="9" s="1"/>
  <c r="D14" i="53"/>
  <c r="B32" i="72" s="1"/>
  <c r="B30" i="72"/>
  <c r="D15" i="53"/>
  <c r="B31" i="72" s="1"/>
  <c r="C6" i="74"/>
  <c r="C96" i="9"/>
  <c r="E96" i="9" s="1"/>
  <c r="E97" i="9" s="1"/>
  <c r="L64" i="9"/>
  <c r="M64" i="9" s="1"/>
  <c r="L66" i="9"/>
  <c r="M66" i="9" s="1"/>
  <c r="L63" i="9"/>
  <c r="M63" i="9" s="1"/>
  <c r="L65" i="9"/>
  <c r="M65" i="9" s="1"/>
  <c r="L68" i="9"/>
  <c r="M68" i="9" s="1"/>
  <c r="L67" i="9"/>
  <c r="M67" i="9" s="1"/>
  <c r="D8" i="52"/>
  <c r="D123" i="9"/>
  <c r="D9" i="52" s="1"/>
  <c r="C97" i="9" l="1"/>
  <c r="D58" i="9" s="1"/>
  <c r="D56" i="9" s="1"/>
  <c r="M54" i="9" s="1"/>
  <c r="N57" i="9" s="1"/>
  <c r="P57" i="9" s="1"/>
  <c r="M69" i="9"/>
  <c r="N69"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郑雪玲</author>
    <author>任倩</author>
    <author>PC</author>
    <author>姜驿泓</author>
    <author>岳淳</author>
    <author>华夏黑客</author>
    <author>test333</author>
    <author>gaobo133</author>
    <author>付洁</author>
  </authors>
  <commentList>
    <comment ref="B5" authorId="0" shapeId="0" xr:uid="{00000000-0006-0000-0100-000001000000}">
      <text>
        <r>
          <rPr>
            <b/>
            <sz val="9"/>
            <rFont val="宋体"/>
            <family val="3"/>
            <charset val="134"/>
          </rPr>
          <t>郑雪玲:</t>
        </r>
        <r>
          <rPr>
            <sz val="9"/>
            <rFont val="宋体"/>
            <family val="3"/>
            <charset val="134"/>
          </rPr>
          <t xml:space="preserve">
原19338.02  2019.6.20通知变为18519.78</t>
        </r>
      </text>
    </comment>
    <comment ref="K6" authorId="1" shapeId="0" xr:uid="{00000000-0006-0000-0100-000002000000}">
      <text>
        <r>
          <rPr>
            <b/>
            <sz val="9"/>
            <rFont val="宋体"/>
            <family val="3"/>
            <charset val="134"/>
          </rPr>
          <t>任倩:</t>
        </r>
        <r>
          <rPr>
            <sz val="9"/>
            <rFont val="宋体"/>
            <family val="3"/>
            <charset val="134"/>
          </rPr>
          <t xml:space="preserve">
自商铺开业日起连续12个月为第1个租赁年度，依次类推</t>
        </r>
      </text>
    </comment>
    <comment ref="K24" authorId="2" shapeId="0" xr:uid="{00000000-0006-0000-0100-000003000000}">
      <text>
        <r>
          <rPr>
            <b/>
            <sz val="9"/>
            <rFont val="宋体"/>
            <family val="3"/>
            <charset val="134"/>
          </rPr>
          <t>PC:</t>
        </r>
        <r>
          <rPr>
            <sz val="9"/>
            <rFont val="宋体"/>
            <family val="3"/>
            <charset val="134"/>
          </rPr>
          <t xml:space="preserve">
2019.7.23-2019.8.11对店铺自费还原施工。面积减小，期间无需缴纳租金，但按原合同仍需缴纳物业费、推广费</t>
        </r>
      </text>
    </comment>
    <comment ref="K32" authorId="3" shapeId="0" xr:uid="{00000000-0006-0000-0100-000004000000}">
      <text>
        <r>
          <rPr>
            <b/>
            <sz val="9"/>
            <rFont val="宋体"/>
            <family val="3"/>
            <charset val="134"/>
          </rPr>
          <t>姜驿泓:</t>
        </r>
        <r>
          <rPr>
            <sz val="9"/>
            <rFont val="宋体"/>
            <family val="3"/>
            <charset val="134"/>
          </rPr>
          <t xml:space="preserve">
品牌变更为潮家巷</t>
        </r>
      </text>
    </comment>
    <comment ref="K51" authorId="4" shapeId="0" xr:uid="{00000000-0006-0000-0100-000005000000}">
      <text>
        <r>
          <rPr>
            <b/>
            <sz val="9"/>
            <rFont val="宋体"/>
            <family val="3"/>
            <charset val="134"/>
          </rPr>
          <t>岳淳:</t>
        </r>
        <r>
          <rPr>
            <sz val="9"/>
            <rFont val="宋体"/>
            <family val="3"/>
            <charset val="134"/>
          </rPr>
          <t xml:space="preserve">
若2024.9.5-2025.9.40期间月均零售额达到70万元，则租期自动延长至2028.9.4
</t>
        </r>
      </text>
    </comment>
    <comment ref="A133" authorId="5" shapeId="0" xr:uid="{00000000-0006-0000-0100-000006000000}">
      <text>
        <r>
          <rPr>
            <sz val="9"/>
            <rFont val="宋体"/>
            <family val="3"/>
            <charset val="134"/>
          </rPr>
          <t>微软用户:
原铺位号为L114、L115、L116、L213单元</t>
        </r>
      </text>
    </comment>
    <comment ref="E133" authorId="2" shapeId="0" xr:uid="{00000000-0006-0000-0100-000007000000}">
      <text>
        <r>
          <rPr>
            <b/>
            <sz val="9"/>
            <rFont val="宋体"/>
            <family val="3"/>
            <charset val="134"/>
          </rPr>
          <t>PC:</t>
        </r>
        <r>
          <rPr>
            <sz val="9"/>
            <rFont val="宋体"/>
            <family val="3"/>
            <charset val="134"/>
          </rPr>
          <t xml:space="preserve">
2019.9月收到补5号，到期日由2019.8.15续租到2022.8.15</t>
        </r>
      </text>
    </comment>
    <comment ref="K133" authorId="5" shapeId="0" xr:uid="{00000000-0006-0000-0100-000008000000}">
      <text>
        <r>
          <rPr>
            <sz val="9"/>
            <rFont val="宋体"/>
            <family val="3"/>
            <charset val="134"/>
          </rPr>
          <t>微软用户:
2011.12.2开业，2011.12.21起租日-2012.2.20停业，2012.2.21-4.22租金免收</t>
        </r>
      </text>
    </comment>
    <comment ref="P136" authorId="2" shapeId="0" xr:uid="{00000000-0006-0000-0100-000009000000}">
      <text>
        <r>
          <rPr>
            <b/>
            <sz val="9"/>
            <rFont val="宋体"/>
            <family val="3"/>
            <charset val="134"/>
          </rPr>
          <t>PC:</t>
        </r>
        <r>
          <rPr>
            <sz val="9"/>
            <rFont val="宋体"/>
            <family val="3"/>
            <charset val="134"/>
          </rPr>
          <t xml:space="preserve">
税后营业额</t>
        </r>
      </text>
    </comment>
    <comment ref="K173" authorId="5" shapeId="0" xr:uid="{00000000-0006-0000-0100-00000A000000}">
      <text>
        <r>
          <rPr>
            <sz val="9"/>
            <rFont val="宋体"/>
            <family val="3"/>
            <charset val="134"/>
          </rPr>
          <t xml:space="preserve">a:
实际起租日为2014.11.22，首期为2014.11.22-12.21
</t>
        </r>
      </text>
    </comment>
    <comment ref="H200" authorId="4" shapeId="0" xr:uid="{00000000-0006-0000-0100-00000B000000}">
      <text>
        <r>
          <rPr>
            <b/>
            <sz val="9"/>
            <rFont val="宋体"/>
            <family val="3"/>
            <charset val="134"/>
          </rPr>
          <t>岳淳:</t>
        </r>
        <r>
          <rPr>
            <sz val="9"/>
            <rFont val="宋体"/>
            <family val="3"/>
            <charset val="134"/>
          </rPr>
          <t xml:space="preserve">
如2024.6.1-2025.2.28期间平均月销售不低于120万则自动续约2年</t>
        </r>
      </text>
    </comment>
    <comment ref="I200" authorId="4" shapeId="0" xr:uid="{00000000-0006-0000-0100-00000C000000}">
      <text>
        <r>
          <rPr>
            <b/>
            <sz val="9"/>
            <rFont val="宋体"/>
            <family val="3"/>
            <charset val="134"/>
          </rPr>
          <t>岳淳:</t>
        </r>
        <r>
          <rPr>
            <sz val="9"/>
            <rFont val="宋体"/>
            <family val="3"/>
            <charset val="134"/>
          </rPr>
          <t xml:space="preserve">
如2024.6.1-2025.2.28期间平均月销售不低于120万则自动续约2年</t>
        </r>
      </text>
    </comment>
    <comment ref="H201" authorId="4" shapeId="0" xr:uid="{00000000-0006-0000-0100-00000D000000}">
      <text>
        <r>
          <rPr>
            <b/>
            <sz val="9"/>
            <rFont val="宋体"/>
            <family val="3"/>
            <charset val="134"/>
          </rPr>
          <t>岳淳:</t>
        </r>
        <r>
          <rPr>
            <sz val="9"/>
            <rFont val="宋体"/>
            <family val="3"/>
            <charset val="134"/>
          </rPr>
          <t xml:space="preserve">
如2024.6.1-2025.2.28期间平均月销售不低于120万则自动续约2年</t>
        </r>
      </text>
    </comment>
    <comment ref="I201" authorId="4" shapeId="0" xr:uid="{00000000-0006-0000-0100-00000E000000}">
      <text>
        <r>
          <rPr>
            <b/>
            <sz val="9"/>
            <rFont val="宋体"/>
            <family val="3"/>
            <charset val="134"/>
          </rPr>
          <t>岳淳:</t>
        </r>
        <r>
          <rPr>
            <sz val="9"/>
            <rFont val="宋体"/>
            <family val="3"/>
            <charset val="134"/>
          </rPr>
          <t xml:space="preserve">
如2024.6.1-2025.2.28期间平均月销售不低于120万则自动续约2年</t>
        </r>
      </text>
    </comment>
    <comment ref="K203" authorId="6" shapeId="0" xr:uid="{00000000-0006-0000-0100-00000F000000}">
      <text>
        <r>
          <rPr>
            <b/>
            <sz val="9"/>
            <rFont val="宋体"/>
            <family val="3"/>
            <charset val="134"/>
          </rPr>
          <t>test333:</t>
        </r>
        <r>
          <rPr>
            <sz val="9"/>
            <rFont val="宋体"/>
            <family val="3"/>
            <charset val="134"/>
          </rPr>
          <t xml:space="preserve">
2017.8.26-10.10基本租金为此期间销售额的15%</t>
        </r>
      </text>
    </comment>
    <comment ref="B258" authorId="7" shapeId="0" xr:uid="{00000000-0006-0000-0100-000010000000}">
      <text>
        <r>
          <rPr>
            <b/>
            <sz val="9"/>
            <rFont val="宋体"/>
            <family val="3"/>
            <charset val="134"/>
          </rPr>
          <t>gaobo133:</t>
        </r>
        <r>
          <rPr>
            <sz val="9"/>
            <rFont val="宋体"/>
            <family val="3"/>
            <charset val="134"/>
          </rPr>
          <t xml:space="preserve">
外摆50</t>
        </r>
      </text>
    </comment>
    <comment ref="K330" authorId="1" shapeId="0" xr:uid="{00000000-0006-0000-0100-000011000000}">
      <text>
        <r>
          <rPr>
            <b/>
            <sz val="9"/>
            <rFont val="宋体"/>
            <family val="3"/>
            <charset val="134"/>
          </rPr>
          <t>任倩:</t>
        </r>
        <r>
          <rPr>
            <sz val="9"/>
            <rFont val="宋体"/>
            <family val="3"/>
            <charset val="134"/>
          </rPr>
          <t xml:space="preserve">
从交付日开始</t>
        </r>
      </text>
    </comment>
    <comment ref="L330" authorId="1" shapeId="0" xr:uid="{00000000-0006-0000-0100-000012000000}">
      <text>
        <r>
          <rPr>
            <b/>
            <sz val="9"/>
            <rFont val="宋体"/>
            <family val="3"/>
            <charset val="134"/>
          </rPr>
          <t>任倩:</t>
        </r>
        <r>
          <rPr>
            <sz val="9"/>
            <rFont val="宋体"/>
            <family val="3"/>
            <charset val="134"/>
          </rPr>
          <t xml:space="preserve">
从交付日开始</t>
        </r>
      </text>
    </comment>
    <comment ref="K426" authorId="5" shapeId="0" xr:uid="{00000000-0006-0000-0100-000013000000}">
      <text>
        <r>
          <rPr>
            <sz val="9"/>
            <rFont val="宋体"/>
            <family val="3"/>
            <charset val="134"/>
          </rPr>
          <t>微软用户:
同期开业免收2011.12.2-2012.1.1抽成租金，协议免收2012.1.2-4.5抽成租金50422.55元</t>
        </r>
      </text>
    </comment>
    <comment ref="L426" authorId="5" shapeId="0" xr:uid="{00000000-0006-0000-0100-000014000000}">
      <text>
        <r>
          <rPr>
            <sz val="9"/>
            <rFont val="宋体"/>
            <family val="3"/>
            <charset val="134"/>
          </rPr>
          <t>微软用户:
同期开业免收2011.12.2-2012.1.1抽成租金，协议免收2012.1.2-4.5抽成租金50422.55元</t>
        </r>
      </text>
    </comment>
    <comment ref="P427" authorId="5" shapeId="0" xr:uid="{00000000-0006-0000-0100-000015000000}">
      <text>
        <r>
          <rPr>
            <sz val="9"/>
            <rFont val="宋体"/>
            <family val="3"/>
            <charset val="134"/>
          </rPr>
          <t>a:
300万/月以下抽3%</t>
        </r>
      </text>
    </comment>
    <comment ref="P428" authorId="5" shapeId="0" xr:uid="{00000000-0006-0000-0100-000016000000}">
      <text>
        <r>
          <rPr>
            <sz val="9"/>
            <rFont val="宋体"/>
            <family val="3"/>
            <charset val="134"/>
          </rPr>
          <t>a:
300万以上抽8%</t>
        </r>
      </text>
    </comment>
    <comment ref="P429" authorId="5" shapeId="0" xr:uid="{00000000-0006-0000-0100-000017000000}">
      <text>
        <r>
          <rPr>
            <sz val="9"/>
            <rFont val="宋体"/>
            <family val="3"/>
            <charset val="134"/>
          </rPr>
          <t>a:
300万以下抽3.5%</t>
        </r>
      </text>
    </comment>
    <comment ref="P430" authorId="5" shapeId="0" xr:uid="{00000000-0006-0000-0100-000018000000}">
      <text>
        <r>
          <rPr>
            <sz val="9"/>
            <rFont val="宋体"/>
            <family val="3"/>
            <charset val="134"/>
          </rPr>
          <t>a:
300万以上抽8%</t>
        </r>
      </text>
    </comment>
    <comment ref="P431" authorId="5" shapeId="0" xr:uid="{00000000-0006-0000-0100-000019000000}">
      <text>
        <r>
          <rPr>
            <sz val="9"/>
            <rFont val="宋体"/>
            <family val="3"/>
            <charset val="134"/>
          </rPr>
          <t>a:
300万以下抽3.5%</t>
        </r>
      </text>
    </comment>
    <comment ref="P432" authorId="5" shapeId="0" xr:uid="{00000000-0006-0000-0100-00001A000000}">
      <text>
        <r>
          <rPr>
            <sz val="9"/>
            <rFont val="宋体"/>
            <family val="3"/>
            <charset val="134"/>
          </rPr>
          <t>a:
300万以上抽8%</t>
        </r>
      </text>
    </comment>
    <comment ref="P433" authorId="5" shapeId="0" xr:uid="{00000000-0006-0000-0100-00001B000000}">
      <text>
        <r>
          <rPr>
            <sz val="9"/>
            <rFont val="宋体"/>
            <family val="3"/>
            <charset val="134"/>
          </rPr>
          <t>a:
300万以下抽3.5%</t>
        </r>
      </text>
    </comment>
    <comment ref="P434" authorId="5" shapeId="0" xr:uid="{00000000-0006-0000-0100-00001C000000}">
      <text>
        <r>
          <rPr>
            <sz val="9"/>
            <rFont val="宋体"/>
            <family val="3"/>
            <charset val="134"/>
          </rPr>
          <t>a:
300万以上抽8%</t>
        </r>
      </text>
    </comment>
    <comment ref="P435" authorId="1" shapeId="0" xr:uid="{00000000-0006-0000-0100-00001D000000}">
      <text>
        <r>
          <rPr>
            <b/>
            <sz val="9"/>
            <rFont val="宋体"/>
            <family val="3"/>
            <charset val="134"/>
          </rPr>
          <t>任倩:</t>
        </r>
        <r>
          <rPr>
            <sz val="9"/>
            <rFont val="宋体"/>
            <family val="3"/>
            <charset val="134"/>
          </rPr>
          <t xml:space="preserve">
销售净额&lt;=300万部分，3.5%
销售净额&gt;300万以上部分，8%</t>
        </r>
      </text>
    </comment>
    <comment ref="P436" authorId="1" shapeId="0" xr:uid="{00000000-0006-0000-0100-00001E000000}">
      <text>
        <r>
          <rPr>
            <b/>
            <sz val="9"/>
            <rFont val="宋体"/>
            <family val="3"/>
            <charset val="134"/>
          </rPr>
          <t>任倩:</t>
        </r>
        <r>
          <rPr>
            <sz val="9"/>
            <rFont val="宋体"/>
            <family val="3"/>
            <charset val="134"/>
          </rPr>
          <t xml:space="preserve">
销售净额&lt;=300万部分，3.5%
销售净额&gt;300万以上部分，8%</t>
        </r>
      </text>
    </comment>
    <comment ref="P438" authorId="8" shapeId="0" xr:uid="{00000000-0006-0000-0100-00001F000000}">
      <text>
        <r>
          <rPr>
            <b/>
            <sz val="9"/>
            <rFont val="宋体"/>
            <family val="3"/>
            <charset val="134"/>
          </rPr>
          <t>付洁:</t>
        </r>
        <r>
          <rPr>
            <sz val="9"/>
            <rFont val="宋体"/>
            <family val="3"/>
            <charset val="134"/>
          </rPr>
          <t xml:space="preserve">
税后销售净额</t>
        </r>
      </text>
    </comment>
    <comment ref="B463" authorId="6" shapeId="0" xr:uid="{00000000-0006-0000-0100-000020000000}">
      <text>
        <r>
          <rPr>
            <b/>
            <sz val="9"/>
            <rFont val="宋体"/>
            <family val="3"/>
            <charset val="134"/>
          </rPr>
          <t>test333:</t>
        </r>
        <r>
          <rPr>
            <sz val="9"/>
            <rFont val="宋体"/>
            <family val="3"/>
            <charset val="134"/>
          </rPr>
          <t xml:space="preserve">
承租面积：75.6
租金面积：52.1
外摆面积：23.5</t>
        </r>
      </text>
    </comment>
    <comment ref="C463" authorId="0" shapeId="0" xr:uid="{00000000-0006-0000-0100-000021000000}">
      <text>
        <r>
          <rPr>
            <b/>
            <sz val="9"/>
            <rFont val="宋体"/>
            <family val="3"/>
            <charset val="134"/>
          </rPr>
          <t>郑雪玲:</t>
        </r>
        <r>
          <rPr>
            <sz val="9"/>
            <rFont val="宋体"/>
            <family val="3"/>
            <charset val="134"/>
          </rPr>
          <t xml:space="preserve">
原交付日2018-9-16</t>
        </r>
      </text>
    </comment>
    <comment ref="E463" authorId="0" shapeId="0" xr:uid="{00000000-0006-0000-0100-000022000000}">
      <text>
        <r>
          <rPr>
            <b/>
            <sz val="9"/>
            <rFont val="宋体"/>
            <family val="3"/>
            <charset val="134"/>
          </rPr>
          <t>郑雪玲:</t>
        </r>
        <r>
          <rPr>
            <sz val="9"/>
            <rFont val="宋体"/>
            <family val="3"/>
            <charset val="134"/>
          </rPr>
          <t xml:space="preserve">
原2021/9/15</t>
        </r>
      </text>
    </comment>
    <comment ref="G463" authorId="0" shapeId="0" xr:uid="{00000000-0006-0000-0100-000023000000}">
      <text>
        <r>
          <rPr>
            <b/>
            <sz val="9"/>
            <rFont val="宋体"/>
            <family val="3"/>
            <charset val="134"/>
          </rPr>
          <t>郑雪玲:</t>
        </r>
        <r>
          <rPr>
            <sz val="9"/>
            <rFont val="宋体"/>
            <family val="3"/>
            <charset val="134"/>
          </rPr>
          <t xml:space="preserve">
原2018/10/31</t>
        </r>
      </text>
    </comment>
    <comment ref="B472" authorId="6" shapeId="0" xr:uid="{00000000-0006-0000-0100-000024000000}">
      <text>
        <r>
          <rPr>
            <b/>
            <sz val="9"/>
            <rFont val="宋体"/>
            <family val="3"/>
            <charset val="134"/>
          </rPr>
          <t>test333:</t>
        </r>
        <r>
          <rPr>
            <sz val="9"/>
            <rFont val="宋体"/>
            <family val="3"/>
            <charset val="134"/>
          </rPr>
          <t xml:space="preserve">
承租面积：69.7
租金面积：32.3
外摆面积：37.4
</t>
        </r>
      </text>
    </comment>
    <comment ref="K495" authorId="4" shapeId="0" xr:uid="{00000000-0006-0000-0100-000025000000}">
      <text>
        <r>
          <rPr>
            <b/>
            <sz val="9"/>
            <rFont val="宋体"/>
            <family val="3"/>
            <charset val="134"/>
          </rPr>
          <t>岳淳:</t>
        </r>
        <r>
          <rPr>
            <sz val="9"/>
            <rFont val="宋体"/>
            <family val="3"/>
            <charset val="134"/>
          </rPr>
          <t xml:space="preserve">
若第三个租赁年度前6个月月均达35万，则自动续约1年</t>
        </r>
      </text>
    </comment>
    <comment ref="L495" authorId="4" shapeId="0" xr:uid="{00000000-0006-0000-0100-000026000000}">
      <text>
        <r>
          <rPr>
            <b/>
            <sz val="9"/>
            <rFont val="宋体"/>
            <family val="3"/>
            <charset val="134"/>
          </rPr>
          <t>岳淳:</t>
        </r>
        <r>
          <rPr>
            <sz val="9"/>
            <rFont val="宋体"/>
            <family val="3"/>
            <charset val="134"/>
          </rPr>
          <t xml:space="preserve">
若第三个租赁年度前6个月月均达35万，则自动续约1年</t>
        </r>
      </text>
    </comment>
    <comment ref="K501" authorId="4" shapeId="0" xr:uid="{00000000-0006-0000-0100-000027000000}">
      <text>
        <r>
          <rPr>
            <b/>
            <sz val="9"/>
            <rFont val="宋体"/>
            <family val="3"/>
            <charset val="134"/>
          </rPr>
          <t>岳淳:</t>
        </r>
        <r>
          <rPr>
            <sz val="9"/>
            <rFont val="宋体"/>
            <family val="3"/>
            <charset val="134"/>
          </rPr>
          <t xml:space="preserve">
若2025.8.14-2026.8.13期间月度零售额达到35万元，则租期自动延长至2028.8.13.</t>
        </r>
      </text>
    </comment>
    <comment ref="L501" authorId="4" shapeId="0" xr:uid="{00000000-0006-0000-0100-000028000000}">
      <text>
        <r>
          <rPr>
            <b/>
            <sz val="9"/>
            <rFont val="宋体"/>
            <family val="3"/>
            <charset val="134"/>
          </rPr>
          <t>岳淳:</t>
        </r>
        <r>
          <rPr>
            <sz val="9"/>
            <rFont val="宋体"/>
            <family val="3"/>
            <charset val="134"/>
          </rPr>
          <t xml:space="preserve">
若2025.8.14-2026.8.13期间月度零售额达到35万元，则租期自动延长至2028.8.13.</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<sst xmlns="http://schemas.openxmlformats.org/spreadsheetml/2006/main" count="9239" uniqueCount="4550">
  <si>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</si>
  <si>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</si>
  <si>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</si>
  <si>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</si>
  <si>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</si>
  <si>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</si>
  <si>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</si>
  <si>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</si>
  <si>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</si>
  <si>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</si>
  <si>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</si>
  <si>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</si>
  <si>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</si>
  <si>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</si>
  <si>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</si>
  <si>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</si>
  <si>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</si>
  <si>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</si>
  <si>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</si>
  <si>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</si>
  <si>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</si>
  <si>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</si>
  <si>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</si>
  <si>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</si>
  <si>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</si>
  <si>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</si>
  <si>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</si>
  <si>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</si>
  <si>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</si>
  <si>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</si>
  <si>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</si>
  <si>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</si>
  <si>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</si>
  <si>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</si>
  <si>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</si>
  <si>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</si>
  <si>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</si>
  <si>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</si>
  <si>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</si>
  <si>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</si>
  <si>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</si>
  <si>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</si>
  <si>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</si>
  <si>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</si>
  <si>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</si>
  <si>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</si>
  <si>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</si>
  <si>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</si>
  <si>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</si>
  <si>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</si>
  <si>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</si>
  <si>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</si>
  <si>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</si>
  <si>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</si>
  <si>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</si>
  <si>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</si>
  <si>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</si>
  <si>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</si>
  <si>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</si>
  <si>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</si>
  <si>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</si>
  <si>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</si>
  <si>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</si>
  <si>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</si>
  <si>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</si>
  <si>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</si>
  <si>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</si>
  <si>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</si>
  <si>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</si>
  <si>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</si>
  <si>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</si>
  <si>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</si>
  <si>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</si>
  <si>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</si>
  <si>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</si>
  <si>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</si>
  <si>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</si>
  <si>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</si>
  <si>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</si>
  <si>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</si>
  <si>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</si>
  <si>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</si>
  <si>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</si>
  <si>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</si>
  <si>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</si>
  <si>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</si>
  <si>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</si>
  <si>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</si>
  <si>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</si>
  <si>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</si>
  <si>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</si>
  <si>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</si>
  <si>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</si>
  <si>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</si>
  <si>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</si>
  <si>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</si>
  <si>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</si>
  <si>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</si>
  <si>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</si>
  <si>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</si>
  <si>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</si>
  <si>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</si>
  <si>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</si>
  <si>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</si>
  <si>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</si>
  <si>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</si>
  <si>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</si>
  <si>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</si>
  <si>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</si>
  <si>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</si>
  <si>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</si>
  <si>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</si>
  <si>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</si>
  <si>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</si>
  <si>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</si>
  <si>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</si>
  <si>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</si>
  <si>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</si>
  <si>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</si>
  <si>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</si>
  <si>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</si>
  <si>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</si>
  <si>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</si>
  <si>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</si>
  <si>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</si>
  <si>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</si>
  <si>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</si>
  <si>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</si>
  <si>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</si>
  <si>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</si>
  <si>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</si>
  <si>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</si>
  <si>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</si>
  <si>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</si>
  <si>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</si>
  <si>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</si>
  <si>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</si>
  <si>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</si>
  <si>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</si>
  <si>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</si>
  <si>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</si>
  <si>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</si>
  <si>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</si>
  <si>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</si>
  <si>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</si>
  <si>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</si>
  <si>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</si>
  <si>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</si>
  <si>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</si>
  <si>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</si>
  <si>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</si>
  <si>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</si>
  <si>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</si>
  <si>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</si>
  <si>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</si>
  <si>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</si>
  <si>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</si>
  <si>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</si>
  <si>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</si>
  <si>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</si>
  <si>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</si>
  <si>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</si>
  <si>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</si>
  <si>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</si>
  <si>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</si>
  <si>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</si>
  <si>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</si>
  <si>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</si>
  <si>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</si>
  <si>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</si>
  <si>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</si>
  <si>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</si>
  <si>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</si>
  <si>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</si>
  <si>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</si>
  <si>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</si>
  <si>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</si>
  <si>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</si>
  <si>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</si>
  <si>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</si>
  <si>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</si>
  <si>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</si>
  <si>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</si>
  <si>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</si>
  <si>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</si>
  <si>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</si>
  <si>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</si>
  <si>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</si>
  <si>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</si>
  <si>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</si>
  <si>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</si>
  <si>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</si>
  <si>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</si>
  <si>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</si>
  <si>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</si>
  <si>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</si>
  <si>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</si>
  <si>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</si>
  <si>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</si>
  <si>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</si>
  <si>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</si>
  <si>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</si>
  <si>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</si>
  <si>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</si>
  <si>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</si>
  <si>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</si>
  <si>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</si>
  <si>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</si>
  <si>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</si>
  <si>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</si>
  <si>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</si>
  <si>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</si>
  <si>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</si>
  <si>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</si>
  <si>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</si>
  <si>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</si>
  <si>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</si>
  <si>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</si>
  <si>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</si>
  <si>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</si>
  <si>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</si>
  <si>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</si>
  <si>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</si>
  <si>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</si>
  <si>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</si>
  <si>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</si>
  <si>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</si>
  <si>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</si>
  <si>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</si>
  <si>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</si>
  <si>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</si>
  <si>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</si>
  <si>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</si>
  <si>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</si>
  <si>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</si>
  <si>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</si>
  <si>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</si>
  <si>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</si>
  <si>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</si>
  <si>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</si>
  <si>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</si>
  <si>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</si>
  <si>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</si>
  <si>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</si>
  <si>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</si>
  <si>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</si>
  <si>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</si>
  <si>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</si>
  <si>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</si>
  <si>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</si>
  <si>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</si>
  <si>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</si>
  <si>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</si>
  <si>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</si>
  <si>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</si>
  <si>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</si>
  <si>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</si>
  <si>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</si>
  <si>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</si>
  <si>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</si>
  <si>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</si>
  <si>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</si>
  <si>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</si>
  <si>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</si>
  <si>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</si>
  <si>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</si>
  <si>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</si>
  <si>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</si>
  <si>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</si>
  <si>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</si>
  <si>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</si>
  <si>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</si>
  <si>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</si>
  <si>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</si>
  <si>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</si>
  <si>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</si>
  <si>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</si>
  <si>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</si>
  <si>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</si>
  <si>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</si>
  <si>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</si>
  <si>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</si>
  <si>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</si>
  <si>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</si>
  <si>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</si>
  <si>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</si>
  <si>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</si>
  <si>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</si>
  <si>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</si>
  <si>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</si>
  <si>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</si>
  <si>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</si>
  <si>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</si>
  <si>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</si>
  <si>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</si>
  <si>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</si>
  <si>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</si>
  <si>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</si>
  <si>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</si>
  <si>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</si>
  <si>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</si>
  <si>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</si>
  <si>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</si>
  <si>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</si>
  <si>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</si>
  <si>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</si>
  <si>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</si>
  <si>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</si>
  <si>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</si>
  <si>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</si>
  <si>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</si>
  <si>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</si>
  <si>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</si>
  <si>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</si>
  <si>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</si>
  <si>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</si>
  <si>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</si>
  <si>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</si>
  <si>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</si>
  <si>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</si>
  <si>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</si>
  <si>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</si>
  <si>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</si>
  <si>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</si>
  <si>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</si>
  <si>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</si>
  <si>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</si>
  <si>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</si>
  <si>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</si>
  <si>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</si>
  <si>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</si>
  <si>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</si>
  <si>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</si>
  <si>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</si>
  <si>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</si>
  <si>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</si>
  <si>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</si>
  <si>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</si>
  <si>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</si>
  <si>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</si>
  <si>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</si>
  <si>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</si>
  <si>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</si>
  <si>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</si>
  <si>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</si>
  <si>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</si>
  <si>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</si>
  <si>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</si>
  <si>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</si>
  <si>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</si>
  <si>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</si>
  <si>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</si>
  <si>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</si>
  <si>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</si>
  <si>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</si>
  <si>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</si>
  <si>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</si>
  <si>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</si>
  <si>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</si>
  <si>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</si>
  <si>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</si>
  <si>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</si>
  <si>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</si>
  <si>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</si>
  <si>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</si>
  <si>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</si>
  <si>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</si>
  <si>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</si>
  <si>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</si>
  <si>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</si>
  <si>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</si>
  <si>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</si>
  <si>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</si>
  <si>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</si>
  <si>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</si>
  <si>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</si>
  <si>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</si>
  <si>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</si>
  <si>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</si>
  <si>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</si>
  <si>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</si>
  <si>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</si>
  <si>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</si>
  <si>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</si>
  <si>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</si>
  <si>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</si>
  <si>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</si>
  <si>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</si>
  <si>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</si>
  <si>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</si>
  <si>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</si>
  <si>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</si>
  <si>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</si>
  <si>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</si>
  <si>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</si>
  <si>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</si>
  <si>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</si>
  <si>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</si>
  <si>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</si>
  <si>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</si>
  <si>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</si>
  <si>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</si>
  <si>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</si>
  <si>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</si>
  <si>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</si>
  <si>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</si>
  <si>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</si>
  <si>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</si>
  <si>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</si>
  <si>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</si>
  <si>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</si>
  <si>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</si>
  <si>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</si>
  <si>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</si>
  <si>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</si>
  <si>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</si>
  <si>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</si>
  <si>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</si>
  <si>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</si>
  <si>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</si>
  <si>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</si>
  <si>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</si>
  <si>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</si>
  <si>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</si>
  <si>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</si>
  <si>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</si>
  <si>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</si>
  <si>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</si>
  <si>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</si>
  <si>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</si>
  <si>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</si>
  <si>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</si>
  <si>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</si>
  <si>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</si>
  <si>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</si>
  <si>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</si>
  <si>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</si>
  <si>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</si>
  <si>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</si>
  <si>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</si>
  <si>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</si>
  <si>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</si>
  <si>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</si>
  <si>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</si>
  <si>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</si>
  <si>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</si>
  <si>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</si>
  <si>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</si>
  <si>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</si>
  <si>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</si>
  <si>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</si>
  <si>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</si>
  <si>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</si>
  <si>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</si>
  <si>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</si>
  <si>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</si>
  <si>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</si>
  <si>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</si>
  <si>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</si>
  <si>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</si>
  <si>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</si>
  <si>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</si>
  <si>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</si>
  <si>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</si>
  <si>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</si>
  <si>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</si>
  <si>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</si>
  <si>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</si>
  <si>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</si>
  <si>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</si>
  <si>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</si>
  <si>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</si>
  <si>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</si>
  <si>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</si>
  <si>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</si>
  <si>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</si>
  <si>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</si>
  <si>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</si>
  <si>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</si>
  <si>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</si>
  <si>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</si>
  <si>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</si>
  <si>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</si>
  <si>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</si>
  <si>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</si>
  <si>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</si>
  <si>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</si>
  <si>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</si>
  <si>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</si>
  <si>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</si>
  <si>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</si>
  <si>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</si>
  <si>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</si>
  <si>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</si>
  <si>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</si>
  <si>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</si>
  <si>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</si>
  <si>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</si>
  <si>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</si>
  <si>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</si>
  <si>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</si>
  <si>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</si>
  <si>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</si>
  <si>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</si>
  <si>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</si>
  <si>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</si>
  <si>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</si>
  <si>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</si>
  <si>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</si>
  <si>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</si>
  <si>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</si>
  <si>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</si>
  <si>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</si>
  <si>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</si>
  <si>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</si>
  <si>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</si>
  <si>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</si>
  <si>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</si>
  <si>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</si>
  <si>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</si>
  <si>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</si>
  <si>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</si>
  <si>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</si>
  <si>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</si>
  <si>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</si>
  <si>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</si>
  <si>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</si>
  <si>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</si>
  <si>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</si>
  <si>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</si>
  <si>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</si>
  <si>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</si>
  <si>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</si>
  <si>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</si>
  <si>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</si>
  <si>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</si>
  <si>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</si>
  <si>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</si>
  <si>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</si>
  <si>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</si>
  <si>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</si>
  <si>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</si>
  <si>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</si>
  <si>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</si>
  <si>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</si>
  <si>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</si>
  <si>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</si>
  <si>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</si>
  <si>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</si>
  <si>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</si>
  <si>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</si>
  <si>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</si>
  <si>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</si>
  <si>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</si>
  <si>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</si>
  <si>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</si>
  <si>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</si>
  <si>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</si>
  <si>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</si>
  <si>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</si>
  <si>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</si>
  <si>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</si>
  <si>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</si>
  <si>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</si>
  <si>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</si>
  <si>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</si>
  <si>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</si>
  <si>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</si>
  <si>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</si>
  <si>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</si>
  <si>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</si>
  <si>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</si>
  <si>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</si>
  <si>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</si>
  <si>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</si>
  <si>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</si>
  <si>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</si>
  <si>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</si>
  <si>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</si>
  <si>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</si>
  <si>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</si>
  <si>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</si>
  <si>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</si>
  <si>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</si>
  <si>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</si>
  <si>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</si>
  <si>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</si>
  <si>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</si>
  <si>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</si>
  <si>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</si>
  <si>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</si>
  <si>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</si>
  <si>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</si>
  <si>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</si>
  <si>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</si>
  <si>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</si>
  <si>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</si>
  <si>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</si>
  <si>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</si>
  <si>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</si>
  <si>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</si>
  <si>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</si>
  <si>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</si>
  <si>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</si>
  <si>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</si>
  <si>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</si>
  <si>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</si>
  <si>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</si>
  <si>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</si>
  <si>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</si>
  <si>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</si>
  <si>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</si>
  <si>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</si>
  <si>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</si>
  <si>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</si>
  <si>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</si>
  <si>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</si>
  <si>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</si>
  <si>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</si>
  <si>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</si>
  <si>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</si>
  <si>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</si>
  <si>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</si>
  <si>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</si>
  <si>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</si>
  <si>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</si>
  <si>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</si>
  <si>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</si>
  <si>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</si>
  <si>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</si>
  <si>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</si>
  <si>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</si>
  <si>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</si>
  <si>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</si>
  <si>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</si>
  <si>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</si>
  <si>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</si>
  <si>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</si>
  <si>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</si>
  <si>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</si>
  <si>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</si>
  <si>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</si>
  <si>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</si>
  <si>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</si>
  <si>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</si>
  <si>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</si>
  <si>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</si>
  <si>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</si>
  <si>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</si>
  <si>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</si>
  <si>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</si>
  <si>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</si>
  <si>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</si>
  <si>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</si>
  <si>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</si>
  <si>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</si>
  <si>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</si>
  <si>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</si>
  <si>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</si>
  <si>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</si>
  <si>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</si>
  <si>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</si>
  <si>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</si>
  <si>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</si>
  <si>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</si>
  <si>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</si>
  <si>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</si>
  <si>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</si>
  <si>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</si>
  <si>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</si>
  <si>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</si>
  <si>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</si>
  <si>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</si>
  <si>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</si>
  <si>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</si>
  <si>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</si>
  <si>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</si>
  <si>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</si>
  <si>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</si>
  <si>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</si>
  <si>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</si>
  <si>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</si>
  <si>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</si>
  <si>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</si>
  <si>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</si>
  <si>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</si>
  <si>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</si>
  <si>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</si>
  <si>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</si>
  <si>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</si>
  <si>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</si>
  <si>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</si>
  <si>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</si>
  <si>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</si>
  <si>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</si>
  <si>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</si>
  <si>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</si>
  <si>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</si>
  <si>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</si>
  <si>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</si>
  <si>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</si>
  <si>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</si>
  <si>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</si>
  <si>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</si>
  <si>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</si>
  <si>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</si>
  <si>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</si>
  <si>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</si>
  <si>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</si>
  <si>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</si>
  <si>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</si>
  <si>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</si>
  <si>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</si>
  <si>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</si>
  <si>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</si>
  <si>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</si>
  <si>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</si>
  <si>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</si>
  <si>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</si>
  <si>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</si>
  <si>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</si>
  <si>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</si>
  <si>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</si>
  <si>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</si>
  <si>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</si>
  <si>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</si>
  <si>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</si>
  <si>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</si>
  <si>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</si>
  <si>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</si>
  <si>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</si>
  <si>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</si>
  <si>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</si>
  <si>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</si>
  <si>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</si>
  <si>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</si>
  <si>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</si>
  <si>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</si>
  <si>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</si>
  <si>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</si>
  <si>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</si>
  <si>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</si>
  <si>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</si>
  <si>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</si>
  <si>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</si>
  <si>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</si>
  <si>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</si>
  <si>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</si>
  <si>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</si>
  <si>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</si>
  <si>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</si>
  <si>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</si>
  <si>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</si>
  <si>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</si>
  <si>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</si>
  <si>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</si>
  <si>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</si>
  <si>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</si>
  <si>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</si>
  <si>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</si>
  <si>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</si>
  <si>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</si>
  <si>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</si>
  <si>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</si>
  <si>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</si>
  <si>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</si>
  <si>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</si>
  <si>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</si>
  <si>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</si>
  <si>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</si>
  <si>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</si>
  <si>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</si>
  <si>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</si>
  <si>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</si>
  <si>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</si>
  <si>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</si>
  <si>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</si>
  <si>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</si>
  <si>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</si>
  <si>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</si>
  <si>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</si>
  <si>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</si>
  <si>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</si>
  <si>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</si>
  <si>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</si>
  <si>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</si>
  <si>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</si>
  <si>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</si>
  <si>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</si>
  <si>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</si>
  <si>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</si>
  <si>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</si>
  <si>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</si>
  <si>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</si>
  <si>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</si>
  <si>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</si>
  <si>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</si>
  <si>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</si>
  <si>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</si>
  <si>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</si>
  <si>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</si>
  <si>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</si>
  <si>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</si>
  <si>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</si>
  <si>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</si>
  <si>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</si>
  <si>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</si>
  <si>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</si>
  <si>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</si>
  <si>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</si>
  <si>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</si>
  <si>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</si>
  <si>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</si>
  <si>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</si>
  <si>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</si>
  <si>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</si>
  <si>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</si>
  <si>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</si>
  <si>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</si>
  <si>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</si>
  <si>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</si>
  <si>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</si>
  <si>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</si>
  <si>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</si>
  <si>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</si>
  <si>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</si>
  <si>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</si>
  <si>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</si>
  <si>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</si>
  <si>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</si>
  <si>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</si>
  <si>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</si>
  <si>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</si>
  <si>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</si>
  <si>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</si>
  <si>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</si>
  <si>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</si>
  <si>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</si>
  <si>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</si>
  <si>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</si>
  <si>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</si>
  <si>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</si>
  <si>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</si>
  <si>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</si>
  <si>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</si>
  <si>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</si>
  <si>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</si>
  <si>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</si>
  <si>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</si>
  <si>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</si>
  <si>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</si>
  <si>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</si>
  <si>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</si>
  <si>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</si>
  <si>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</si>
  <si>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</si>
  <si>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</si>
  <si>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</si>
  <si>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</si>
  <si>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</si>
  <si>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</si>
  <si>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</si>
  <si>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</si>
  <si>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</si>
  <si>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</si>
  <si>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</si>
  <si>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</si>
  <si>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</si>
  <si>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</si>
  <si>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</si>
  <si>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</si>
  <si>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</si>
  <si>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</si>
  <si>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</si>
  <si>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</si>
  <si>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</si>
  <si>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</si>
  <si>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</si>
  <si>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</si>
  <si>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</si>
  <si>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</si>
  <si>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</si>
  <si>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</si>
  <si>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</si>
  <si>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</si>
  <si>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</si>
  <si>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</si>
  <si>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</si>
  <si>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</si>
  <si>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</si>
  <si>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</si>
  <si>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</si>
  <si>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</si>
  <si>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</si>
  <si>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</si>
  <si>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</si>
  <si>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</si>
  <si>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</si>
  <si>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</si>
  <si>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</si>
  <si>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</si>
  <si>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</si>
  <si>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</si>
  <si>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</si>
  <si>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</si>
  <si>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</si>
  <si>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</si>
  <si>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</si>
  <si>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</si>
  <si>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</si>
  <si>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</si>
  <si>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</si>
  <si>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</si>
  <si>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</si>
  <si>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</si>
  <si>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</si>
  <si>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</si>
  <si>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</si>
  <si>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</si>
  <si>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</si>
  <si>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</si>
  <si>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</si>
  <si>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</si>
  <si>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</si>
  <si>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</si>
  <si>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</si>
  <si>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</si>
  <si>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</si>
  <si>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</si>
  <si>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</si>
  <si>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</si>
  <si>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</si>
  <si>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</si>
  <si>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</si>
  <si>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</si>
  <si>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</si>
  <si>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</si>
  <si>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</si>
  <si>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</si>
  <si>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</si>
  <si>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</si>
  <si>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</si>
  <si>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</si>
  <si>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</si>
  <si>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</si>
  <si>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</si>
  <si>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</si>
  <si>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</si>
  <si>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</si>
  <si>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</si>
  <si>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</si>
  <si>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</si>
  <si>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</si>
  <si>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</si>
  <si>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</si>
  <si>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</si>
  <si>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</si>
  <si>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</si>
  <si>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</si>
  <si>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</si>
  <si>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</si>
  <si>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</si>
  <si>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</si>
  <si>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</si>
  <si>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</si>
  <si>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</si>
  <si>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</si>
  <si>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</si>
  <si>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</si>
  <si>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</si>
  <si>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</si>
  <si>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</si>
  <si>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</si>
  <si>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</si>
  <si>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</si>
  <si>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</si>
  <si>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</si>
  <si>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</si>
  <si>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</si>
  <si>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</si>
  <si>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</si>
  <si>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</si>
  <si>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</si>
  <si>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</si>
  <si>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</si>
  <si>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</si>
  <si>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</si>
  <si>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</si>
  <si>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</si>
  <si>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</si>
  <si>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</si>
  <si>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</si>
  <si>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</si>
  <si>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</si>
  <si>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</si>
  <si>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</si>
  <si>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</si>
  <si>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</si>
  <si>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</si>
  <si>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</si>
  <si>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</si>
  <si>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</si>
  <si>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</si>
  <si>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</si>
  <si>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</si>
  <si>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</si>
  <si>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</si>
  <si>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</si>
  <si>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</si>
  <si>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</si>
  <si>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</si>
  <si>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</si>
  <si>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</si>
  <si>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</si>
  <si>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</si>
  <si>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</si>
  <si>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</si>
  <si>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</si>
  <si>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</si>
  <si>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</si>
  <si>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</si>
  <si>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</si>
  <si>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</si>
  <si>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</si>
  <si>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</si>
  <si>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</si>
  <si>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</si>
  <si>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</si>
  <si>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</si>
  <si>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</si>
  <si>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</si>
  <si>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</si>
  <si>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</si>
  <si>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</si>
  <si>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</si>
  <si>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</si>
  <si>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</si>
  <si>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</si>
  <si>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</si>
  <si>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</si>
  <si>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</si>
  <si>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</si>
  <si>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</si>
  <si>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</si>
  <si>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</si>
  <si>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</si>
  <si>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</si>
  <si>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</si>
  <si>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</si>
  <si>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</si>
  <si>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</si>
  <si>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</si>
  <si>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</si>
  <si>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</si>
  <si>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</si>
  <si>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</si>
  <si>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</si>
  <si>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</si>
  <si>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</si>
  <si>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</si>
  <si>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</si>
  <si>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</si>
  <si>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</si>
  <si>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</si>
  <si>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</si>
  <si>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</si>
  <si>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</si>
  <si>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</si>
  <si>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</si>
  <si>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</si>
  <si>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</si>
  <si>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</si>
  <si>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</si>
  <si>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</si>
  <si>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</si>
  <si>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</si>
  <si>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</si>
  <si>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</si>
  <si>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</si>
  <si>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</si>
  <si>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</si>
  <si>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</si>
  <si>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</si>
  <si>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</si>
  <si>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</si>
  <si>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</si>
  <si>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</si>
  <si>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</si>
  <si>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</si>
  <si>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</si>
  <si>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</si>
  <si>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</si>
  <si>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</si>
  <si>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</si>
  <si>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</si>
  <si>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</si>
  <si>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</si>
  <si>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</si>
  <si>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</si>
  <si>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</si>
  <si>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</si>
  <si>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</si>
  <si>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</si>
  <si>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</si>
  <si>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</si>
  <si>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</si>
  <si>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</si>
  <si>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</si>
  <si>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</si>
  <si>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</si>
  <si>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</si>
  <si>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</si>
  <si>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</si>
  <si>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</si>
  <si>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</si>
  <si>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</si>
  <si>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</si>
  <si>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</si>
  <si>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</si>
  <si>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</si>
  <si>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</si>
  <si>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</si>
  <si>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</si>
  <si>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</si>
  <si>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</si>
  <si>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</si>
  <si>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</si>
  <si>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</si>
  <si>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</si>
  <si>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</si>
  <si>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</si>
  <si>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</si>
  <si>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</si>
  <si>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</si>
  <si>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</si>
  <si>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</si>
  <si>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</si>
  <si>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</si>
  <si>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</si>
  <si>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</si>
  <si>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</si>
  <si>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</si>
  <si>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</si>
  <si>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</si>
  <si>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</si>
  <si>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</si>
  <si>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</si>
  <si>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</si>
  <si>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</si>
  <si>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</si>
  <si>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</si>
  <si>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</si>
  <si>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</si>
  <si>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</si>
  <si>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</si>
  <si>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</si>
  <si>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</si>
  <si>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</si>
  <si>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</si>
  <si>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</si>
  <si>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</si>
  <si>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</si>
  <si>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</si>
  <si>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</si>
  <si>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</si>
  <si>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</si>
  <si>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</si>
  <si>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</si>
  <si>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</si>
  <si>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</si>
  <si>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</si>
  <si>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</si>
  <si>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</si>
  <si>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</si>
  <si>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</si>
  <si>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</si>
  <si>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</si>
  <si>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</si>
  <si>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</si>
  <si>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</si>
  <si>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</si>
  <si>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</si>
  <si>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</si>
  <si>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</si>
  <si>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</si>
  <si>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</si>
  <si>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</si>
  <si>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</si>
  <si>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</si>
  <si>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</si>
  <si>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</si>
  <si>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</si>
  <si>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</si>
  <si>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</si>
  <si>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</si>
  <si>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</si>
  <si>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</si>
  <si>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</si>
  <si>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</si>
  <si>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</si>
  <si>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</si>
  <si>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</si>
  <si>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</si>
  <si>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</si>
  <si>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</si>
  <si>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</si>
  <si>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</si>
  <si>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</si>
  <si>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</si>
  <si>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</si>
  <si>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</si>
  <si>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</si>
  <si>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</si>
  <si>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</si>
  <si>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</si>
  <si>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</si>
  <si>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</si>
  <si>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</si>
  <si>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</si>
  <si>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</si>
  <si>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</si>
  <si>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</si>
  <si>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</si>
  <si>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</si>
  <si>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</si>
  <si>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</si>
  <si>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</si>
  <si>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</si>
  <si>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</si>
  <si>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</si>
  <si>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</si>
  <si>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</si>
  <si>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</si>
  <si>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</si>
  <si>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</si>
  <si>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</si>
  <si>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</si>
  <si>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</si>
  <si>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</si>
  <si>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</si>
  <si>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</si>
  <si>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</si>
  <si>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</si>
  <si>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</si>
  <si>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</si>
  <si>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</si>
  <si>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</si>
  <si>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</si>
  <si>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</si>
  <si>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</si>
  <si>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</si>
  <si>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</si>
  <si>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</si>
  <si>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</si>
  <si>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</si>
  <si>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</si>
  <si>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</si>
  <si>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</si>
  <si>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</si>
  <si>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</si>
  <si>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</si>
  <si>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</si>
  <si>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</si>
  <si>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</si>
  <si>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</si>
  <si>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</si>
  <si>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</si>
  <si>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</si>
  <si>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</si>
  <si>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</si>
  <si>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</si>
  <si>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</si>
  <si>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</si>
  <si>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</si>
  <si>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</si>
  <si>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</si>
  <si>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</si>
  <si>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</si>
  <si>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</si>
  <si>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</si>
  <si>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</si>
  <si>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</si>
  <si>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</si>
  <si>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</si>
  <si>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</si>
  <si>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</si>
  <si>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</si>
  <si>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</si>
  <si>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</si>
  <si>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</si>
  <si>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</si>
  <si>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</si>
  <si>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</si>
  <si>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</si>
  <si>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</si>
  <si>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</si>
  <si>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</si>
  <si>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</si>
  <si>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</si>
  <si>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</si>
  <si>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</si>
  <si>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</si>
  <si>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</si>
  <si>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</si>
  <si>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</si>
  <si>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</si>
  <si>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</si>
  <si>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</si>
  <si>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</si>
  <si>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</si>
  <si>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</si>
  <si>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</si>
  <si>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</si>
  <si>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</si>
  <si>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</si>
  <si>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</si>
  <si>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</si>
  <si>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</si>
  <si>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</si>
  <si>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</si>
  <si>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</si>
  <si>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</si>
  <si>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</si>
  <si>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</si>
  <si>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</si>
  <si>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</si>
  <si>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</si>
  <si>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</si>
  <si>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</si>
  <si>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</si>
  <si>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</si>
  <si>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</si>
  <si>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</si>
  <si>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</si>
  <si>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</si>
  <si>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</si>
  <si>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</si>
  <si>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</si>
  <si>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</si>
  <si>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</si>
  <si>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</si>
  <si>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</si>
  <si>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</si>
  <si>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</si>
  <si>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</si>
  <si>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</si>
  <si>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</si>
  <si>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</si>
  <si>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</si>
  <si>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</si>
  <si>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</si>
  <si>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</si>
  <si>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</si>
  <si>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</si>
  <si>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</si>
  <si>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</si>
  <si>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</si>
  <si>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</si>
  <si>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</si>
  <si>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</si>
  <si>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</si>
  <si>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</si>
  <si>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</si>
  <si>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</si>
  <si>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</si>
  <si>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</si>
  <si>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</si>
  <si>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</si>
  <si>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</si>
  <si>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</si>
  <si>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</si>
  <si>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</si>
  <si>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</si>
  <si>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</si>
  <si>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</si>
  <si>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</si>
  <si>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</si>
  <si>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</si>
  <si>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</si>
  <si>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</si>
  <si>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</si>
  <si>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</si>
  <si>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</si>
  <si>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</si>
  <si>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</si>
  <si>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</si>
  <si>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</si>
  <si>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</si>
  <si>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</si>
  <si>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</si>
  <si>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</si>
  <si>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</si>
  <si>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</si>
  <si>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</si>
  <si>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</si>
  <si>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</si>
  <si>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</si>
  <si>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</si>
  <si>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</si>
  <si>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</si>
  <si>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</si>
  <si>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</si>
  <si>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</si>
  <si>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</si>
  <si>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</si>
  <si>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</si>
  <si>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</si>
  <si>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</si>
  <si>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</si>
  <si>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</si>
  <si>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</si>
  <si>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</si>
  <si>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</si>
  <si>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</si>
  <si>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</si>
  <si>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</si>
  <si>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</si>
  <si>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</si>
  <si>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</si>
  <si>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</si>
  <si>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</si>
  <si>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</si>
  <si>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</si>
  <si>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</si>
  <si>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</si>
  <si>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</si>
  <si>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</si>
  <si>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</si>
  <si>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</si>
  <si>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</si>
  <si>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</si>
  <si>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</si>
  <si>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</si>
  <si>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</si>
  <si>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</si>
  <si>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</si>
  <si>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</si>
  <si>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</si>
  <si>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</si>
  <si>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</si>
  <si>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</si>
  <si>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</si>
  <si>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</si>
  <si>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</si>
  <si>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</si>
  <si>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</si>
  <si>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</si>
  <si>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</si>
  <si>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</si>
  <si>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</si>
  <si>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</si>
  <si>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</si>
  <si>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</si>
  <si>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</si>
  <si>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</si>
  <si>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</si>
  <si>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</si>
  <si>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</si>
  <si>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</si>
  <si>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</si>
  <si>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</si>
  <si>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</si>
  <si>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</si>
  <si>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</si>
  <si>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</si>
  <si>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</si>
  <si>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</si>
  <si>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</si>
  <si>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</si>
  <si>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</si>
  <si>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</si>
  <si>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</si>
  <si>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</si>
  <si>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</si>
  <si>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</si>
  <si>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</si>
  <si>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</si>
  <si>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</si>
  <si>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</si>
  <si>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</si>
  <si>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</si>
  <si>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</si>
  <si>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</si>
  <si>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</si>
  <si>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</si>
  <si>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</si>
  <si>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</si>
  <si>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</si>
  <si>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</si>
  <si>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</si>
  <si>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</si>
  <si>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</si>
  <si>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</si>
  <si>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</si>
  <si>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</si>
  <si>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</si>
  <si>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</si>
  <si>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</si>
  <si>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</si>
  <si>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</si>
  <si>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</si>
  <si>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</si>
  <si>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</si>
  <si>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</si>
  <si>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</si>
  <si>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</si>
  <si>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</si>
  <si>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</si>
  <si>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</si>
  <si>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</si>
  <si>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</si>
  <si>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</si>
  <si>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</si>
  <si>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</si>
  <si>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</si>
  <si>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</si>
  <si>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</si>
  <si>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</si>
  <si>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</si>
  <si>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</si>
  <si>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</si>
  <si>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</si>
  <si>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</si>
  <si>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</si>
  <si>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</si>
  <si>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</si>
  <si>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</si>
  <si>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</si>
  <si>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</si>
  <si>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</si>
  <si>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</si>
  <si>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</si>
  <si>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</si>
  <si>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</si>
  <si>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</si>
  <si>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</si>
  <si>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</si>
  <si>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</si>
  <si>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</si>
  <si>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</si>
  <si>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</si>
  <si>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</si>
  <si>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</si>
  <si>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</si>
  <si>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</si>
  <si>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</si>
  <si>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</si>
  <si>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</si>
  <si>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</si>
  <si>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</si>
  <si>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</si>
  <si>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</si>
  <si>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</si>
  <si>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</si>
  <si>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</si>
  <si>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</si>
  <si>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</si>
  <si>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</si>
  <si>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</si>
  <si>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</si>
  <si>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</si>
  <si>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</si>
  <si>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</si>
  <si>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</si>
  <si>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</si>
  <si>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</si>
  <si>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</si>
  <si>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</si>
  <si>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</si>
  <si>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</si>
  <si>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</si>
  <si>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</si>
  <si>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</si>
  <si>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</si>
  <si>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</si>
  <si>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</si>
  <si>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</si>
  <si>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</si>
  <si>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</si>
  <si>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</si>
  <si>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</si>
  <si>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</si>
  <si>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</si>
  <si>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</si>
  <si>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</si>
  <si>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</si>
  <si>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</si>
  <si>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</si>
  <si>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</si>
  <si>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</si>
  <si>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</si>
  <si>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</si>
  <si>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</si>
  <si>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</si>
  <si>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</si>
  <si>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</si>
  <si>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</si>
  <si>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</si>
  <si>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</si>
  <si>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</si>
  <si>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</si>
  <si>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</si>
  <si>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</si>
  <si>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</si>
  <si>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</si>
  <si>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</si>
  <si>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</si>
  <si>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</si>
  <si>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</si>
  <si>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</si>
  <si>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</si>
  <si>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</si>
  <si>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</si>
  <si>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</si>
  <si>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</si>
  <si>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</si>
  <si>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</si>
  <si>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</si>
  <si>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</si>
  <si>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</si>
  <si>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</si>
  <si>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</si>
  <si>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</si>
  <si>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</si>
  <si>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</si>
  <si>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</si>
  <si>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</si>
  <si>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</si>
  <si>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</si>
  <si>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</si>
  <si>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</si>
  <si>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</si>
  <si>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</si>
  <si>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</si>
  <si>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</si>
  <si>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</si>
  <si>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</si>
  <si>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</si>
  <si>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</si>
  <si>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</si>
  <si>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</si>
  <si>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</si>
  <si>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</si>
  <si>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</si>
  <si>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</si>
  <si>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</si>
  <si>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</si>
  <si>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</si>
  <si>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</si>
  <si>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</si>
  <si>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</si>
  <si>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</si>
  <si>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</si>
  <si>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</si>
  <si>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</si>
  <si>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</si>
  <si>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</si>
  <si>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</si>
  <si>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</si>
  <si>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</si>
  <si>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</si>
  <si>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</si>
  <si>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</si>
  <si>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</si>
  <si>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</si>
  <si>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</si>
  <si>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</si>
  <si>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</si>
  <si>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</si>
  <si>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</si>
  <si>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</si>
  <si>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</si>
  <si>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</si>
  <si>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</si>
  <si>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</si>
  <si>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</si>
  <si>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</si>
  <si>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</si>
  <si>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</si>
  <si>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</si>
  <si>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</si>
  <si>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</si>
  <si>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</si>
  <si>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</si>
  <si>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</si>
  <si>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</si>
  <si>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</si>
  <si>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</si>
  <si>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</si>
  <si>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</si>
  <si>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</si>
  <si>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</si>
  <si>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</si>
  <si>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</si>
  <si>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</si>
  <si>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</si>
  <si>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</si>
  <si>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</si>
  <si>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</si>
  <si>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</si>
  <si>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</si>
  <si>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</si>
  <si>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</si>
  <si>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</si>
  <si>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</si>
  <si>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</si>
  <si>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</si>
  <si>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</si>
  <si>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</si>
  <si>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</si>
  <si>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</si>
  <si>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</si>
  <si>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</si>
  <si>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</si>
  <si>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</si>
  <si>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</si>
  <si>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</si>
  <si>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</si>
  <si>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</si>
  <si>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</si>
  <si>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</si>
  <si>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</si>
  <si>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</si>
  <si>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</si>
  <si>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</si>
  <si>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</si>
  <si>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</si>
  <si>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</si>
  <si>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</si>
  <si>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</si>
  <si>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</si>
  <si>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</si>
  <si>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</si>
  <si>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</si>
  <si>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</si>
  <si>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</si>
  <si>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</si>
  <si>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</si>
  <si>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</si>
  <si>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</si>
  <si>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</si>
  <si>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</si>
  <si>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</si>
  <si>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</si>
  <si>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</si>
  <si>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</si>
  <si>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</si>
  <si>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</si>
  <si>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</si>
  <si>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</si>
  <si>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</si>
  <si>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</si>
  <si>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</si>
  <si>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</si>
  <si>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</si>
  <si>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</si>
  <si>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</si>
  <si>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</si>
  <si>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</si>
  <si>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</si>
  <si>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</si>
  <si>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</si>
  <si>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</si>
  <si>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</si>
  <si>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</si>
  <si>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</si>
  <si>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</si>
  <si>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</si>
  <si>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</si>
  <si>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</si>
  <si>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</si>
  <si>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</si>
  <si>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</si>
  <si>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</si>
  <si>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</si>
  <si>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</si>
  <si>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</si>
  <si>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</si>
  <si>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</si>
  <si>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</si>
  <si>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</si>
  <si>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</si>
  <si>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</si>
  <si>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</si>
  <si>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</si>
  <si>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</si>
  <si>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</si>
  <si>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</si>
  <si>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</si>
  <si>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</si>
  <si>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</si>
  <si>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</si>
  <si>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</si>
  <si>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</si>
  <si>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</si>
  <si>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</si>
  <si>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</si>
  <si>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</si>
  <si>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</si>
  <si>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</si>
  <si>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</si>
  <si>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</si>
  <si>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</si>
  <si>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</si>
  <si>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</si>
  <si>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</si>
  <si>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</si>
  <si>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</si>
  <si>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</si>
  <si>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</si>
  <si>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</si>
  <si>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</si>
  <si>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</si>
  <si>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</si>
  <si>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</si>
  <si>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</si>
  <si>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</si>
  <si>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</si>
  <si>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</si>
  <si>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</si>
  <si>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</si>
  <si>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</si>
  <si>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</si>
  <si>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</si>
  <si>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</si>
  <si>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</si>
  <si>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</si>
  <si>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</si>
  <si>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</si>
  <si>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</si>
  <si>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</si>
  <si>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</si>
  <si>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</si>
  <si>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</si>
  <si>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</si>
  <si>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</si>
  <si>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</si>
  <si>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</si>
  <si>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</si>
  <si>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</si>
  <si>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</si>
  <si>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</si>
  <si>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</si>
  <si>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</si>
  <si>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</si>
  <si>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</si>
  <si>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</si>
  <si>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</si>
  <si>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</si>
  <si>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</si>
  <si>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</si>
  <si>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</si>
  <si>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</si>
  <si>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</si>
  <si>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</si>
  <si>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</si>
  <si>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</si>
  <si>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</si>
  <si>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</si>
  <si>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</si>
  <si>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</si>
  <si>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</si>
  <si>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</si>
  <si>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</si>
  <si>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</si>
  <si>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</si>
  <si>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</si>
  <si>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</si>
  <si>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</si>
  <si>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</si>
  <si>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</si>
  <si>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</si>
  <si>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</si>
  <si>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</si>
  <si>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</si>
  <si>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</si>
  <si>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</si>
  <si>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</si>
  <si>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</si>
  <si>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</si>
  <si>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</si>
  <si>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</si>
  <si>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</si>
  <si>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</si>
  <si>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</si>
  <si>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</si>
  <si>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</si>
  <si>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</si>
  <si>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</si>
  <si>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</si>
  <si>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</si>
  <si>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</si>
  <si>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</si>
  <si>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</si>
  <si>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</si>
  <si>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</si>
  <si>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</si>
  <si>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</si>
  <si>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</si>
  <si>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</si>
  <si>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</si>
  <si>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</si>
  <si>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</si>
  <si>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</si>
  <si>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</si>
  <si>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</si>
  <si>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</si>
  <si>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</si>
  <si>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</si>
  <si>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</si>
  <si>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</si>
  <si>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</si>
  <si>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</si>
  <si>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</si>
  <si>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</si>
  <si>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</si>
  <si>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</si>
  <si>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</si>
  <si>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</si>
  <si>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</si>
  <si>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</si>
  <si>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</si>
  <si>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</si>
  <si>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</si>
  <si>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</si>
  <si>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</si>
  <si>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</si>
  <si>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</si>
  <si>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</si>
  <si>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</si>
  <si>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</si>
  <si>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</si>
  <si>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</si>
  <si>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</si>
  <si>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</si>
  <si>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</si>
  <si>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</si>
  <si>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</si>
  <si>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</si>
  <si>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</si>
  <si>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</si>
  <si>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</si>
  <si>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</si>
  <si>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</si>
  <si>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</si>
  <si>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</si>
  <si>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</si>
  <si>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</si>
  <si>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</si>
  <si>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</si>
  <si>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</si>
  <si>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</si>
  <si>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</si>
  <si>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</si>
  <si>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</si>
  <si>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</si>
  <si>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</si>
  <si>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</si>
  <si>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</si>
  <si>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</si>
  <si>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</si>
  <si>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</si>
  <si>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</si>
  <si>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</si>
  <si>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</si>
  <si>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</si>
  <si>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</si>
  <si>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</si>
  <si>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</si>
  <si>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</si>
  <si>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</si>
  <si>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</si>
  <si>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</si>
  <si>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</si>
  <si>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</si>
  <si>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</si>
  <si>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</si>
  <si>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</si>
  <si>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</si>
  <si>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</si>
  <si>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</si>
  <si>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</si>
  <si>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</si>
  <si>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</si>
  <si>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</si>
  <si>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</si>
  <si>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</si>
  <si>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</si>
  <si>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</si>
  <si>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</si>
  <si>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</si>
  <si>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</si>
  <si>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</si>
  <si>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</si>
  <si>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</si>
  <si>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</si>
  <si>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</si>
  <si>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</si>
  <si>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</si>
  <si>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</si>
  <si>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</si>
  <si>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</si>
  <si>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</si>
  <si>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</si>
  <si>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</si>
  <si>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</si>
  <si>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</si>
  <si>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</si>
  <si>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</si>
  <si>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</si>
  <si>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</si>
  <si>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</si>
  <si>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</si>
  <si>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</si>
  <si>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</si>
  <si>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</si>
  <si>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</si>
  <si>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</si>
  <si>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</si>
  <si>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</si>
  <si>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</si>
  <si>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</si>
  <si>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</si>
  <si>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</si>
  <si>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</si>
  <si>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</si>
  <si>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</si>
  <si>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</si>
  <si>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</si>
  <si>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</si>
  <si>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</si>
  <si>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</si>
  <si>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</si>
  <si>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</si>
  <si>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</si>
  <si>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</si>
  <si>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</si>
  <si>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</si>
  <si>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</si>
  <si>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</si>
  <si>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</si>
  <si>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</si>
  <si>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</si>
  <si>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</si>
  <si>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</si>
  <si>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</si>
  <si>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</si>
  <si>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</si>
  <si>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</si>
  <si>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</si>
  <si>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</si>
  <si>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</si>
  <si>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</si>
  <si>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</si>
  <si>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</si>
  <si>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</si>
  <si>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</si>
  <si>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</si>
  <si>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</si>
  <si>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</si>
  <si>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</si>
  <si>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</si>
  <si>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</si>
  <si>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</si>
  <si>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</si>
  <si>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</si>
  <si>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</si>
  <si>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</si>
  <si>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</si>
  <si>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</si>
  <si>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</si>
  <si>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</si>
  <si>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</si>
  <si>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</si>
  <si>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</si>
  <si>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</si>
  <si>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</si>
  <si>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</si>
  <si>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</si>
  <si>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</si>
  <si>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</si>
  <si>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</si>
  <si>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</si>
  <si>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</si>
  <si>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</si>
  <si>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</si>
  <si>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</si>
  <si>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</si>
  <si>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</si>
  <si>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</si>
  <si>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</si>
  <si>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</si>
  <si>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</si>
  <si>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</si>
  <si>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</si>
  <si>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</si>
  <si>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</si>
  <si>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</si>
  <si>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</si>
  <si>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</si>
  <si>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</si>
  <si>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</si>
  <si>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</si>
  <si>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</si>
  <si>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</si>
  <si>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</si>
  <si>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</si>
  <si>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</si>
  <si>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</si>
  <si>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</si>
  <si>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</si>
  <si>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</si>
  <si>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</si>
  <si>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</si>
  <si>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</si>
  <si>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</si>
  <si>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</si>
  <si>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</si>
  <si>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</si>
  <si>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</si>
  <si>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</si>
  <si>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</si>
  <si>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</si>
  <si>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</si>
  <si>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</si>
  <si>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</si>
  <si>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</si>
  <si>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</si>
  <si>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</si>
  <si>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</si>
  <si>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</si>
  <si>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</si>
  <si>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</si>
  <si>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</si>
  <si>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</si>
  <si>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</si>
  <si>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</si>
  <si>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</si>
  <si>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</si>
  <si>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</si>
  <si>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</si>
  <si>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</si>
  <si>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</si>
  <si>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</si>
  <si>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</si>
  <si>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</si>
  <si>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</si>
  <si>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</si>
  <si>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</si>
  <si>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</si>
  <si>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</si>
  <si>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</si>
  <si>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</si>
  <si>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</si>
  <si>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</si>
  <si>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</si>
  <si>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</si>
  <si>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</si>
  <si>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</si>
  <si>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</si>
  <si>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</si>
  <si>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</si>
  <si>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</si>
  <si>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</si>
  <si>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</si>
  <si>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</si>
  <si>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</si>
  <si>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</si>
  <si>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</si>
  <si>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</si>
  <si>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</si>
  <si>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</si>
  <si>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</si>
  <si>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</si>
  <si>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</si>
  <si>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</si>
  <si>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</si>
  <si>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</si>
  <si>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</si>
  <si>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</si>
  <si>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</si>
  <si>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</si>
  <si>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</si>
  <si>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</si>
  <si>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</si>
  <si>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</si>
  <si>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</si>
  <si>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</si>
  <si>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</si>
  <si>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</si>
  <si>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</si>
  <si>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</si>
  <si>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</si>
  <si>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</si>
  <si>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</si>
  <si>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</si>
  <si>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</si>
  <si>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</si>
  <si>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</si>
  <si>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</si>
  <si>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</si>
  <si>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</si>
  <si>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</si>
  <si>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</si>
  <si>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</si>
  <si>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</si>
  <si>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</si>
  <si>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</si>
  <si>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</si>
  <si>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</si>
  <si>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</si>
  <si>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</si>
  <si>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</si>
  <si>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</si>
  <si>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</si>
  <si>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</si>
  <si>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</si>
  <si>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</si>
  <si>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</si>
  <si>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</si>
  <si>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</si>
  <si>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</si>
  <si>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</si>
  <si>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</si>
  <si>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</si>
  <si>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</si>
  <si>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</si>
  <si>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</si>
  <si>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</si>
  <si>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</si>
  <si>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</si>
  <si>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</si>
  <si>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</si>
  <si>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</si>
  <si>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</si>
  <si>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</si>
  <si>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</si>
  <si>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</si>
  <si>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</si>
  <si>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</si>
  <si>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</si>
  <si>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</si>
  <si>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</si>
  <si>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</si>
  <si>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</si>
  <si>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</si>
  <si>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</si>
  <si>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</si>
  <si>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</si>
  <si>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</si>
  <si>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</si>
  <si>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</si>
  <si>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</si>
  <si>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</si>
  <si>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</si>
  <si>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</si>
  <si>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</si>
  <si>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</si>
  <si>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</si>
  <si>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</si>
  <si>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</si>
  <si>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</si>
  <si>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</si>
  <si>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</si>
  <si>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</si>
  <si>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</si>
  <si>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</si>
  <si>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</si>
  <si>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</si>
  <si>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</si>
  <si>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</si>
  <si>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</si>
  <si>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</si>
  <si>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</si>
  <si>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</si>
  <si>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</si>
  <si>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</si>
  <si>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</si>
  <si>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</si>
  <si>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</si>
  <si>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</si>
  <si>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</si>
  <si>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</si>
  <si>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</si>
  <si>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</si>
  <si>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</si>
  <si>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</si>
  <si>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</si>
  <si>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</si>
  <si>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</si>
  <si>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</si>
  <si>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</si>
  <si>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</si>
  <si>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</si>
  <si>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</si>
  <si>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</si>
  <si>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</si>
  <si>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</si>
  <si>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</si>
  <si>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</si>
  <si>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</si>
  <si>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</si>
  <si>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</si>
  <si>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</si>
  <si>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</si>
  <si>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</si>
  <si>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</si>
  <si>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</si>
  <si>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</si>
  <si>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</si>
  <si>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</si>
  <si>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</si>
  <si>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</si>
  <si>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</si>
  <si>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</si>
  <si>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</si>
  <si>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</si>
  <si>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</si>
  <si>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</si>
  <si>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</si>
  <si>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</si>
  <si>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</si>
  <si>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</si>
  <si>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</si>
  <si>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</si>
  <si>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</si>
  <si>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</si>
  <si>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</si>
  <si>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</si>
  <si>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</si>
  <si>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</si>
  <si>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</si>
  <si>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</si>
  <si>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</si>
  <si>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</si>
  <si>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</si>
  <si>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</si>
  <si>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</si>
  <si>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</si>
  <si>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</si>
  <si>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</si>
  <si>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</si>
  <si>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</si>
  <si>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</si>
  <si>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</si>
  <si>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</si>
  <si>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</si>
  <si>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</si>
  <si>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</si>
  <si>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</si>
  <si>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</si>
  <si>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</si>
  <si>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</si>
  <si>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</si>
  <si>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</si>
  <si>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</si>
  <si>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</si>
  <si>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</si>
  <si>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</si>
  <si>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</si>
  <si>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</si>
  <si>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</si>
  <si>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</si>
  <si>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</si>
  <si>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</si>
  <si>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</si>
  <si>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</si>
  <si>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</si>
  <si>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</si>
  <si>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</si>
  <si>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</si>
  <si>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</si>
  <si>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</si>
  <si>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</si>
  <si>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</si>
  <si>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</si>
  <si>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</si>
  <si>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</si>
  <si>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</si>
  <si>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</si>
  <si>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</si>
  <si>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</si>
  <si>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</si>
  <si>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</si>
  <si>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</si>
  <si>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</si>
  <si>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</si>
  <si>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</si>
  <si>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</si>
  <si>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</si>
  <si>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</si>
  <si>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</si>
  <si>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</si>
  <si>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</si>
  <si>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</si>
  <si>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</si>
  <si>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</si>
  <si>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</si>
  <si>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</si>
  <si>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</si>
  <si>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</si>
  <si>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</si>
  <si>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</si>
  <si>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</si>
  <si>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</si>
  <si>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</si>
  <si>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</si>
  <si>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</si>
  <si>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</si>
  <si>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</si>
  <si>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</si>
  <si>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</si>
  <si>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</si>
  <si>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</si>
  <si>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</si>
  <si>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</si>
  <si>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</si>
  <si>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</si>
  <si>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</si>
  <si>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</si>
  <si>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</si>
  <si>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</si>
  <si>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</si>
  <si>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</si>
  <si>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</si>
  <si>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</si>
  <si>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</si>
  <si>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</si>
  <si>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</si>
  <si>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</si>
  <si>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</si>
  <si>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</si>
  <si>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</si>
  <si>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</si>
  <si>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</si>
  <si>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</si>
  <si>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</si>
  <si>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</si>
  <si>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</si>
  <si>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</si>
  <si>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</si>
  <si>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</si>
  <si>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</si>
  <si>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</si>
  <si>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</si>
  <si>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</si>
  <si>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</si>
  <si>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</si>
  <si>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</si>
  <si>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</si>
  <si>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</si>
  <si>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</si>
  <si>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</si>
  <si>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</si>
  <si>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</si>
  <si>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</si>
  <si>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</si>
  <si>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</si>
  <si>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</si>
  <si>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</si>
  <si>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</si>
  <si>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</si>
  <si>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</si>
  <si>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</si>
  <si>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</si>
  <si>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</si>
  <si>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</si>
  <si>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</si>
  <si>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</si>
  <si>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</si>
  <si>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</si>
  <si>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</si>
  <si>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</si>
  <si>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</si>
  <si>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</si>
  <si>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</si>
  <si>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</si>
  <si>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</si>
  <si>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</si>
  <si>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</si>
  <si>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</si>
  <si>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</si>
  <si>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</si>
  <si>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</si>
  <si>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</si>
  <si>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</si>
  <si>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</si>
  <si>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</si>
  <si>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</si>
  <si>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</si>
  <si>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</si>
  <si>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</si>
  <si>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</si>
  <si>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</si>
  <si>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</si>
  <si>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</si>
  <si>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</si>
  <si>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</si>
  <si>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</si>
  <si>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</si>
  <si>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</si>
  <si>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</si>
  <si>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</si>
  <si>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</si>
  <si>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</si>
  <si>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</si>
  <si>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</si>
  <si>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</si>
  <si>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</si>
  <si>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</si>
  <si>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</si>
  <si>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</si>
  <si>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</si>
  <si>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</si>
  <si>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</si>
  <si>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</si>
  <si>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</si>
  <si>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</si>
  <si>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</si>
  <si>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</si>
  <si>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</si>
  <si>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</si>
  <si>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</si>
  <si>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</si>
  <si>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</si>
  <si>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</si>
  <si>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</si>
  <si>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</si>
  <si>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</si>
  <si>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</si>
  <si>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</si>
  <si>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</si>
  <si>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</si>
  <si>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</si>
  <si>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</si>
  <si>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</si>
  <si>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</si>
  <si>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</si>
  <si>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</si>
  <si>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</si>
  <si>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</si>
  <si>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</si>
  <si>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</si>
  <si>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</si>
  <si>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</si>
  <si>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</si>
  <si>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</si>
  <si>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</si>
  <si>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</si>
  <si>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</si>
  <si>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</si>
  <si>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</si>
  <si>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</si>
  <si>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</si>
  <si>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</si>
  <si>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</si>
  <si>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</si>
  <si>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</si>
  <si>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</si>
  <si>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</si>
  <si>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</si>
  <si>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</si>
  <si>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</si>
  <si>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</si>
  <si>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</si>
  <si>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</si>
  <si>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</si>
  <si>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</si>
  <si>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</si>
  <si>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</si>
  <si>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</si>
  <si>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</si>
  <si>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</si>
  <si>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</si>
  <si>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</si>
  <si>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</si>
  <si>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</si>
  <si>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</si>
  <si>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</si>
  <si>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</si>
  <si>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</si>
  <si>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</si>
  <si>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</si>
  <si>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</si>
  <si>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</si>
  <si>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</si>
  <si>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</si>
  <si>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</si>
  <si>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</si>
  <si>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</si>
  <si>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</si>
  <si>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</si>
  <si>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</si>
  <si>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</si>
  <si>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</si>
  <si>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</si>
  <si>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</si>
  <si>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</si>
  <si>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</si>
  <si>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</si>
  <si>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</si>
  <si>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</si>
  <si>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</si>
  <si>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</si>
  <si>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</si>
  <si>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</si>
  <si>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</si>
  <si>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</si>
  <si>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</si>
  <si>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</si>
  <si>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</si>
  <si>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</si>
  <si>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</si>
  <si>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</si>
  <si>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</si>
  <si>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</si>
  <si>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</si>
  <si>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</si>
  <si>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</si>
  <si>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</si>
  <si>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</si>
  <si>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</si>
  <si>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</si>
  <si>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</si>
  <si>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</si>
  <si>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</si>
  <si>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</si>
  <si>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</si>
  <si>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</si>
  <si>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</si>
  <si>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</si>
  <si>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</si>
  <si>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</si>
  <si>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</si>
  <si>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</si>
  <si>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</si>
  <si>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</si>
  <si>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</si>
  <si>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</si>
  <si>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</si>
  <si>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</si>
  <si>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</si>
  <si>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</si>
  <si>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</si>
  <si>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</si>
  <si>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</si>
  <si>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</si>
  <si>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</si>
  <si>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</si>
  <si>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</si>
  <si>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</si>
  <si>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</si>
  <si>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</si>
  <si>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</si>
  <si>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</si>
  <si>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</si>
  <si>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</si>
  <si>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</si>
  <si>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</si>
  <si>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</si>
  <si>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</si>
  <si>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</si>
  <si>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</si>
  <si>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</si>
  <si>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</si>
  <si>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</si>
  <si>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</si>
  <si>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</si>
  <si>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</si>
  <si>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</si>
  <si>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</si>
  <si>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</si>
  <si>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</si>
  <si>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</si>
  <si>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</si>
  <si>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</si>
  <si>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</si>
  <si>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</si>
  <si>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</si>
  <si>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</si>
  <si>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</si>
  <si>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</si>
  <si>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</si>
  <si>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</si>
  <si>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</si>
  <si>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</si>
  <si>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</si>
  <si>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</si>
  <si>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</si>
  <si>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</si>
  <si>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</si>
  <si>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</si>
  <si>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</si>
  <si>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</si>
  <si>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</si>
  <si>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</si>
  <si>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</si>
  <si>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</si>
  <si>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</si>
  <si>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</si>
  <si>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</si>
  <si>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</si>
  <si>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</si>
  <si>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</si>
  <si>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</si>
  <si>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</si>
  <si>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</si>
  <si>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</si>
  <si>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</si>
  <si>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</si>
  <si>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</si>
  <si>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</si>
  <si>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</si>
  <si>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</si>
  <si>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</si>
  <si>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</si>
  <si>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</si>
  <si>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</si>
  <si>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</si>
  <si>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</si>
  <si>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</si>
  <si>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</si>
  <si>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</si>
  <si>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</si>
  <si>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</si>
  <si>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</si>
  <si>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</si>
  <si>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</si>
  <si>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</si>
  <si>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</si>
  <si>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</si>
  <si>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</si>
  <si>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</si>
  <si>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</si>
  <si>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</si>
  <si>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</si>
  <si>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</si>
  <si>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</si>
  <si>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</si>
  <si>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</si>
  <si>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</si>
  <si>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</si>
  <si>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</si>
  <si>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</si>
  <si>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</si>
  <si>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</si>
  <si>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</si>
  <si>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</si>
  <si>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</si>
  <si>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</si>
  <si>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</si>
  <si>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</si>
  <si>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</si>
  <si>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</si>
  <si>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</si>
  <si>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</si>
  <si>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</si>
  <si>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</si>
  <si>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</si>
  <si>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</si>
  <si>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</si>
  <si>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</si>
  <si>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</si>
  <si>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</si>
  <si>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</si>
  <si>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</si>
  <si>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</si>
  <si>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</si>
  <si>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</si>
  <si>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</si>
  <si>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</si>
  <si>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</si>
  <si>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</si>
  <si>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</si>
  <si>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</si>
  <si>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</si>
  <si>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</si>
  <si>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</si>
  <si>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</si>
  <si>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</si>
  <si>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</si>
  <si>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</si>
  <si>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</si>
  <si>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</si>
  <si>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</si>
  <si>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</si>
  <si>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</si>
  <si>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</si>
  <si>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</si>
  <si>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</si>
  <si>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</si>
  <si>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</si>
  <si>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</si>
  <si>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</si>
  <si>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</si>
  <si>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</si>
  <si>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</si>
  <si>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</si>
  <si>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</si>
  <si>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</si>
  <si>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</si>
  <si>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</si>
  <si>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</si>
  <si>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</si>
  <si>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</si>
  <si>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</si>
  <si>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</si>
  <si>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</si>
  <si>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</si>
  <si>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</si>
  <si>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</si>
  <si>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</si>
  <si>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</si>
  <si>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</si>
  <si>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</si>
  <si>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</si>
  <si>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</si>
  <si>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</si>
  <si>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</si>
  <si>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</si>
  <si>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</si>
  <si>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</si>
  <si>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</si>
  <si>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</si>
  <si>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</si>
  <si>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</si>
  <si>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</si>
  <si>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</si>
  <si>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</si>
  <si>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</si>
  <si>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</si>
  <si>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</si>
  <si>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</si>
  <si>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</si>
  <si>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</si>
  <si>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</si>
  <si>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</si>
  <si>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</si>
  <si>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</si>
  <si>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</si>
  <si>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</si>
  <si>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</si>
  <si>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</si>
  <si>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</si>
  <si>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</si>
  <si>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</si>
  <si>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</si>
  <si>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</si>
  <si>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</si>
  <si>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</si>
  <si>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</si>
  <si>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</si>
  <si>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</si>
  <si>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</si>
  <si>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</si>
  <si>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</si>
  <si>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</si>
  <si>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</si>
  <si>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</si>
  <si>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</si>
  <si>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</si>
  <si>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</si>
  <si>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</si>
  <si>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</si>
  <si>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</si>
  <si>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</si>
  <si>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</si>
  <si>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</si>
  <si>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</si>
  <si>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</si>
  <si>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</si>
  <si>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</si>
  <si>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</si>
  <si>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</si>
  <si>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</si>
  <si>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</si>
  <si>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</si>
  <si>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</si>
  <si>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</si>
  <si>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</si>
  <si>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</si>
  <si>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</si>
  <si>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</si>
  <si>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</si>
  <si>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</si>
  <si>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</si>
  <si>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</si>
  <si>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</si>
  <si>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</si>
  <si>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</si>
  <si>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</si>
  <si>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</si>
  <si>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</si>
  <si>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</si>
  <si>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</si>
  <si>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</si>
  <si>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</si>
  <si>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</si>
  <si>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</si>
  <si>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</si>
  <si>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</si>
  <si>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</si>
  <si>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</si>
  <si>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</si>
  <si>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</si>
  <si>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</si>
  <si>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</si>
  <si>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</si>
  <si>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</si>
  <si>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</si>
  <si>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</si>
  <si>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</si>
  <si>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</si>
  <si>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</si>
  <si>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</si>
  <si>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</si>
  <si>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</si>
  <si>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</si>
  <si>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</si>
  <si>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</si>
  <si>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</si>
  <si>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</si>
  <si>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</si>
  <si>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</si>
  <si>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</si>
  <si>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</si>
  <si>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</si>
  <si>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</si>
  <si>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</si>
  <si>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</si>
  <si>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</si>
  <si>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</si>
  <si>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</si>
  <si>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</si>
  <si>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</si>
  <si>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</si>
  <si>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</si>
  <si>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</si>
  <si>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</si>
  <si>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</si>
  <si>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</si>
  <si>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</si>
  <si>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</si>
  <si>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</si>
  <si>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</si>
  <si>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</si>
  <si>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</si>
  <si>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</si>
  <si>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</si>
  <si>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</si>
  <si>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</si>
  <si>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</si>
  <si>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</si>
  <si>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</si>
  <si>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</si>
  <si>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</si>
  <si>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</si>
  <si>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</si>
  <si>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</si>
  <si>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</si>
  <si>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</si>
  <si>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</si>
  <si>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</si>
  <si>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</si>
  <si>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</si>
  <si>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</si>
  <si>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</si>
  <si>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</si>
  <si>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</si>
  <si>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</si>
  <si>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</si>
  <si>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</si>
  <si>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</si>
  <si>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</si>
  <si>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</si>
  <si>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</si>
  <si>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</si>
  <si>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</si>
  <si>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</si>
  <si>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</si>
  <si>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</si>
  <si>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</si>
  <si>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</si>
  <si>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</si>
  <si>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</si>
  <si>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</si>
  <si>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</si>
  <si>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</si>
  <si>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</si>
  <si>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</si>
  <si>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</si>
  <si>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</si>
  <si>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</si>
  <si>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</si>
  <si>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</si>
  <si>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</si>
  <si>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</si>
  <si>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</si>
  <si>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</si>
  <si>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</si>
  <si>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</si>
  <si>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</si>
  <si>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</si>
  <si>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</si>
  <si>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</si>
  <si>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</si>
  <si>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</si>
  <si>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</si>
  <si>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</si>
  <si>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</si>
  <si>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</si>
  <si>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</si>
  <si>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</si>
  <si>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</si>
  <si>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</si>
  <si>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</si>
  <si>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</si>
  <si>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</si>
  <si>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</si>
  <si>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</si>
  <si>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</si>
  <si>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</si>
  <si>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</si>
  <si>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</si>
  <si>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</si>
  <si>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</si>
  <si>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</si>
  <si>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</si>
  <si>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</si>
  <si>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</si>
  <si>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</si>
  <si>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</si>
  <si>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</si>
  <si>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</si>
  <si>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</si>
  <si>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</si>
  <si>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</si>
  <si>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</si>
  <si>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</si>
  <si>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</si>
  <si>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</si>
  <si>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</si>
  <si>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</si>
  <si>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</si>
  <si>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</si>
  <si>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</si>
  <si>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</si>
  <si>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</si>
  <si>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</si>
  <si>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</si>
  <si>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</si>
  <si>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</si>
  <si>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</si>
  <si>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</si>
  <si>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</si>
  <si>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</si>
  <si>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</si>
  <si>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</si>
  <si>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</si>
  <si>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</si>
  <si>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</si>
  <si>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</si>
  <si>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</si>
  <si>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</si>
  <si>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</si>
  <si>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</si>
  <si>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</si>
  <si>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</si>
  <si>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</si>
  <si>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</si>
  <si>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</si>
  <si>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</si>
  <si>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</si>
  <si>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</si>
  <si>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</si>
  <si>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</si>
  <si>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</si>
  <si>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</si>
  <si>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</si>
  <si>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</si>
  <si>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</si>
  <si>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</si>
  <si>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</si>
  <si>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</si>
  <si>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</si>
  <si>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</si>
  <si>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</si>
  <si>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</si>
  <si>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</si>
  <si>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</si>
  <si>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</si>
  <si>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</si>
  <si>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</si>
  <si>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</si>
  <si>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</si>
  <si>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</si>
  <si>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</si>
  <si>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</si>
  <si>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</si>
  <si>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</si>
  <si>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</si>
  <si>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</si>
  <si>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</si>
  <si>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</si>
  <si>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</si>
  <si>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</si>
  <si>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</si>
  <si>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</si>
  <si>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</si>
  <si>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</si>
  <si>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</si>
  <si>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</si>
  <si>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</si>
  <si>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</si>
  <si>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</si>
  <si>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</si>
  <si>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</si>
  <si>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</si>
  <si>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</si>
  <si>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</si>
  <si>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</si>
  <si>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</si>
  <si>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</si>
  <si>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</si>
  <si>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</si>
  <si>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</si>
  <si>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</si>
  <si>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</si>
  <si>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</si>
  <si>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</si>
  <si>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</si>
  <si>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</si>
  <si>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</si>
  <si>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</si>
  <si>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</si>
  <si>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</si>
  <si>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</si>
  <si>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</si>
  <si>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</si>
  <si>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</si>
  <si>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</si>
  <si>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</si>
  <si>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</si>
  <si>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</si>
  <si>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</si>
  <si>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</si>
  <si>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</si>
  <si>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</si>
  <si>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</si>
  <si>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</si>
  <si>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</si>
  <si>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</si>
  <si>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</si>
  <si>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</si>
  <si>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</si>
  <si>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</si>
  <si>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</si>
  <si>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</si>
  <si>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</si>
  <si>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</si>
  <si>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</si>
  <si>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</si>
  <si>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</si>
  <si>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</si>
  <si>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</si>
  <si>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</si>
  <si>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</si>
  <si>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</si>
  <si>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</si>
  <si>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</si>
  <si>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</si>
  <si>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</si>
  <si>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</si>
  <si>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</si>
  <si>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</si>
  <si>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</si>
  <si>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</si>
  <si>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</si>
  <si>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</si>
  <si>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</si>
  <si>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</si>
  <si>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</si>
  <si>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</si>
  <si>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</si>
  <si>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</si>
  <si>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</si>
  <si>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</si>
  <si>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</si>
  <si>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</si>
  <si>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</si>
  <si>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</si>
  <si>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</si>
  <si>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</si>
  <si>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</si>
  <si>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</si>
  <si>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</si>
  <si>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</si>
  <si>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</si>
  <si>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</si>
  <si>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</si>
  <si>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</si>
  <si>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</si>
  <si>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</si>
  <si>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</si>
  <si>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</si>
  <si>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</si>
  <si>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</si>
  <si>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</si>
  <si>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</si>
  <si>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</si>
  <si>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</si>
  <si>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</si>
  <si>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</si>
  <si>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</si>
  <si>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</si>
  <si>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</si>
  <si>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</si>
  <si>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</si>
  <si>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</si>
  <si>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</si>
  <si>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</si>
  <si>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</si>
  <si>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</si>
  <si>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</si>
  <si>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</si>
  <si>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</si>
  <si>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</si>
  <si>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</si>
  <si>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</si>
  <si>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</si>
  <si>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</si>
  <si>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</si>
  <si>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</si>
  <si>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</si>
  <si>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</si>
  <si>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</si>
  <si>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</si>
  <si>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</si>
  <si>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</si>
  <si>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</si>
  <si>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</si>
  <si>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</si>
  <si>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</si>
  <si>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</si>
  <si>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</si>
  <si>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</si>
  <si>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</si>
  <si>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</si>
  <si>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</si>
  <si>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</si>
  <si>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</si>
  <si>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</si>
  <si>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</si>
  <si>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</si>
  <si>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</si>
  <si>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</si>
  <si>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</si>
  <si>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</si>
  <si>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</si>
  <si>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</si>
  <si>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</si>
  <si>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</si>
  <si>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</si>
  <si>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</si>
  <si>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</si>
  <si>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</si>
  <si>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</si>
  <si>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</si>
  <si>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</si>
  <si>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</si>
  <si>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</si>
  <si>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</si>
  <si>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</si>
  <si>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</si>
  <si>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</si>
  <si>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</si>
  <si>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</si>
  <si>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</si>
  <si>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</si>
  <si>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</si>
  <si>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</si>
  <si>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</si>
  <si>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</si>
  <si>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</si>
  <si>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</si>
  <si>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</si>
  <si>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</si>
  <si>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</si>
  <si>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</si>
  <si>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</si>
  <si>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</si>
  <si>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</si>
  <si>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</si>
  <si>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</si>
  <si>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</si>
  <si>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</si>
  <si>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</si>
  <si>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</si>
  <si>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</si>
  <si>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</si>
  <si>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</si>
  <si>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</si>
  <si>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</si>
  <si>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</si>
  <si>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</si>
  <si>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</si>
  <si>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</si>
  <si>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</si>
  <si>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</si>
  <si>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</si>
  <si>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</si>
  <si>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</si>
  <si>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</si>
  <si>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</si>
  <si>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</si>
  <si>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</si>
  <si>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</si>
  <si>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</si>
  <si>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</si>
  <si>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</si>
  <si>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</si>
  <si>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</si>
  <si>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</si>
  <si>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</si>
  <si>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</si>
  <si>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</si>
  <si>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</si>
  <si>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</si>
  <si>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</si>
  <si>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</si>
  <si>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</si>
  <si>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</si>
  <si>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</si>
  <si>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</si>
  <si>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</si>
  <si>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</si>
  <si>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</si>
  <si>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</si>
  <si>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</si>
  <si>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</si>
  <si>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</si>
  <si>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</si>
  <si>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</si>
  <si>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</si>
  <si>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</si>
  <si>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</si>
  <si>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</si>
  <si>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</si>
  <si>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</si>
  <si>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</si>
  <si>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</si>
  <si>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</si>
  <si>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</si>
  <si>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</si>
  <si>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</si>
  <si>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</si>
  <si>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</si>
  <si>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</si>
  <si>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</si>
  <si>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</si>
  <si>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</si>
  <si>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</si>
  <si>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</si>
  <si>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</si>
  <si>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</si>
  <si>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</si>
  <si>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</si>
  <si>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</si>
  <si>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</si>
  <si>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</si>
  <si>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</si>
  <si>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</si>
  <si>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</si>
  <si>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</si>
  <si>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</si>
  <si>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</si>
  <si>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</si>
  <si>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</si>
  <si>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</si>
  <si>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</si>
  <si>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</si>
  <si>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</si>
  <si>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</si>
  <si>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</si>
  <si>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</si>
  <si>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</si>
  <si>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</si>
  <si>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</si>
  <si>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</si>
  <si>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</si>
  <si>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</si>
  <si>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</si>
  <si>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</si>
  <si>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</si>
  <si>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</si>
  <si>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</si>
  <si>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</si>
  <si>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</si>
  <si>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</si>
  <si>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</si>
  <si>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</si>
  <si>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</si>
  <si>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</si>
  <si>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</si>
  <si>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</si>
  <si>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</si>
  <si>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</si>
  <si>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</si>
  <si>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企业</t>
  </si>
  <si>
    <t>是</t>
  </si>
  <si>
    <t>地上</t>
  </si>
  <si>
    <t>地下</t>
  </si>
  <si>
    <t>成新度</t>
  </si>
  <si>
    <t>收益法</t>
  </si>
  <si>
    <t>押一</t>
  </si>
  <si>
    <t>钢混</t>
  </si>
  <si>
    <t>非生产用房</t>
  </si>
  <si>
    <t>自定义容积率</t>
  </si>
  <si>
    <t>不临65条商业街</t>
  </si>
  <si>
    <t>与级别开发程度一致</t>
  </si>
  <si>
    <t>未包含在土地购买价格中</t>
  </si>
  <si>
    <t>全部缴纳</t>
  </si>
  <si>
    <t>已包含在土地取得成本中</t>
  </si>
  <si>
    <t>成本法</t>
  </si>
  <si>
    <t>总价</t>
  </si>
  <si>
    <t>成本比率</t>
  </si>
  <si>
    <t>楼层</t>
    <phoneticPr fontId="135" type="noConversion"/>
  </si>
  <si>
    <t>建筑面积</t>
    <phoneticPr fontId="135" type="noConversion"/>
  </si>
  <si>
    <t>用途</t>
    <phoneticPr fontId="135" type="noConversion"/>
  </si>
  <si>
    <t>地下仓储</t>
    <phoneticPr fontId="135" type="noConversion"/>
  </si>
  <si>
    <t>商业</t>
    <phoneticPr fontId="135" type="noConversion"/>
  </si>
  <si>
    <t>凤凰汇</t>
  </si>
  <si>
    <t>凤凰汇</t>
    <phoneticPr fontId="4" type="noConversion"/>
  </si>
  <si>
    <t>楼层修正</t>
  </si>
  <si>
    <t>较好</t>
  </si>
  <si>
    <t>好</t>
  </si>
  <si>
    <t>2022</t>
  </si>
  <si>
    <t>2023</t>
  </si>
  <si>
    <t>2024</t>
  </si>
  <si>
    <t>2025</t>
  </si>
  <si>
    <t>YTD - 年累计</t>
  </si>
  <si>
    <t>12 - 12月</t>
  </si>
  <si>
    <t>6 - 6月</t>
  </si>
  <si>
    <t>F00100010 - 营业额</t>
  </si>
  <si>
    <t>Shopping Income - 购物中心收入</t>
  </si>
  <si>
    <t>SPI01 - 租赁联营收入</t>
  </si>
  <si>
    <t>SPI0101 - 租金收入</t>
  </si>
  <si>
    <t>SPI0102 - 物业管理费收入</t>
  </si>
  <si>
    <t>SPI0103 - 固定推广费收入</t>
  </si>
  <si>
    <t>SPI02 - 多经收入</t>
  </si>
  <si>
    <t>SPI03 - 推广相关收入</t>
  </si>
  <si>
    <t>SPI04 - 客户关系相关收入</t>
  </si>
  <si>
    <t>SPI05 - 停车场收入</t>
  </si>
  <si>
    <t>SPI07 - 电商收入</t>
  </si>
  <si>
    <t>SPI08 - 商业其他收入</t>
  </si>
  <si>
    <t>Shopping Spending - 购物中心支出</t>
  </si>
  <si>
    <t>SPS01 - 租户支出</t>
  </si>
  <si>
    <t>SPS02 - 购物中心推广支出</t>
  </si>
  <si>
    <t>SPS03 - 客户关系支出</t>
  </si>
  <si>
    <t>SPS04 - 促销支出</t>
  </si>
  <si>
    <t>SPS07 - 出租成本</t>
  </si>
  <si>
    <t>SPS0703 - 停车场成本</t>
  </si>
  <si>
    <t>SPS0704 - 房屋大修及系统改造</t>
  </si>
  <si>
    <t>SPS0707 - 其他出租成本</t>
  </si>
  <si>
    <t>SPS070701 - 物业成本</t>
  </si>
  <si>
    <t>SPS070703 - 其他出租成本-其他</t>
  </si>
  <si>
    <t>SPS08 - 员工成本</t>
  </si>
  <si>
    <t>SPS09 - 行政办公支出</t>
  </si>
  <si>
    <t>SPS11 - 税金及附加</t>
  </si>
  <si>
    <t>NOI - NOI</t>
  </si>
  <si>
    <t>24号楼凤凰汇购物中心</t>
    <phoneticPr fontId="135" type="noConversion"/>
  </si>
  <si>
    <t>资金科目</t>
  </si>
  <si>
    <t>2026</t>
  </si>
  <si>
    <t>2027</t>
  </si>
  <si>
    <t>2028</t>
  </si>
  <si>
    <t>2029</t>
  </si>
  <si>
    <t>年</t>
  </si>
  <si>
    <t>全年</t>
  </si>
  <si>
    <t>投资物业出租收到的现金</t>
  </si>
  <si>
    <t>投资物业商品销售及其他收到的现金</t>
  </si>
  <si>
    <t>提供物业服务收到的现金</t>
  </si>
  <si>
    <t>会所、酒店及其他独立经营业务收到的现金</t>
  </si>
  <si>
    <t>收到的税费返还</t>
  </si>
  <si>
    <t>代收代缴净额</t>
  </si>
  <si>
    <t>投资物业代商户收款收到的现金</t>
  </si>
  <si>
    <t>收到的其它与经营活动有关的现金</t>
  </si>
  <si>
    <t>现金流入小计</t>
  </si>
  <si>
    <t>投资物业购货及其他直接经营成本支付的现金</t>
  </si>
  <si>
    <t>提供物业服务支付的现金</t>
  </si>
  <si>
    <t>其他独立经营业务支付的现金</t>
  </si>
  <si>
    <t>支付给职工以及为职工支付的现金</t>
  </si>
  <si>
    <t>支付的管理费用（不含人工）</t>
  </si>
  <si>
    <t>支付的销售费用（不含人工）</t>
  </si>
  <si>
    <t>所得税支付的现金</t>
  </si>
  <si>
    <t>土地增值税支付的现金</t>
  </si>
  <si>
    <t>实缴增值税及各项附加税支付的现金</t>
  </si>
  <si>
    <t>支付的其他税费</t>
  </si>
  <si>
    <t>投资物业返还代商户收取的各项款项</t>
  </si>
  <si>
    <t>支付的其它与经营活动有关的现金</t>
  </si>
  <si>
    <t>现金流出小计</t>
  </si>
  <si>
    <t>经营活动产生现金净额</t>
  </si>
  <si>
    <t>出售/处置固定/无形资产和其他长期资产收到的现金净额</t>
  </si>
  <si>
    <t>处置子公司收到的现金（丧失控制权）</t>
  </si>
  <si>
    <t>对子公司减资收到的现金</t>
  </si>
  <si>
    <t>对合营联营公司处置/减资/收到分红收到的现金</t>
  </si>
  <si>
    <t>收回联合营公司贷款收到的现金</t>
  </si>
  <si>
    <t>收回华润集团集团内其他业务单元贷款收到的现金（委托贷款/股东贷款）</t>
  </si>
  <si>
    <t>收回华润集团外贷款收到的现金（委托贷款/股东贷款）</t>
  </si>
  <si>
    <t>收回资金中心/项目公司贷款收到的现金（委托贷款/内部贷款）</t>
  </si>
  <si>
    <t>收到子公司分红的现金</t>
  </si>
  <si>
    <t>利息收入-外部银行存款利息</t>
  </si>
  <si>
    <t>利息收入-华润集团集团内其他业务单元贷款（委托贷款/股东贷款）</t>
  </si>
  <si>
    <t>利息收入-华润集团外贷款（委托贷款/股东贷款）</t>
  </si>
  <si>
    <t>利息收入-资金中心/项目公司贷款（委托贷款/股东贷款）</t>
  </si>
  <si>
    <t>利息收入-联合营公司贷款</t>
  </si>
  <si>
    <t>项目公司收到资金中心下拨的资金</t>
  </si>
  <si>
    <t>收到的其它与投资活动有关的现金</t>
  </si>
  <si>
    <t>持有物业开发成本支出（含票据兑付）</t>
  </si>
  <si>
    <t>建设固定资产无形资产和其他长期资产支付的现金</t>
  </si>
  <si>
    <t>取得/投资子公司支付的现金</t>
  </si>
  <si>
    <t>对联营、合营公司投资/增资支付的现金</t>
  </si>
  <si>
    <t>向联合营公司提供贷款支付的现金</t>
  </si>
  <si>
    <t>向华润集团、集团内其他业务单元提供贷款支付的现金（委托贷款/股东贷款）</t>
  </si>
  <si>
    <t>向华润集团外单位提供贷款支付的现金（委托贷款/股东贷款）</t>
  </si>
  <si>
    <t>向资金中心/项目公司提供贷款支付的现金（委托贷款/内部贷款）</t>
  </si>
  <si>
    <t>全资公司向资金中心归集的资金</t>
  </si>
  <si>
    <t>支付的其它与投资活动有关的现金</t>
  </si>
  <si>
    <t>投资活动产生现金净额（B=c-d）</t>
  </si>
  <si>
    <t>发行普通股本收到的现金</t>
  </si>
  <si>
    <t>吸收投资所得款（内资）</t>
  </si>
  <si>
    <t>吸收投资所得款（外资，含境外人民币）</t>
  </si>
  <si>
    <t>向银行贷款收到的现金</t>
  </si>
  <si>
    <t>发行债券收到的现金</t>
  </si>
  <si>
    <t>向联合营公司贷款收到的现金</t>
  </si>
  <si>
    <t>向华润集团、集团内其他业务单元贷款收到的现金（委托贷款/股东贷款）</t>
  </si>
  <si>
    <t>向华润集团外贷款收到的现金（委托贷款/股东贷款）</t>
  </si>
  <si>
    <t>向资金中心/项目公司贷款收到的现金（委托贷款/内部贷款）</t>
  </si>
  <si>
    <t>处置子公司收到的现金（未丧失控制权）</t>
  </si>
  <si>
    <t>资金中心收到全资公司归集的资金</t>
  </si>
  <si>
    <t>收到的其它与筹资活动有关的现金</t>
  </si>
  <si>
    <t>偿还银行贷款支付的现金</t>
  </si>
  <si>
    <t>偿还债券本金支付的现金</t>
  </si>
  <si>
    <t>偿还联合营公司贷款支付的现金</t>
  </si>
  <si>
    <t>偿还华润集团集团内其他业务单元贷款支付的现金（委托贷款/股东贷款）</t>
  </si>
  <si>
    <t>偿还华润集团外贷款支付的现金（委托贷款/股东贷款）</t>
  </si>
  <si>
    <t>偿还资金中心/项目公司贷款支付的现金（委托贷款/内部贷款）</t>
  </si>
  <si>
    <t>公司减资支付的现金</t>
  </si>
  <si>
    <t>公司向股东分红支付的现金</t>
  </si>
  <si>
    <t>上市公司派息支付的现金</t>
  </si>
  <si>
    <t>利息支出-外部银行贷款</t>
  </si>
  <si>
    <t>利息支出-联合营公司贷款</t>
  </si>
  <si>
    <t>利息支出-华润集团集团内其他业务单元贷款</t>
  </si>
  <si>
    <t>利息支出-华润集团外贷款</t>
  </si>
  <si>
    <t>利息支出-资金中心/项目公司贷款（委托贷款/股东贷款）</t>
  </si>
  <si>
    <t>利息支出-债券利息</t>
  </si>
  <si>
    <t>资金中心向全资公司下拨的资金（返还归集资金）</t>
  </si>
  <si>
    <t>支付的其它与筹资活动有关的现金</t>
  </si>
  <si>
    <t>筹资活动产生现金净额（C=e-f）</t>
  </si>
  <si>
    <t>汇率调整影响</t>
  </si>
  <si>
    <t>现金流入（流出）净额</t>
  </si>
  <si>
    <t>加：期初现金及现金等价物余额</t>
  </si>
  <si>
    <t>期末现金及现金等价物余额</t>
  </si>
  <si>
    <t>序号</t>
    <phoneticPr fontId="135" type="noConversion"/>
  </si>
  <si>
    <t>坐落</t>
    <phoneticPr fontId="135" type="noConversion"/>
  </si>
  <si>
    <t>所在楼层</t>
    <phoneticPr fontId="135" type="noConversion"/>
  </si>
  <si>
    <r>
      <t>朝阳区曙光西里甲5号院24</t>
    </r>
    <r>
      <rPr>
        <sz val="11"/>
        <color theme="1"/>
        <rFont val="宋体"/>
        <family val="3"/>
        <charset val="134"/>
        <scheme val="minor"/>
      </rPr>
      <t>号楼</t>
    </r>
    <r>
      <rPr>
        <sz val="11"/>
        <color theme="1"/>
        <rFont val="宋体"/>
        <family val="3"/>
        <charset val="134"/>
        <scheme val="minor"/>
      </rPr>
      <t>-</t>
    </r>
    <r>
      <rPr>
        <sz val="11"/>
        <color theme="1"/>
        <rFont val="宋体"/>
        <family val="3"/>
        <charset val="134"/>
        <scheme val="minor"/>
      </rPr>
      <t>1至</t>
    </r>
    <r>
      <rPr>
        <sz val="11"/>
        <color theme="1"/>
        <rFont val="宋体"/>
        <family val="3"/>
        <charset val="134"/>
        <scheme val="minor"/>
      </rPr>
      <t>4</t>
    </r>
    <r>
      <rPr>
        <sz val="11"/>
        <color theme="1"/>
        <rFont val="宋体"/>
        <family val="3"/>
        <charset val="134"/>
        <scheme val="minor"/>
      </rPr>
      <t>层101</t>
    </r>
    <phoneticPr fontId="135" type="noConversion"/>
  </si>
  <si>
    <t>-1至4</t>
    <phoneticPr fontId="135" type="noConversion"/>
  </si>
  <si>
    <t>商业、附属用房</t>
    <phoneticPr fontId="135" type="noConversion"/>
  </si>
  <si>
    <r>
      <t>朝阳区曙光西里甲5号院24</t>
    </r>
    <r>
      <rPr>
        <sz val="11"/>
        <color theme="1"/>
        <rFont val="宋体"/>
        <family val="3"/>
        <charset val="134"/>
        <scheme val="minor"/>
      </rPr>
      <t>号楼</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212</t>
    </r>
    <phoneticPr fontId="135" type="noConversion"/>
  </si>
  <si>
    <r>
      <t>朝阳区曙光西里甲5号院24</t>
    </r>
    <r>
      <rPr>
        <sz val="11"/>
        <color theme="1"/>
        <rFont val="宋体"/>
        <family val="3"/>
        <charset val="134"/>
        <scheme val="minor"/>
      </rPr>
      <t>号楼</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213</t>
    </r>
    <r>
      <rPr>
        <sz val="11"/>
        <color theme="1"/>
        <rFont val="宋体"/>
        <family val="2"/>
        <scheme val="minor"/>
      </rPr>
      <t/>
    </r>
    <phoneticPr fontId="135" type="noConversion"/>
  </si>
  <si>
    <t>现房</t>
  </si>
  <si>
    <t>项目局部</t>
  </si>
  <si>
    <t>Suite 
单位</t>
  </si>
  <si>
    <t>Lettable Area (sm)
可出租面积 (平米)</t>
  </si>
  <si>
    <t>Start Date
起租日</t>
  </si>
  <si>
    <t>Expiry Date
完租日</t>
  </si>
  <si>
    <t>Base Rent
評估时点当月
固定租金
(含稅)</t>
  </si>
  <si>
    <t>Base Rent
評估时点当月
固定租金
(不含稅)</t>
  </si>
  <si>
    <t>Base Rent
評估时点当月
固定租金單價
(不含稅)</t>
  </si>
  <si>
    <t>截止評估日剩余租期总固定租金金额
(不含税)</t>
  </si>
  <si>
    <t>Mgt Fee
管理费</t>
  </si>
  <si>
    <t>租金递增描述
(从合同租期第一年开始提供)</t>
  </si>
  <si>
    <t>2024.9.25-2026.12.23 160元/平/月；2026.12.24-2028.12.23 168元/平/月；2028.12.24-2029.12.23 177元/平/月；</t>
  </si>
  <si>
    <t xml:space="preserve"> 2019.8.12-2020.4.15  90元/平/月；2020.4.16-2022.4.15   120元/平/月；2022.4.16-2024.4.15   126元/平/月；2024.4.16-2025.10.15  132元/平/月 </t>
  </si>
  <si>
    <t>2022.10.22-2024.1.11 515元/平/月；2024.1.12-2025.1.11 545元/平/月；2025.1.12-2026.1.11 575元/平/月；</t>
  </si>
  <si>
    <t>2021.12.10-2022.12.9 400元/平/月；2022.12.10-2023.12.9 420元/平/月；2023.12.10-2024.12.9 440元/平/月；2024.12.10-2025.12.9 460元/平/月；</t>
  </si>
  <si>
    <t>2016.11.5-2018.9.4   300元/平/月； 2018.9.5-2020.9.4  330元/平/月； 2020.9.5-2021.9.4  360元/平/月 ； 2021.9.5-2022.9.4  400元/平/月 ；2022.9.5-2023.9.4 480元/平/月 ；2023.9.5-2024.9.4  530元/平/月 ；2024.9.5-2025.9.4  545元/平/月 ；2025.9.5-2026.9.4  560元/平/月 ；2026.9.5-2027.9.4  575元/平/月 ；</t>
  </si>
  <si>
    <t xml:space="preserve">2023.5.5-2024.6.23 380元/平/月 ；2024.6.24-2025.6.23 400元/平/月 ；2025.6.23-2026.6.23 4200元/平/月 </t>
  </si>
  <si>
    <t>开业首三年，乙方租金为净票房提成租金（自然年净票房提成租金计提起算点为350万元）；自开业后第四个租赁年度起，乙方租金为基本租金或净票房提成租金，两者取高（非完整自然年净票房提成租金起算点计算方式为：350万元/365天*乙方在该年实际租赁天数；非完整自然月基本租金计算方式为：乙方在该月实际租赁的天数*日基本租金，其中日基本租金=当月基本租金/当月实际天数，月基本租金=当月基本租金/12）</t>
  </si>
  <si>
    <t>2024.8.25-2025.10.13 100元/平/月；2025.10.14-2026.10.13 105元/平/月；2026.10.14-2027.10.13 110元/平/月；</t>
  </si>
  <si>
    <t xml:space="preserve"> 2019.4.30-2020.4.9  1000元/平/月；2020.4.10-2021.4.9  1100元/平/月 ；2021.4.10-2022.4.9   1155元/平/月 ；2022.4.10-2023.4.9 1213元/平/月；2023.4.10-2024.4.9 1290元/平/月；2024.4.10-2027.4.9 1320 元/平/月；</t>
  </si>
  <si>
    <t>2025.2.22-2027.6.21 280元/平/月；2027.6.22-2029.6.21 290元/平/月；2029.6.22-2030.6.21 300元/平/月；</t>
  </si>
  <si>
    <t>2024.11.18-2026.1.6 410元/平/月；2026.1.7-2027.1.6 415元/平/月；2027.1.7-2027.11.30 420元/平/月；</t>
  </si>
  <si>
    <t>2025.3.25-2026.5.13 455元/平/月；2026.5.14-2027.5.13 472元/平/月；2027.5.14-2028.5.13 489元/平/月；</t>
  </si>
  <si>
    <t>2023.11.1-2024.12.30 400元/平/月；2024.12.31-2025.12.30  410元/平/月；2025.12.31-2026.12.30 420元/平/月；</t>
  </si>
  <si>
    <t xml:space="preserve"> 2018.9.15-2019.6.30   270元/平/月;2019.7.1-2020.6.30  280元/平/月;2020.7.1-2021.6.30 300元/平/月 ;2021.7.1-2023.6.30  320元/平/月 ；2023.7.1-2024.6.30  336元/平/月 ；2024.7.1-2026.8.31 346元/平/月 ；</t>
  </si>
  <si>
    <t>2023.7.30-2024.9.21  190元/平/月 ；2024.9.22-2025.9.21  220元/平/月 ；</t>
  </si>
  <si>
    <t xml:space="preserve"> 抽成比例为6% </t>
  </si>
  <si>
    <t>2021.8.30-2022.8.29 210元/平/月；2022.8.30-2023.8.29 215元/平/月；2023.8.30-2025.8.29 220元/平/月</t>
  </si>
  <si>
    <t xml:space="preserve"> 2018.10.9-2019.8.24  580元/平/月；2019.8.25-2020.8.24  600元/平/月；2020.8.25-2022.8.24  620元/平/月 ；2022.8.25-2023.8.24 635元/平/月；2023.8.25-2025.2.28 440元/平/月；2025.3.1-2026.2.28 300元/平/月；</t>
  </si>
  <si>
    <t>2022.3.23-2023.4.21 340元/平/月；2023.4.22-2024.4.21 360元/平/月；2024.4.22-2026.4.21 365元/平/月；</t>
  </si>
  <si>
    <t>2023.7.1-2024.8.30 430元/平/月；2024.8.31-2025.7.30 470元/平/月；</t>
  </si>
  <si>
    <t xml:space="preserve">2023.9.28-2024.3.27 296元/平/月 ；2026.3.30-2027.3.29 </t>
  </si>
  <si>
    <t xml:space="preserve"> 2012.4.23-2014.8.15  120元/平/月；2014.8.16-2015.4.9  130元/平/月；2015.4.10-2018.4.9 80元/平/月；2018.4.10-2022.8.15   85元/平/月 ；2022.8.16-2025.8.15 纯抽6%</t>
  </si>
  <si>
    <t xml:space="preserve"> 2019.2.25-2019.12.4  420元/平/月；2019.12.5-2020.12.4  440元/平/月；2020.12.5-2021.12.4  650元/平/月； 2021.12.5-2022.12.4  680元/平/月； 2022.12.5-2023.12.4  690元/平/月；2023.12.5-2025.12.4 705元/平/月；</t>
  </si>
  <si>
    <t>2021.4.9-2022.4.8  470元/平/月；2022.4.9-2023.4.8  500元/平/月；2023.4.9-2024.4.8每月营业小于等于10万元，230元/平方米每月；每月营业额大于10万元，330元/平方米每月；销售额大于17万元，430元/平方米每月；2024.4.9-2025.10.8 305元/平方米/月</t>
  </si>
  <si>
    <t>2021.3.1-2022.2.28  450元/平/月；2022.3.1-2023.2.28  500元/平/月；2023.3.1-2024.2.29  510元/平/月；2024.3.1-2025.2.28 210元/平/月；2025.3.1-2025.8.31 纯抽19%</t>
  </si>
  <si>
    <t>2021.4.29-2022.4.28  260元/平/月；2022.4.29-2023.4.28  280元/平/月；2023.4.29-2024.4.28   300元/平/月；2024.4.29-2025.4.28 340元/平/月； 2025.4.29-2026.4.28 350元/平/月； 2026.4.29-2027.4.28 360元/平/月；</t>
  </si>
  <si>
    <t>2023.8.7-2024.9.5 370元/平/月；2024.9.6-2025.9.5 380元/平/月； 2025.9.6-2026.9.5 390元/平/月</t>
  </si>
  <si>
    <t xml:space="preserve">2024.10.8-2025.11.6 300元/平/月2025.11.7-2026.11.6 ；2026.11.7-2027.11.6 315元/平/月； 330 </t>
  </si>
  <si>
    <t xml:space="preserve"> 2023.8.21-2024.9.19  205元/平/月；2024.9.20-2025.9.19  225元/平/月</t>
  </si>
  <si>
    <t xml:space="preserve"> 2015.8.1-2016.6.30 480元/平/月；2016.7.1-2017.6.30  530元/平/月；2017.7.1-2018.6.30  580元/平/月；2018.7.1-2019.6.30  609元/平/月；2019.7.1-2020.6.30  627.27元/平/月；2020.7.1-2020.9.30 440元/平/月；2020.10.1-2020.12.31 627.27元/平/月；2021.1.1-2021.12.31  640元/平/月；2022.1.1-2022.12.31 660元/平/月；2023.1.1-2023.12.31 680元/平/月；2024.1.1-2025.1.30 700元/平/月；2025.1.31-2026.1.30 720元/平/月；2026.1.31-2026.4.30 725元/平/月；</t>
  </si>
  <si>
    <t>2025.4.1-2026.6.29 138元/平/月；2026.6.30-2027.6.29 143元/平/月；2027.6.30-2028.6.29 148元/平/月；2028.6.30-2029.6.29 153元/平/月；2029.6.30-2030.6.29 158元/平/月；</t>
  </si>
  <si>
    <t xml:space="preserve">  2014.4.18-2015.4.17  225元/平/月；2015.4.18-2016.4.17  235元/平/月；2016.4.18-2017.4.17   245元/平/月；2017.4.18-2018.4.17  269.5元/平/月； 2018.4.18-2019.4.17  288元/平/月；2019.4.18-2020.4.17  305元/平/月；2020.4.18-2021.4.17 350元/平/月 ；2021.4.18-2022.4.17  380元/平/月 ；2022.4.18-2023.4.17 390元/平/月 ；2023.4.18-2024.4.17 435元/平/月 ；2024.4.18-2025.4.17 450元/平/月 ；2025.4.18-2026.4.17 470元/平/月 ；</t>
  </si>
  <si>
    <r>
      <t>2022.3.18-2023.6.15 450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r>
      <rPr>
        <sz val="11"/>
        <rFont val="Source Sans Pro"/>
        <family val="2"/>
      </rPr>
      <t>2023.6.16-2024.6.15 485</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r>
      <rPr>
        <sz val="11"/>
        <rFont val="Source Sans Pro"/>
        <family val="2"/>
      </rPr>
      <t>2024.6.16-2026.6.15 520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phoneticPr fontId="135" type="noConversion"/>
  </si>
  <si>
    <t xml:space="preserve"> 2016.10.11-2019.8.25抽成；2019.8.26-2020.8.25  275元/平/月；2020.8.26-2022.2.25 275元/平/月；2022.2.26-2024.2.25 302元/平/月；2024.2.26-2025.2.25 317元/平/月；2025.2.26-2026.2.25 220元/平/月；</t>
  </si>
  <si>
    <t>2023.5.20-2024.7.3 418元/平/月；2024.7.4-2025.7.3 443元/平/月；2025.7.4-2026.7.3 468元/平/月；</t>
  </si>
  <si>
    <t>2023.5.1-2024.5.30 500元/平/月；2024.5.31-2025.5.30 530元/平/月；2025.5.31-2026.5.30 560元/平/月；</t>
  </si>
  <si>
    <t>2025.5.31-2026.7.29 140元/平/月；2026.7.30-2027.7.29 145元/平/月；2027.7.30-2028.7.29 150元/平/月；2028.7.30-2029.7.29 155元/平/月；2029.7.30-2030.7.29 160元/平/月；</t>
  </si>
  <si>
    <t>2023.6.19-2024.9.17 260元/平/月；2024.9.18-2025.9.17 270元/平/月；2025.9.18-2026.8.17 290元/平/月；</t>
  </si>
  <si>
    <r>
      <t>2021.7.14-2022.7.13 480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2022.7.14-2023.7.13 510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2023.7.14-2026.6.30 540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phoneticPr fontId="135" type="noConversion"/>
  </si>
  <si>
    <t>2024.8.12-2025.9.25 350元/平/月；2025.9.26-2026.9.26 380元/平/月；2026.9.26-2027.9.26 410元/平/月；</t>
  </si>
  <si>
    <t>2025.5.7-2026.6.15 350元/平/月；2026.6.16-2027.6.15 380元/平/月；2027.6.16-2028.6.15 410元/平/月；</t>
  </si>
  <si>
    <t>2020.10.10-2021.4.9    2021.4.10-2021.10.9  550元/平/月；2021.10.10-2022.10.9  600元/平/月；2022.10.10-2023.10.9 650元/平/月；2023.10.10-2024.10.9 682.5元/平/月；2024.10.10-2025.10.9 700元/平/月；</t>
  </si>
  <si>
    <t>2024.5.30-2025.7.9 440元/平/月；2025.7.10-2026.7.9 470元/平/月；</t>
  </si>
  <si>
    <t>2021.2.3-2022.2.2  150元/平/月；2022.2.3-2023.2.2  160元/平/月；2023.2.3-2025.4.30 170元/平/月；2025.5.1-2026.4.30 172.3元/平/月；</t>
  </si>
  <si>
    <t>不变化</t>
  </si>
  <si>
    <t xml:space="preserve"> 2019.7.30-2021.5.30  115元/平/月；2021.5.31-2022.5.30  125元/平/月；2022.5.31-2023.5.30  135元/平/月 ；2023.5.31-2024.5.30 150元/平/月 ；2024.5.31-2025.11.30 100元/平/月 ；</t>
  </si>
  <si>
    <t>2022.6.28-2023.8.27 950元/平/月；2023.8.28-2023.12.31 1000元/平/月；2024.1.1-2026.3.27 600元/平/月；</t>
  </si>
  <si>
    <t>2025.6.15-2026.7.29 342元/平/月；2026.7.30-2027.7.29 365元/平/月；2027.7.30-2028.7.29 388元/平/月；</t>
  </si>
  <si>
    <t>2025.4.10-2026.6.8 200元/平/月；2026.6.9-2027.6.8 215元/平/月；2027.6.9-2028.6.8 230元/平/月；2028.6.9-2029.6.8 245元/平/月；</t>
  </si>
  <si>
    <t>2025.4.15-2026.6.13 200元/平/月；2026.6.14-2027.6.13 210元/平/月；2027.6.14-2028.6.13 220元/平/月；2028.6.14-2029.6.13 230元/平/月；2029.6.14-2030.6.13 240元/平/月；</t>
  </si>
  <si>
    <t>2021/4/11-2023/4/10  280元/平/月；2023/4/11-2024/4/10   294元/平/月；2024.4.11-2025.2.28 225元/平/月；2025.3.1-2026.2.28 230元/平/月；</t>
  </si>
  <si>
    <t>2025.4.30-2026.5.29 300元/平/月；2026.5.30-2027.5.2 305元/平/月；2027.5.30-2028.5.29 310元/平/月；</t>
  </si>
  <si>
    <t xml:space="preserve"> 2018.10.29-2019.8.29  220元/平/月；2019.8.30-2020.8.29  350元/平/月；2020.8.30-2021.8.29  400元/平/月； 2021.8.30-2022.8.29 415元/平/月；2022.8.30-2023.8.29 435元/平/月；2023.8.30-2024.8.29 480元/平/月；2024.8.30-2025.8.29 503元/平/月；</t>
  </si>
  <si>
    <t>2020.9.11-2021.11.24 400元/平/月；2021.11.25-2023.11.24 420元/平/月；2023.11.25-2025.11.24 440元/平/月</t>
  </si>
  <si>
    <t>2021.5.13-2022.5.19  300元/平/月；2022.5.20-2024.5.19  360元/平/月；2024.5.13-2024.11.12 400元/平/月；2024.11.13-2025.11.12 420元/平/月；</t>
  </si>
  <si>
    <t>2025.5.30-2025.8.29 纯抽18%</t>
  </si>
  <si>
    <t>2022.5.16-2023.6.29 330元/平/月； 2023.6.30-2024.6.29 380元/平/月；2024.6.30-2025.5.15  430元/平/月；2025.5.16-2026.5.15 100元/平/月；</t>
  </si>
  <si>
    <t>2024.6.1-2025.8.29 430元/平/月；2025.8.30-2026.8.29 440元/平/月；2026.8.30-2027.8.29 450元/平/月；2027.8.30-2028.8.29 460元/平/月；2028.8.30-2029.8.29 470元/平/月；</t>
  </si>
  <si>
    <t>Lifete</t>
    <phoneticPr fontId="135" type="noConversion"/>
  </si>
  <si>
    <t>2025.5.25-2026.7.8 360元/平/月；2026.7.9-2027.7.8 378元/平/月；2027.7.9-2028.7.8 397元/平/月；2028.7.9-2029.7.8 417元/平/月；</t>
  </si>
  <si>
    <t>Lifete</t>
  </si>
  <si>
    <t>不递增</t>
  </si>
  <si>
    <t>2021.5.15-2022.5.14单价：1500元/平/月;2022.5.15-2023.5.14 1545元/平/月；2023.5.15-2024.5.14 1635元/平/月；2024.5.15-2026.5.14 1655元/平/月；</t>
  </si>
  <si>
    <t>2022.3.30-2023.5.13 631元/平/月； 2023.5.14-2024.5.13 668元/平/月；2024.5.14-2026.5.13 705元/平/月</t>
  </si>
  <si>
    <t>2022.3.30-2023.3.29 1100元/平/月；；2023.3.30-2024.3.29 1150元/平/月；2024.3.30-2025.3.29 1300元/平/月；2025.3.30-2026.3.31 1350元/平/月；</t>
  </si>
  <si>
    <t>2024.3.28-2025.4.16 1300元/平/月；2025.4.17-2026.4.16 1339元/平/月；</t>
  </si>
  <si>
    <t>2025.5.12-2026.6.10 515元/平/月；2026.6.11-2027.6.10 533元/平/月；</t>
  </si>
  <si>
    <t>2025.4.11-2025.10.10 474元/平/月；</t>
  </si>
  <si>
    <t>2025.4.15-2026.5.14 1032元/平/月；2026.5.15-2027.5.14 1083.6 元/平/月；</t>
  </si>
  <si>
    <t>2021.4.30-2022.3.15单价：1000元/平/月;2022.3.16-2023.3.15单价：1050元/平/月;2023.3.16-2024.3.15 1176元/平/月;2024.3.16-2026.3.15 1255元/平/月;</t>
  </si>
  <si>
    <t>2024.12.1-2025.12.31 1022元/平/月； 2026.1.1-2026.12.31 1074元/平/月；</t>
  </si>
  <si>
    <t>2020.1.2-2021.1.1单价：1100元/平/月;2021.1.2-2022.1.1单价：1200元/平/月;2022.1.2-2023.3.1 1400元/平/月；2023.3.2-2024.3.1 1550元/平/月；2024.3.2-2025.3.16 1590元/平/月；2025.3.17-2026.3.16 1620元/平/月；</t>
  </si>
  <si>
    <t>2024.3.1-2025.6.29 220元/平/月；2025.6.30-2026.6.29 231元/平/月;2026.6.30-2027.6.29 242元/平/月;2027.6.30-2028.6.29 254元/平/月;；</t>
  </si>
  <si>
    <t>2023.11.9-2024.12.8  570元/平/月 ；2024.12.9-2025.12.8 590元/平/月</t>
  </si>
  <si>
    <t>2023.1.1-2024.3.26 420元/平/月；2024.3.27-2025.3.26  440元/平/月；2025.3.27-2026.3.26  460元/平/月；2026.3.27-2027.3.26  480元/平/月；</t>
  </si>
  <si>
    <t>2023.5.8-2024.7.6 390元/平/月；2024.7.7-2025.7.6 400元/平/月；2025.7.7-2026.7.6 410元/平/月；2026.7.7-2027.7.6 420元/平/月；</t>
  </si>
  <si>
    <t>2022.11.15-2023.12.29 650元/平/月;2023.12.29-2024.12.29 700元/平/月;2024.12.30-2025.12.29 750元/平/月;</t>
  </si>
  <si>
    <t>2022.6.11-2023.6.14 500元/平/月;；2023.6.15-2024.6.14 550元/平/月;； 2024.6.15-2025.7.25 600元/平/月;</t>
  </si>
  <si>
    <t>商街</t>
  </si>
  <si>
    <t>2019.12.1-2020.11.1 170元/平/月；2020.11.2-2021.11.1 185元/平/月；2021.11.2-2022.11.7单价：200元/平/月；2022.11.8-2023.11.7单价：300元/平/月；2023.11.8-2025.11.7 330元/平/月；</t>
  </si>
  <si>
    <t>2021.9.30-2022.9.29  225元/平/月；2022.9.30-2023.9.29 235元/平/月；2023.9.30-2024.9.29 245元/平/月；2024.9.30-2025.9.29 255元/平/月</t>
  </si>
  <si>
    <t>2025.2.17-2027.5.2 220元/平/月；2027.5.3-2028.5.2 230元/平/月；2028.5.3-2029.5.2 240元/平/月；2029.5.3-2030.5.2 250元/平/月；</t>
  </si>
  <si>
    <t>2025.5.29-2025.11.28 46元/平/月；</t>
  </si>
  <si>
    <t>2023.6.1-2023.11.30 190元/平/月；023.12.1-2025.11.30 210元/平/月；</t>
  </si>
  <si>
    <t>2020.11.15-2021.11.14单价：165元/平/月；2021.11.15-2022.11.14单价：180元/平/月；2022.11.15-2023.11.14 150元/平/月；2023.11.15-2026.5.14 160元/平/月；</t>
  </si>
  <si>
    <t>2023.12.1-2025.1.14 450元/平/月；2025.1.15-2026.1.14 470元/平/月；2026.1.15-2027.1.14 490元/平/月；</t>
  </si>
  <si>
    <t>2022.2.28-2023.4.28 单价：500元/平/月；2023.4.29-2024.4.28  单价：530元/平/月；2024.4.29-2025.4.28 单价：560元/平/月；2025.4.29-2026.4.28 单价：590元/平/月；</t>
  </si>
  <si>
    <t>2022.6.14-2023.7.28 单价：186元/平/月；2023.7.29-2024.7.28 单价：204元/平/月；2024.7.29-2025.7.28 单价：225元/平/月；2025.7.29-2026.7.28 247.5 元/平/月；</t>
  </si>
  <si>
    <t>2019.12.1-2020.5.16 471元/平/月；2020.5.17-2021.5.16单价：485元/平/月;2021.5.17-2022.5.16单价：500元/平/月;2022.5.17-2023.5.16单价：515元/平/月;2023.5.17-2024.5.16单价：535元/平/月;2024.5.17-2025.8.31 580元/平/月；</t>
  </si>
  <si>
    <t>2020.9.15-2021.8.14单价：420元/平/月;2021.8.15-2022.8.14单价：500元/平/月;2022.8.15-2023.8.14单价：530元/平/月;2023.8.15-2024.10.31单价：560元/平/月；2024.11.1-2024.10.31 300元/平/月</t>
  </si>
  <si>
    <t>2023.9.23-2024.8.22 510元/平/月；2024.8.23-2025.8.22 530元/平/月；2025.8.23-2026.8.22 550元/平/月</t>
  </si>
  <si>
    <t>2022.3.27-2023.4.25 单价：750元/平/月；2023.4.26-2024.4.25 单价：850元/平/月；2024.4.26-2025.7.25 880元/平/月；</t>
  </si>
  <si>
    <t>2020.11.27-2021.10.27单价：50元/平/月；2021.10.28-2022.10.27单价：200元/平/月；2022.10.28-2023.10.27单价：290元/平/月；2023.10.28-2024.10.27单价：310元/平/月；2024.10.28-2025.10.27单价：320元/平/月；</t>
  </si>
  <si>
    <t>2024.2.29-2025.5.28 530元/平/月；；2025.4.29-2026.4.28 556元/平/月；；2026.4.29-2027.4.28 583元/平/月；</t>
  </si>
  <si>
    <t>2020.1.6-2020.6.30单价：105元/平/月;2020.7.1-2022.10.7单价：210元/平/月;2022.10.8-2027.10.7单价：230元/平/月;</t>
  </si>
  <si>
    <t>2022.8.11-2023.10.25单价：480元/平/月；2023.10.26-2024.10.25单价：520元/平/月；2024.10.26-2025.8.10单价：560元/平/月</t>
  </si>
  <si>
    <t>2020.1.9-2021.2.15单价：400元/平/月;2021.2.16-2022.2.15单价：450元/平/月;2022.2.16-2023.2.15单价：490元/平/月;2023.2.16-2024.2.15单价：530元/平/月;2024.2.16-2025.3.31 556.5元/平/月;2025.4.1-2026.3.31 360元/平/月;</t>
  </si>
  <si>
    <t>2023.9.5-2024.11.24 375元/平/月;；2024.11.25-2025.10.24 390元/平/月;</t>
  </si>
  <si>
    <t>2022.9.1-2026.8.31单价：160元/平/月；2026.9.1-2028.8.31单价：170元/平/月；2028.9.1-2030.8.31单价：180元/平/月；</t>
  </si>
  <si>
    <t>2021.7.29-2022.7.8 300元/平/月；2022.7.9-2023.7.8 310元/平/月；2023.7.9-2025.7.8 320元/平/月</t>
  </si>
  <si>
    <t>2021.5.14-2022.3.14 350元/平/月；2022.3.15-2023.3.14 380元/平/月；2023.3.15-2024.3.14 400元/平/月；2024.3.15-2025.3.14 420元/平/月；2025.3.15-2026.3.14 450元/平/月</t>
  </si>
  <si>
    <t>2025.1.18-2026.2.28 355元/平/月；2026.3.1-2027.2.28 360元/平/月；2027.3.1-2028.2.29 365元/平/月；2028.3.1-2029.2.28 370元/平/月；2029.3.1-2030.2.28 375元/平/月；</t>
  </si>
  <si>
    <r>
      <t>2021.9.1-2022.8.31</t>
    </r>
    <r>
      <rPr>
        <sz val="11"/>
        <rFont val="宋体"/>
        <family val="3"/>
        <charset val="134"/>
      </rPr>
      <t>单价：</t>
    </r>
    <r>
      <rPr>
        <sz val="11"/>
        <rFont val="Source Sans Pro"/>
        <family val="2"/>
      </rPr>
      <t>300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2022.9.1-2023.8.31</t>
    </r>
    <r>
      <rPr>
        <sz val="11"/>
        <rFont val="宋体"/>
        <family val="3"/>
        <charset val="134"/>
      </rPr>
      <t>单价：</t>
    </r>
    <r>
      <rPr>
        <sz val="11"/>
        <rFont val="Source Sans Pro"/>
        <family val="2"/>
      </rPr>
      <t>320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2023.9.1-2024.8.31</t>
    </r>
    <r>
      <rPr>
        <sz val="11"/>
        <rFont val="宋体"/>
        <family val="3"/>
        <charset val="134"/>
      </rPr>
      <t>单价：</t>
    </r>
    <r>
      <rPr>
        <sz val="11"/>
        <rFont val="Source Sans Pro"/>
        <family val="2"/>
      </rPr>
      <t>340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2024.8.31-2026.6.30</t>
    </r>
    <r>
      <rPr>
        <sz val="11"/>
        <rFont val="宋体"/>
        <family val="3"/>
        <charset val="134"/>
      </rPr>
      <t>单价：</t>
    </r>
    <r>
      <rPr>
        <sz val="11"/>
        <rFont val="Source Sans Pro"/>
        <family val="2"/>
      </rPr>
      <t>360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phoneticPr fontId="135" type="noConversion"/>
  </si>
  <si>
    <t>2021.10.1-2022.9.30 300元/平/月；2022.10.1-2023.9.30 320元/平/月；2023.10.1-2024.9.30 340元/平/月；2024.10.1-2025.7.31 360元/平/月</t>
  </si>
  <si>
    <t>2019.12.31-2022.12.30单价：103.64元/平/月；2022.12.31-2025.12.30单价：108.82元/平/月</t>
  </si>
  <si>
    <t>B1</t>
  </si>
  <si>
    <t>2021.10.30-2022.10.29  380元/平/月；2022.10.30-2023.10.29 400元/平/月；2023.10.30-2025.10.29 430元/平/月</t>
  </si>
  <si>
    <t>2020.4.29-2021.4.28单价：530元/平/月;2021.4.29-2022.4.28单价：530元/平/月；2022.4.29-2023.4.28 556元/平/月；2023.4.29-2023.7.28 389.2元/平/月；2023.10.29-2024.10.28 395元/平/月；2024.10.29-2026.4.28 300元/平/月；</t>
  </si>
  <si>
    <t>2023.7.3-2024.7.22 800元/平/月;2024.7.23-2025.7.22  850元/平/月;2025.7.23-2026.7.22 900元/平/月;</t>
  </si>
  <si>
    <t>2025.1.1-2026.1.20 580元/平/月； 2026.1.21-2027.1.20 630元/平/月；</t>
  </si>
  <si>
    <t>2023.4.15-2024.5.29 300元/平/月;2024.5.30-2025.5.29 318元/平/月;2025.5.30*2026.5.29 338元/平/月;</t>
  </si>
  <si>
    <t>2019.7.15-2020.6.14单价：770元/平/月;2020.6.15-2021.6.14单价：830元/平/月;2021.6.15-2023.6.14 880元/平/月;2023.6.15-2024.6.14 920元/平/月; 2024.6.15-2024.12.14 930元/平/月; 2024.12.15-2025.12.14 950元/平/月;</t>
  </si>
  <si>
    <t>2020.6.15-2021.6.15单价：690元/平/月;2021.6.15-2022.6.14 760元/平/月;2022.6.15-2023.6.14 780元/平/月;2023.6.15-2024.6.14 820元/平/月;2024.6.15-2025.6.14 825元/平/月;2025.6.15-2026.6.14 830 元/平/月;</t>
  </si>
  <si>
    <t>2020.9.15-2021.9.14单价：840元/平/月;2021.9.15-2022.9.14 900元/平/月;2022.9.15-2023.9.14 950元/平/月；2023.9.15-2024.10.31 980元/平/月；2024.11.1-2025.10.31 988元/平/月；</t>
  </si>
  <si>
    <t>2023.2.24-2024.4.3 400元/平/月；2024.5.4-2026.4.3 420元/平/月</t>
  </si>
  <si>
    <t>2021.10.30-2022.10.29 260元/平/月；2022.10.30-2023.10.29 275元/平/月；2023.10.30-2024.10.29 300元/平/月；2024.10.30-2026.3.31 200元/平/月；</t>
  </si>
  <si>
    <t>2025.2.1-2025.7.31 65元/平/月；</t>
  </si>
  <si>
    <t>2023.4.3-2024.5.2 450元/平/月；2024.6.3-2025.5.2 472.5元/平/月；2025.5.3-2026.5.2 485元/平/月；</t>
  </si>
  <si>
    <t>2021.9.7-2022.9.6单价：515元/平/月；2022.9.7-2023.9.7单价：530元/平/月；2023.9.7-2024.9.6 556.5元/平/月；2024.9.7-2025.9.6 575.5元/平/月；</t>
  </si>
  <si>
    <t>2022.11.1-2023.12.15 300元/平/月； 2023.12.16--2024.12.15 310元/平/月； 2024.12.16--2025.12.15 320元/平/月；</t>
  </si>
  <si>
    <t>2021.7.20-2022.7.19 500元/平/月；2022.7.20-2023.7.19 530元/平/月；2023.7.20-2024.7.19 550元/平/月；2024.7.20-2025.7.19 470元/平/月；</t>
  </si>
  <si>
    <t>2023.10.11-2024.10.10 600元/平/月；2024.10.11-2025.10.10 650元/平/月；</t>
  </si>
  <si>
    <t>2020.7.31-2021.7.30单价：360元/平/米；2021.7.31-2022.7.30单价：380元/平/米；2022.7.31-2023.7.30 400元/平/米；2023.7.31-2024.7.30 420元/平/米；2024.7.31-2025.7.30 430元/平/米；</t>
  </si>
  <si>
    <t>2020.8.15-2022.8.14 450元/平/米；2022.8.15-2025.8.14 460元/平/米；</t>
  </si>
  <si>
    <t>2023.11.23-2024.11.23 650元/平/月；2024.12.24-2025.11.23 700元/平/月；</t>
  </si>
  <si>
    <t>2023.6.30-2024.8.13 220元/平/月；2024.8.14-2025.8.13 240元/平/月；2025.8.14-2026.8.13 260元/平/月；2026.8.14-2027.8.13 280元/平/月；</t>
  </si>
  <si>
    <t>日单价</t>
    <phoneticPr fontId="135" type="noConversion"/>
  </si>
  <si>
    <t>2023.11.21-2024.10.10</t>
  </si>
  <si>
    <t>2023.10.11-2023.11.20</t>
  </si>
  <si>
    <t>2023.11.23-2024-11.23</t>
  </si>
  <si>
    <t>2022.5.1-2025.6.14</t>
  </si>
  <si>
    <t>2023.11.9-2025.12.8</t>
  </si>
  <si>
    <t>2021.7.19-2022.7.19</t>
  </si>
  <si>
    <r>
      <rPr>
        <sz val="10"/>
        <rFont val="宋体"/>
        <family val="3"/>
        <charset val="134"/>
      </rPr>
      <t>小厨娘</t>
    </r>
    <r>
      <rPr>
        <sz val="10"/>
        <rFont val="Arial"/>
        <family val="2"/>
      </rPr>
      <t>2.28</t>
    </r>
    <r>
      <rPr>
        <sz val="10"/>
        <rFont val="宋体"/>
        <family val="3"/>
        <charset val="134"/>
      </rPr>
      <t>车场</t>
    </r>
  </si>
  <si>
    <t>2024.3.1-2027.4.29</t>
  </si>
  <si>
    <r>
      <rPr>
        <sz val="10"/>
        <rFont val="宋体"/>
        <family val="3"/>
        <charset val="134"/>
      </rPr>
      <t>出租合计</t>
    </r>
  </si>
  <si>
    <r>
      <rPr>
        <sz val="10"/>
        <color rgb="FF000000"/>
        <rFont val="Calibri"/>
        <family val="2"/>
      </rPr>
      <t>2024.10.7</t>
    </r>
    <r>
      <rPr>
        <sz val="10"/>
        <color rgb="FF000000"/>
        <rFont val="宋体"/>
        <family val="3"/>
        <charset val="134"/>
      </rPr>
      <t>招商取消</t>
    </r>
    <r>
      <rPr>
        <sz val="10"/>
        <color rgb="FF000000"/>
        <rFont val="Calibri"/>
        <family val="2"/>
      </rPr>
      <t>29</t>
    </r>
    <r>
      <rPr>
        <sz val="10"/>
        <color rgb="FF000000"/>
        <rFont val="宋体"/>
        <family val="3"/>
        <charset val="134"/>
      </rPr>
      <t>的外摆面积</t>
    </r>
    <r>
      <rPr>
        <sz val="10"/>
        <color rgb="FF000000"/>
        <rFont val="Calibri"/>
        <family val="2"/>
      </rPr>
      <t>\2025.3</t>
    </r>
    <r>
      <rPr>
        <sz val="10"/>
        <color rgb="FF000000"/>
        <rFont val="宋体"/>
        <family val="3"/>
        <charset val="134"/>
      </rPr>
      <t>月夏至有面新增外摆</t>
    </r>
    <r>
      <rPr>
        <sz val="10"/>
        <color rgb="FF000000"/>
        <rFont val="Calibri"/>
        <family val="2"/>
      </rPr>
      <t>29</t>
    </r>
  </si>
  <si>
    <r>
      <rPr>
        <sz val="10"/>
        <rFont val="宋体"/>
        <family val="3"/>
        <charset val="134"/>
      </rPr>
      <t>中岛</t>
    </r>
  </si>
  <si>
    <t>兆斌私厨</t>
  </si>
  <si>
    <t>绿原</t>
  </si>
  <si>
    <t>2024.3.2-2026.3.16</t>
  </si>
  <si>
    <r>
      <rPr>
        <sz val="10"/>
        <rFont val="宋体"/>
        <family val="3"/>
        <charset val="134"/>
      </rPr>
      <t>外摆面积：</t>
    </r>
  </si>
  <si>
    <t>北京众信悠哉国际旅行社有限公司</t>
  </si>
  <si>
    <t>2024.10.11-2025.10.10</t>
  </si>
  <si>
    <r>
      <rPr>
        <sz val="10"/>
        <rFont val="宋体"/>
        <family val="3"/>
        <charset val="134"/>
      </rPr>
      <t>凤凰汇</t>
    </r>
    <r>
      <rPr>
        <sz val="10"/>
        <rFont val="Arial"/>
        <family val="2"/>
      </rPr>
      <t>B136B</t>
    </r>
  </si>
  <si>
    <t>2024.12.24-2025.11.23</t>
  </si>
  <si>
    <t>匠新科技（北京）有限公司</t>
  </si>
  <si>
    <t>2023.12.24-2024.11.23</t>
  </si>
  <si>
    <t>2023.11.23-2023.12.23</t>
  </si>
  <si>
    <r>
      <rPr>
        <sz val="10"/>
        <rFont val="宋体"/>
        <family val="3"/>
        <charset val="134"/>
      </rPr>
      <t>凤凰汇</t>
    </r>
    <r>
      <rPr>
        <sz val="10"/>
        <rFont val="Arial"/>
        <family val="2"/>
      </rPr>
      <t>B05A2</t>
    </r>
  </si>
  <si>
    <t>2024.8.15-2025.8.14</t>
  </si>
  <si>
    <t>2024.3.28-2025.4.16</t>
  </si>
  <si>
    <t>北京西亨钟表眼镜股份有限公司</t>
  </si>
  <si>
    <t>2023.8.15-2024.8.14</t>
  </si>
  <si>
    <t>2022.8.15-2023.8.14</t>
  </si>
  <si>
    <t>2021.8.15-2022.8.14</t>
  </si>
  <si>
    <t>2020.8.15-2021.8.14</t>
  </si>
  <si>
    <r>
      <rPr>
        <sz val="10"/>
        <rFont val="宋体"/>
        <family val="3"/>
        <charset val="134"/>
      </rPr>
      <t>凤凰汇</t>
    </r>
    <r>
      <rPr>
        <sz val="10"/>
        <rFont val="Arial"/>
        <family val="2"/>
      </rPr>
      <t>B144</t>
    </r>
  </si>
  <si>
    <t>2028.8.5-2029.8.4</t>
  </si>
  <si>
    <t>2024.2.29-2025.2.28</t>
  </si>
  <si>
    <t>2027.8.5-2028.8.4</t>
  </si>
  <si>
    <t>2026.8.5-2027.8.4</t>
  </si>
  <si>
    <t>2025.9.5-2026.8.4</t>
  </si>
  <si>
    <t>2021.2.23-2023.2.28</t>
  </si>
  <si>
    <t>2025.6.16-2025.9.4</t>
  </si>
  <si>
    <t>B143A04</t>
  </si>
  <si>
    <t>北京宏兴港式餐饮有限公司</t>
  </si>
  <si>
    <r>
      <rPr>
        <sz val="10"/>
        <rFont val="Arial"/>
        <family val="2"/>
      </rPr>
      <t xml:space="preserve">2024.7.26-2025.7.25
</t>
    </r>
    <r>
      <rPr>
        <strike/>
        <sz val="10"/>
        <rFont val="Arial"/>
        <family val="2"/>
      </rPr>
      <t>2024.6.15-2025.6.14</t>
    </r>
  </si>
  <si>
    <r>
      <rPr>
        <sz val="10"/>
        <rFont val="Arial"/>
        <family val="2"/>
      </rPr>
      <t xml:space="preserve">2023.7.26-2024.7.25
</t>
    </r>
    <r>
      <rPr>
        <strike/>
        <sz val="10"/>
        <rFont val="Arial"/>
        <family val="2"/>
      </rPr>
      <t>2023.6.15-2024.6.14</t>
    </r>
  </si>
  <si>
    <r>
      <rPr>
        <sz val="10"/>
        <rFont val="Arial"/>
        <family val="2"/>
      </rPr>
      <t xml:space="preserve">2022.8.25-2023.7.25
</t>
    </r>
    <r>
      <rPr>
        <strike/>
        <sz val="10"/>
        <rFont val="Arial"/>
        <family val="2"/>
      </rPr>
      <t>2022.7.15-2023.6.14</t>
    </r>
  </si>
  <si>
    <r>
      <rPr>
        <sz val="10"/>
        <rFont val="Arial"/>
        <family val="2"/>
      </rPr>
      <t xml:space="preserve">2022.6.11-2022.8.24
</t>
    </r>
    <r>
      <rPr>
        <strike/>
        <sz val="10"/>
        <rFont val="Arial"/>
        <family val="2"/>
      </rPr>
      <t>2022.5.1-2022.7.14</t>
    </r>
  </si>
  <si>
    <r>
      <rPr>
        <sz val="10"/>
        <rFont val="Arial"/>
        <family val="2"/>
      </rPr>
      <t>2022/7/26</t>
    </r>
    <r>
      <rPr>
        <strike/>
        <sz val="10"/>
        <rFont val="Arial"/>
        <family val="2"/>
      </rPr>
      <t xml:space="preserve">
2022/6/15</t>
    </r>
  </si>
  <si>
    <r>
      <rPr>
        <sz val="10"/>
        <rFont val="Arial"/>
        <family val="2"/>
      </rPr>
      <t xml:space="preserve">2025/7/25
</t>
    </r>
    <r>
      <rPr>
        <strike/>
        <sz val="10"/>
        <rFont val="Arial"/>
        <family val="2"/>
      </rPr>
      <t>2025/6/14</t>
    </r>
  </si>
  <si>
    <r>
      <rPr>
        <sz val="10"/>
        <rFont val="Arial"/>
        <family val="2"/>
      </rPr>
      <t xml:space="preserve">2022/6/11
</t>
    </r>
    <r>
      <rPr>
        <strike/>
        <sz val="10"/>
        <rFont val="Arial"/>
        <family val="2"/>
      </rPr>
      <t>2022/5/1</t>
    </r>
  </si>
  <si>
    <r>
      <rPr>
        <sz val="10"/>
        <rFont val="宋体"/>
        <family val="3"/>
        <charset val="134"/>
      </rPr>
      <t>凤凰汇</t>
    </r>
    <r>
      <rPr>
        <sz val="10"/>
        <rFont val="Arial"/>
        <family val="2"/>
      </rPr>
      <t>B142</t>
    </r>
  </si>
  <si>
    <r>
      <rPr>
        <sz val="10"/>
        <rFont val="Arial"/>
        <family val="2"/>
      </rPr>
      <t xml:space="preserve">2025.2.6-2026.2.5
</t>
    </r>
    <r>
      <rPr>
        <strike/>
        <sz val="10"/>
        <rFont val="Arial"/>
        <family val="2"/>
      </rPr>
      <t>2024.12.30-2025.12.29</t>
    </r>
  </si>
  <si>
    <t>北京奋斗青年餐饮服务有限公司</t>
  </si>
  <si>
    <r>
      <rPr>
        <sz val="10"/>
        <rFont val="Arial"/>
        <family val="2"/>
      </rPr>
      <t xml:space="preserve">2024.2.6-2025.2.5
</t>
    </r>
    <r>
      <rPr>
        <strike/>
        <sz val="10"/>
        <rFont val="Arial"/>
        <family val="2"/>
      </rPr>
      <t>2023.12.30-2024.12.29</t>
    </r>
  </si>
  <si>
    <r>
      <rPr>
        <sz val="10"/>
        <rFont val="Arial"/>
        <family val="2"/>
      </rPr>
      <t xml:space="preserve">2023.3.6-2024.2.5
</t>
    </r>
    <r>
      <rPr>
        <strike/>
        <sz val="10"/>
        <rFont val="Arial"/>
        <family val="2"/>
      </rPr>
      <t>2023.1.30-2023.12.29</t>
    </r>
  </si>
  <si>
    <r>
      <rPr>
        <sz val="10"/>
        <rFont val="Arial"/>
        <family val="2"/>
      </rPr>
      <t xml:space="preserve">2022.12.8-2023.3.5
</t>
    </r>
    <r>
      <rPr>
        <strike/>
        <sz val="10"/>
        <rFont val="Arial"/>
        <family val="2"/>
      </rPr>
      <t>2022.11.15-2023.1.29</t>
    </r>
  </si>
  <si>
    <r>
      <rPr>
        <sz val="10"/>
        <rFont val="Arial"/>
        <family val="2"/>
      </rPr>
      <t xml:space="preserve">2022-12-8
</t>
    </r>
    <r>
      <rPr>
        <strike/>
        <sz val="10"/>
        <rFont val="Arial"/>
        <family val="2"/>
      </rPr>
      <t>2022-11-15</t>
    </r>
  </si>
  <si>
    <r>
      <rPr>
        <sz val="10"/>
        <rFont val="宋体"/>
        <family val="3"/>
        <charset val="134"/>
      </rPr>
      <t>凤凰汇</t>
    </r>
    <r>
      <rPr>
        <sz val="10"/>
        <rFont val="Arial"/>
        <family val="2"/>
      </rPr>
      <t>B141</t>
    </r>
  </si>
  <si>
    <r>
      <rPr>
        <sz val="10"/>
        <rFont val="宋体"/>
        <family val="3"/>
        <charset val="134"/>
      </rPr>
      <t>若</t>
    </r>
    <r>
      <rPr>
        <sz val="10"/>
        <rFont val="Arial"/>
        <family val="2"/>
      </rPr>
      <t>2026.7.7-2026.12.6</t>
    </r>
    <r>
      <rPr>
        <sz val="10"/>
        <rFont val="宋体"/>
        <family val="3"/>
        <charset val="134"/>
      </rPr>
      <t>月均零售额达到</t>
    </r>
    <r>
      <rPr>
        <sz val="10"/>
        <rFont val="Arial"/>
        <family val="2"/>
      </rPr>
      <t>25</t>
    </r>
    <r>
      <rPr>
        <sz val="10"/>
        <rFont val="宋体"/>
        <family val="3"/>
        <charset val="134"/>
      </rPr>
      <t>万，则自动延长至</t>
    </r>
    <r>
      <rPr>
        <sz val="10"/>
        <rFont val="Arial"/>
        <family val="2"/>
      </rPr>
      <t>2028.7.6
2027.7.7-2026.7.6</t>
    </r>
  </si>
  <si>
    <t>2026.7.7-2027.7.6</t>
  </si>
  <si>
    <t>2025.7.7-2026.7.6</t>
  </si>
  <si>
    <t>2024.7.7-2025.7.6</t>
  </si>
  <si>
    <t>北京艾恰餐饮服务有限公司</t>
  </si>
  <si>
    <t>2023.8.7-2024.7.6</t>
  </si>
  <si>
    <t>2023.5.8-2023.8.6</t>
  </si>
  <si>
    <t>2023.7.7</t>
  </si>
  <si>
    <r>
      <rPr>
        <sz val="10"/>
        <rFont val="宋体"/>
        <family val="3"/>
        <charset val="134"/>
      </rPr>
      <t>凤凰汇</t>
    </r>
    <r>
      <rPr>
        <sz val="10"/>
        <rFont val="Arial"/>
        <family val="2"/>
      </rPr>
      <t>B140A</t>
    </r>
  </si>
  <si>
    <t>2027.8.14-2028.8.13</t>
  </si>
  <si>
    <t>2026.8.14-2027.8.13</t>
  </si>
  <si>
    <t>2025.8.14-2026.8.13</t>
  </si>
  <si>
    <t>2024.8.14-2025.8.13</t>
  </si>
  <si>
    <t>北京凤凰伴月餐饮管理有限公司</t>
  </si>
  <si>
    <t>2023.9.14-2024.8.13</t>
  </si>
  <si>
    <r>
      <rPr>
        <sz val="10"/>
        <rFont val="宋体"/>
        <family val="3"/>
        <charset val="134"/>
      </rPr>
      <t>交付日起算</t>
    </r>
  </si>
  <si>
    <t>2023.6.30-2023.9.13</t>
  </si>
  <si>
    <r>
      <rPr>
        <sz val="10"/>
        <rFont val="宋体"/>
        <family val="3"/>
        <charset val="134"/>
      </rPr>
      <t>凤凰汇</t>
    </r>
    <r>
      <rPr>
        <sz val="10"/>
        <rFont val="Arial"/>
        <family val="2"/>
      </rPr>
      <t>B140B</t>
    </r>
  </si>
  <si>
    <t>2026.3.26-2027.3.27</t>
  </si>
  <si>
    <r>
      <rPr>
        <sz val="10"/>
        <rFont val="Arial"/>
        <family val="2"/>
      </rPr>
      <t xml:space="preserve">2025.3.27-2026.3.26
</t>
    </r>
    <r>
      <rPr>
        <strike/>
        <sz val="10"/>
        <rFont val="Arial"/>
        <family val="2"/>
      </rPr>
      <t>2025.1.15-2026.1.14</t>
    </r>
  </si>
  <si>
    <t>北京遇见小面餐饮管理有限公司</t>
  </si>
  <si>
    <r>
      <rPr>
        <sz val="10"/>
        <rFont val="Arial"/>
        <family val="2"/>
      </rPr>
      <t xml:space="preserve">2024.3.27-2025.3.26
</t>
    </r>
    <r>
      <rPr>
        <strike/>
        <sz val="10"/>
        <rFont val="Arial"/>
        <family val="2"/>
      </rPr>
      <t>2024.1.15-2025.1.14</t>
    </r>
  </si>
  <si>
    <r>
      <rPr>
        <sz val="10"/>
        <rFont val="Arial"/>
        <family val="2"/>
      </rPr>
      <t xml:space="preserve">2023.4.27-2024.3.26
</t>
    </r>
    <r>
      <rPr>
        <strike/>
        <sz val="10"/>
        <rFont val="Arial"/>
        <family val="2"/>
      </rPr>
      <t>2023.2.15-2024.1.14</t>
    </r>
  </si>
  <si>
    <r>
      <rPr>
        <sz val="10"/>
        <rFont val="Arial"/>
        <family val="2"/>
      </rPr>
      <t xml:space="preserve">2023.1.1-2023.4.26
</t>
    </r>
    <r>
      <rPr>
        <strike/>
        <sz val="10"/>
        <rFont val="Arial"/>
        <family val="2"/>
      </rPr>
      <t>2022.12.1-2023.2.14</t>
    </r>
  </si>
  <si>
    <r>
      <rPr>
        <sz val="10"/>
        <rFont val="Arial"/>
        <family val="2"/>
      </rPr>
      <t xml:space="preserve">2023-1-1 </t>
    </r>
    <r>
      <rPr>
        <strike/>
        <sz val="10"/>
        <rFont val="Arial"/>
        <family val="2"/>
      </rPr>
      <t>2023-1-15</t>
    </r>
  </si>
  <si>
    <r>
      <rPr>
        <sz val="10"/>
        <rFont val="Arial"/>
        <family val="2"/>
      </rPr>
      <t xml:space="preserve">2026-3-26 </t>
    </r>
    <r>
      <rPr>
        <strike/>
        <sz val="10"/>
        <rFont val="Arial"/>
        <family val="2"/>
      </rPr>
      <t>2026-1-14</t>
    </r>
  </si>
  <si>
    <r>
      <rPr>
        <sz val="10"/>
        <rFont val="宋体"/>
        <family val="3"/>
        <charset val="134"/>
      </rPr>
      <t>交付日</t>
    </r>
    <r>
      <rPr>
        <sz val="10"/>
        <rFont val="Arial"/>
        <family val="2"/>
      </rPr>
      <t xml:space="preserve">2023.1.1 
</t>
    </r>
    <r>
      <rPr>
        <strike/>
        <sz val="10"/>
        <rFont val="Arial"/>
        <family val="2"/>
      </rPr>
      <t>2022.12.1</t>
    </r>
  </si>
  <si>
    <r>
      <rPr>
        <sz val="10"/>
        <rFont val="宋体"/>
        <family val="3"/>
        <charset val="134"/>
      </rPr>
      <t>凤凰汇</t>
    </r>
    <r>
      <rPr>
        <sz val="10"/>
        <rFont val="Arial"/>
        <family val="2"/>
      </rPr>
      <t>B139F</t>
    </r>
  </si>
  <si>
    <t>2024.12.9-2025.12.8</t>
  </si>
  <si>
    <t>北京兆斌餐饮管理有限公司</t>
  </si>
  <si>
    <t>2024.1.9-2024.12.8</t>
  </si>
  <si>
    <t>2023.11.9-2024.1.8</t>
  </si>
  <si>
    <t>凤凰汇B138F</t>
  </si>
  <si>
    <t>2024.2.16——</t>
  </si>
  <si>
    <r>
      <rPr>
        <sz val="10"/>
        <rFont val="宋体"/>
        <family val="3"/>
        <charset val="134"/>
      </rPr>
      <t>复杂抽成：</t>
    </r>
    <r>
      <rPr>
        <sz val="10"/>
        <rFont val="Arial"/>
        <family val="2"/>
      </rPr>
      <t>3C</t>
    </r>
    <r>
      <rPr>
        <sz val="10"/>
        <rFont val="宋体"/>
        <family val="3"/>
        <charset val="134"/>
      </rPr>
      <t>回收类</t>
    </r>
    <r>
      <rPr>
        <sz val="10"/>
        <rFont val="Arial"/>
        <family val="2"/>
      </rPr>
      <t>3%</t>
    </r>
    <r>
      <rPr>
        <sz val="10"/>
        <rFont val="宋体"/>
        <family val="3"/>
        <charset val="134"/>
      </rPr>
      <t>、奢饰品回收类</t>
    </r>
    <r>
      <rPr>
        <sz val="10"/>
        <rFont val="Arial"/>
        <family val="2"/>
      </rPr>
      <t>1%</t>
    </r>
    <r>
      <rPr>
        <sz val="10"/>
        <rFont val="宋体"/>
        <family val="3"/>
        <charset val="134"/>
      </rPr>
      <t>、配件售卖类</t>
    </r>
    <r>
      <rPr>
        <sz val="10"/>
        <rFont val="Arial"/>
        <family val="2"/>
      </rPr>
      <t>8%</t>
    </r>
  </si>
  <si>
    <t>2025.7.20-2026.7.19</t>
  </si>
  <si>
    <t>青岛安三胖餐饮有限公司</t>
  </si>
  <si>
    <t>2027.6.30-2028.6.29
2027.4.30-2028.4.29（若2025.6.30-2026.6.29月均零售额达到70万元，则自动延长至2028.6.29）</t>
  </si>
  <si>
    <r>
      <rPr>
        <strike/>
        <sz val="10"/>
        <rFont val="Arial"/>
        <family val="2"/>
      </rPr>
      <t>2026.6.30-2027.6.29</t>
    </r>
    <r>
      <rPr>
        <sz val="10"/>
        <rFont val="Arial"/>
        <family val="2"/>
      </rPr>
      <t xml:space="preserve">
</t>
    </r>
    <r>
      <rPr>
        <strike/>
        <sz val="10"/>
        <rFont val="Arial"/>
        <family val="2"/>
      </rPr>
      <t>2026.4.30-2027.4.29</t>
    </r>
  </si>
  <si>
    <r>
      <rPr>
        <sz val="10"/>
        <rFont val="Arial"/>
        <family val="2"/>
      </rPr>
      <t xml:space="preserve">2025.6.30-2025.7.31
</t>
    </r>
    <r>
      <rPr>
        <strike/>
        <sz val="10"/>
        <rFont val="Arial"/>
        <family val="2"/>
      </rPr>
      <t>2025.6.30-2026.6.29</t>
    </r>
    <r>
      <rPr>
        <sz val="10"/>
        <rFont val="Arial"/>
        <family val="2"/>
      </rPr>
      <t xml:space="preserve">
</t>
    </r>
    <r>
      <rPr>
        <strike/>
        <sz val="10"/>
        <rFont val="Arial"/>
        <family val="2"/>
      </rPr>
      <t>2025.4.30-2026.4.29</t>
    </r>
  </si>
  <si>
    <r>
      <rPr>
        <sz val="10"/>
        <rFont val="Arial"/>
        <family val="2"/>
      </rPr>
      <t xml:space="preserve">2024.7.30-2025.6.29
</t>
    </r>
    <r>
      <rPr>
        <strike/>
        <sz val="10"/>
        <rFont val="Arial"/>
        <family val="2"/>
      </rPr>
      <t>2024.5.30-2025.4.29</t>
    </r>
  </si>
  <si>
    <r>
      <rPr>
        <sz val="10"/>
        <rFont val="宋体"/>
        <family val="3"/>
        <charset val="134"/>
      </rPr>
      <t>零售额超过120万，</t>
    </r>
    <r>
      <rPr>
        <sz val="10"/>
        <rFont val="Arial"/>
        <family val="2"/>
      </rPr>
      <t>9%</t>
    </r>
    <r>
      <rPr>
        <sz val="10"/>
        <rFont val="宋体"/>
        <family val="3"/>
        <charset val="134"/>
      </rPr>
      <t>；
营业额为120万及以下，0%</t>
    </r>
  </si>
  <si>
    <t>首期</t>
  </si>
  <si>
    <r>
      <rPr>
        <sz val="10"/>
        <rFont val="Arial"/>
        <family val="2"/>
      </rPr>
      <t xml:space="preserve">2024.3.1-2024.7.29
</t>
    </r>
    <r>
      <rPr>
        <strike/>
        <sz val="10"/>
        <rFont val="Arial"/>
        <family val="2"/>
      </rPr>
      <t>2024.3.1-2024.5.29</t>
    </r>
  </si>
  <si>
    <r>
      <rPr>
        <sz val="10"/>
        <rFont val="Arial"/>
        <family val="2"/>
      </rPr>
      <t xml:space="preserve">2024-5-30
</t>
    </r>
    <r>
      <rPr>
        <strike/>
        <sz val="10"/>
        <rFont val="Arial"/>
        <family val="2"/>
      </rPr>
      <t>2024-4-30</t>
    </r>
  </si>
  <si>
    <r>
      <rPr>
        <sz val="10"/>
        <rFont val="Arial"/>
        <family val="2"/>
      </rPr>
      <t xml:space="preserve">2025-7-31
</t>
    </r>
    <r>
      <rPr>
        <strike/>
        <sz val="10"/>
        <rFont val="Arial"/>
        <family val="2"/>
      </rPr>
      <t>2027-6-29</t>
    </r>
    <r>
      <rPr>
        <sz val="10"/>
        <rFont val="Arial"/>
        <family val="2"/>
      </rPr>
      <t xml:space="preserve">
</t>
    </r>
    <r>
      <rPr>
        <strike/>
        <sz val="10"/>
        <rFont val="Arial"/>
        <family val="2"/>
      </rPr>
      <t>2027-4-29</t>
    </r>
  </si>
  <si>
    <r>
      <rPr>
        <sz val="10"/>
        <rFont val="Arial"/>
        <family val="2"/>
      </rPr>
      <t xml:space="preserve">2024-4-1
</t>
    </r>
    <r>
      <rPr>
        <strike/>
        <sz val="10"/>
        <rFont val="Arial"/>
        <family val="2"/>
      </rPr>
      <t>2024-3-1</t>
    </r>
  </si>
  <si>
    <t>B134F-B135F-B136F-B137F</t>
  </si>
  <si>
    <t>2025.4.9-2025.7.31</t>
  </si>
  <si>
    <t>2024.11.9-2025.4.8</t>
  </si>
  <si>
    <t>2024.9.9-2024.11.8</t>
  </si>
  <si>
    <r>
      <rPr>
        <sz val="10"/>
        <rFont val="宋体"/>
        <family val="3"/>
        <charset val="134"/>
      </rPr>
      <t>凤凰汇</t>
    </r>
    <r>
      <rPr>
        <sz val="10"/>
        <rFont val="Arial"/>
        <family val="2"/>
      </rPr>
      <t>B133</t>
    </r>
  </si>
  <si>
    <t>北京澍敬洋明餐饮管理有限公司</t>
  </si>
  <si>
    <r>
      <rPr>
        <sz val="10"/>
        <rFont val="Arial"/>
        <family val="2"/>
      </rPr>
      <t xml:space="preserve">2025.4.16-2026.3.16
</t>
    </r>
    <r>
      <rPr>
        <strike/>
        <sz val="10"/>
        <rFont val="Arial"/>
        <family val="2"/>
      </rPr>
      <t>2025.3.17-2026.3.16</t>
    </r>
  </si>
  <si>
    <t>——2024.2.15</t>
  </si>
  <si>
    <r>
      <rPr>
        <sz val="10"/>
        <rFont val="Arial"/>
        <family val="2"/>
      </rPr>
      <t xml:space="preserve">2024.3.2-2025.3.31
</t>
    </r>
    <r>
      <rPr>
        <strike/>
        <sz val="10"/>
        <rFont val="Arial"/>
        <family val="2"/>
      </rPr>
      <t>2024.3.17-2025.3.16</t>
    </r>
  </si>
  <si>
    <t>2023.3.2-2024.3.1</t>
  </si>
  <si>
    <t>2022.1.2-2023.3.1</t>
  </si>
  <si>
    <t>2021.1.2-2022.1.1</t>
  </si>
  <si>
    <t>2020.1.2-2021.1.1</t>
  </si>
  <si>
    <t>2019.2.11-2020.1.1</t>
  </si>
  <si>
    <r>
      <rPr>
        <strike/>
        <sz val="10"/>
        <rFont val="Arial"/>
        <family val="2"/>
      </rPr>
      <t xml:space="preserve">2018-10-31
</t>
    </r>
    <r>
      <rPr>
        <sz val="10"/>
        <rFont val="Arial"/>
        <family val="2"/>
      </rPr>
      <t>2019-2-11</t>
    </r>
  </si>
  <si>
    <r>
      <rPr>
        <strike/>
        <sz val="10"/>
        <rFont val="Arial"/>
        <family val="2"/>
      </rPr>
      <t xml:space="preserve">2020-9-30
</t>
    </r>
    <r>
      <rPr>
        <sz val="10"/>
        <rFont val="Arial"/>
        <family val="2"/>
      </rPr>
      <t>2021-1-1</t>
    </r>
  </si>
  <si>
    <r>
      <rPr>
        <strike/>
        <sz val="10"/>
        <rFont val="宋体"/>
        <family val="3"/>
        <charset val="134"/>
      </rPr>
      <t>交付日</t>
    </r>
    <r>
      <rPr>
        <strike/>
        <sz val="10"/>
        <rFont val="Arial"/>
        <family val="2"/>
      </rPr>
      <t>2018-10-1</t>
    </r>
    <r>
      <rPr>
        <sz val="10"/>
        <rFont val="Arial"/>
        <family val="2"/>
      </rPr>
      <t xml:space="preserve">
2019-1-2</t>
    </r>
  </si>
  <si>
    <r>
      <rPr>
        <sz val="10"/>
        <rFont val="宋体"/>
        <family val="3"/>
        <charset val="134"/>
      </rPr>
      <t>凤凰汇</t>
    </r>
    <r>
      <rPr>
        <sz val="10"/>
        <rFont val="Arial"/>
        <family val="2"/>
      </rPr>
      <t>B132</t>
    </r>
  </si>
  <si>
    <t>2021.8.31-2024.10.29</t>
  </si>
  <si>
    <t>2026.1.1-2026.12.31</t>
  </si>
  <si>
    <t>20251/31</t>
  </si>
  <si>
    <t>2025.1.31-2025.12.31</t>
  </si>
  <si>
    <t>2024.12.1-2025.1.30</t>
  </si>
  <si>
    <t>2024.12.1</t>
  </si>
  <si>
    <t>2026.12.31</t>
  </si>
  <si>
    <r>
      <rPr>
        <sz val="10"/>
        <rFont val="宋体"/>
        <family val="3"/>
        <charset val="134"/>
      </rPr>
      <t>凤凰汇</t>
    </r>
    <r>
      <rPr>
        <sz val="10"/>
        <rFont val="Arial"/>
        <family val="2"/>
      </rPr>
      <t>B131</t>
    </r>
  </si>
  <si>
    <t>2025.3.16-2026.3.15</t>
  </si>
  <si>
    <t>北京鸿伟餐饮中心（有限合伙）</t>
  </si>
  <si>
    <t>2024.3.16-2025.3.15</t>
  </si>
  <si>
    <t>2023.3.16-2024.3.15</t>
  </si>
  <si>
    <r>
      <rPr>
        <sz val="10"/>
        <rFont val="宋体"/>
        <family val="3"/>
        <charset val="134"/>
      </rPr>
      <t>如，</t>
    </r>
    <r>
      <rPr>
        <sz val="10"/>
        <rFont val="Arial"/>
        <family val="2"/>
      </rPr>
      <t>2022.3.16-2023.3.15</t>
    </r>
    <r>
      <rPr>
        <sz val="10"/>
        <rFont val="宋体"/>
        <family val="3"/>
        <charset val="134"/>
      </rPr>
      <t>月平均销售额≥</t>
    </r>
    <r>
      <rPr>
        <sz val="10"/>
        <rFont val="Arial"/>
        <family val="2"/>
      </rPr>
      <t>400000</t>
    </r>
    <r>
      <rPr>
        <sz val="10"/>
        <rFont val="宋体"/>
        <family val="3"/>
        <charset val="134"/>
      </rPr>
      <t>元</t>
    </r>
    <r>
      <rPr>
        <sz val="10"/>
        <rFont val="Arial"/>
        <family val="2"/>
      </rPr>
      <t>/</t>
    </r>
    <r>
      <rPr>
        <sz val="10"/>
        <rFont val="宋体"/>
        <family val="3"/>
        <charset val="134"/>
      </rPr>
      <t>月，享有</t>
    </r>
    <r>
      <rPr>
        <sz val="10"/>
        <rFont val="Arial"/>
        <family val="2"/>
      </rPr>
      <t>1</t>
    </r>
    <r>
      <rPr>
        <sz val="10"/>
        <rFont val="宋体"/>
        <family val="3"/>
        <charset val="134"/>
      </rPr>
      <t>年的优先续约权，续约期间租金：</t>
    </r>
    <r>
      <rPr>
        <sz val="10"/>
        <rFont val="Arial"/>
        <family val="2"/>
      </rPr>
      <t>1103</t>
    </r>
    <r>
      <rPr>
        <sz val="10"/>
        <rFont val="宋体"/>
        <family val="3"/>
        <charset val="134"/>
      </rPr>
      <t>元</t>
    </r>
  </si>
  <si>
    <t>2022.3.16-2023.3.15</t>
  </si>
  <si>
    <t>2021.4.30-2022.3.15</t>
  </si>
  <si>
    <t>2021.4.30</t>
  </si>
  <si>
    <r>
      <rPr>
        <sz val="10"/>
        <rFont val="宋体"/>
        <family val="3"/>
        <charset val="134"/>
      </rPr>
      <t>凤凰汇</t>
    </r>
    <r>
      <rPr>
        <sz val="10"/>
        <rFont val="Arial"/>
        <family val="2"/>
      </rPr>
      <t>B130</t>
    </r>
  </si>
  <si>
    <t>2025.4.17-2026.4.16</t>
  </si>
  <si>
    <t>2024.5.17-2025.4.16</t>
  </si>
  <si>
    <t>我们爱吃冰淇淋（北京）餐饮管理有限责任公司</t>
  </si>
  <si>
    <t>2024.3.28-2024.5.16</t>
  </si>
  <si>
    <t>13</t>
  </si>
  <si>
    <t>凤凰汇B128</t>
  </si>
  <si>
    <t>2026.5.15-2027.5.14</t>
  </si>
  <si>
    <t>2025.6.15-2026.5.14</t>
  </si>
  <si>
    <t>2025.4.15-2025.6.14</t>
  </si>
  <si>
    <r>
      <rPr>
        <sz val="10"/>
        <rFont val="宋体"/>
        <family val="3"/>
        <charset val="134"/>
      </rPr>
      <t>凤凰汇</t>
    </r>
    <r>
      <rPr>
        <sz val="10"/>
        <rFont val="Arial"/>
        <family val="2"/>
      </rPr>
      <t>B127</t>
    </r>
  </si>
  <si>
    <t>2025.4.11-2025.10.10</t>
  </si>
  <si>
    <t>2025.1.20-2026.1.19</t>
  </si>
  <si>
    <t>高恩餐饮管理（北京）有限公司</t>
  </si>
  <si>
    <t>2024.1.20-2025.1.19</t>
  </si>
  <si>
    <t>2024.1.1-2024.1.19</t>
  </si>
  <si>
    <t>2023.11.1-2023.12.31</t>
  </si>
  <si>
    <r>
      <rPr>
        <sz val="10"/>
        <rFont val="Arial"/>
        <family val="2"/>
      </rPr>
      <t xml:space="preserve">2023.5.1-2023.10.31
</t>
    </r>
    <r>
      <rPr>
        <strike/>
        <sz val="10"/>
        <rFont val="Arial"/>
        <family val="2"/>
      </rPr>
      <t>2024.12.16--2025.12.15</t>
    </r>
  </si>
  <si>
    <r>
      <rPr>
        <sz val="10"/>
        <rFont val="Arial"/>
        <family val="2"/>
      </rPr>
      <t xml:space="preserve">2023.3.1-2023.4.30
</t>
    </r>
    <r>
      <rPr>
        <strike/>
        <sz val="10"/>
        <rFont val="Arial"/>
        <family val="2"/>
      </rPr>
      <t>2023.12.16--2024.12.15</t>
    </r>
  </si>
  <si>
    <r>
      <rPr>
        <sz val="10"/>
        <rFont val="Arial"/>
        <family val="2"/>
      </rPr>
      <t xml:space="preserve">2023.2.20-2023.2.28
</t>
    </r>
    <r>
      <rPr>
        <strike/>
        <sz val="10"/>
        <rFont val="Arial"/>
        <family val="2"/>
      </rPr>
      <t>2023.1.16-2023.12.15</t>
    </r>
  </si>
  <si>
    <r>
      <rPr>
        <sz val="10"/>
        <rFont val="Arial"/>
        <family val="2"/>
      </rPr>
      <t xml:space="preserve">2022.11.1-2023.2.19
</t>
    </r>
    <r>
      <rPr>
        <strike/>
        <sz val="10"/>
        <rFont val="Arial"/>
        <family val="2"/>
      </rPr>
      <t>2022.11.1-2023.1.15</t>
    </r>
  </si>
  <si>
    <r>
      <rPr>
        <sz val="10"/>
        <rFont val="Arial"/>
        <family val="2"/>
      </rPr>
      <t xml:space="preserve">2026-1-19
</t>
    </r>
    <r>
      <rPr>
        <strike/>
        <sz val="10"/>
        <rFont val="Arial"/>
        <family val="2"/>
      </rPr>
      <t>2025-12-15</t>
    </r>
  </si>
  <si>
    <r>
      <rPr>
        <sz val="10"/>
        <rFont val="宋体"/>
        <family val="3"/>
        <charset val="134"/>
      </rPr>
      <t>凤凰汇</t>
    </r>
    <r>
      <rPr>
        <sz val="10"/>
        <rFont val="Arial"/>
        <family val="2"/>
      </rPr>
      <t xml:space="preserve"> B120</t>
    </r>
    <r>
      <rPr>
        <sz val="10"/>
        <rFont val="宋体"/>
        <family val="3"/>
        <charset val="134"/>
      </rPr>
      <t>、</t>
    </r>
    <r>
      <rPr>
        <sz val="10"/>
        <rFont val="Arial"/>
        <family val="2"/>
      </rPr>
      <t>121</t>
    </r>
  </si>
  <si>
    <t>2024.9.7-2025.9.6</t>
  </si>
  <si>
    <t>九木杂物社企业管理有限公司</t>
  </si>
  <si>
    <t>2023.9.7-2024.9.6</t>
  </si>
  <si>
    <t>2022.9.7-2023.9.6</t>
  </si>
  <si>
    <t>2021.9.7-2022.9.6</t>
  </si>
  <si>
    <t>2020.9.7-2021.9.6</t>
  </si>
  <si>
    <r>
      <rPr>
        <sz val="10"/>
        <rFont val="宋体"/>
        <family val="3"/>
        <charset val="134"/>
      </rPr>
      <t>凤凰汇</t>
    </r>
    <r>
      <rPr>
        <sz val="10"/>
        <rFont val="Arial"/>
        <family val="2"/>
      </rPr>
      <t>B119</t>
    </r>
  </si>
  <si>
    <t>鑫运通唯美度（北京）美容美体有限公司</t>
  </si>
  <si>
    <r>
      <rPr>
        <sz val="10"/>
        <rFont val="Arial"/>
        <family val="2"/>
      </rPr>
      <t xml:space="preserve">2024.6.3-2025.5.2
</t>
    </r>
    <r>
      <rPr>
        <strike/>
        <sz val="10"/>
        <rFont val="Arial"/>
        <family val="2"/>
      </rPr>
      <t>2024.5.20-2025.4.19</t>
    </r>
  </si>
  <si>
    <r>
      <rPr>
        <sz val="10"/>
        <rFont val="Arial"/>
        <family val="2"/>
      </rPr>
      <t xml:space="preserve">2023.6.3-2024.6.2
</t>
    </r>
    <r>
      <rPr>
        <strike/>
        <sz val="10"/>
        <rFont val="Arial"/>
        <family val="2"/>
      </rPr>
      <t>2023.5.20-2024.5.19</t>
    </r>
  </si>
  <si>
    <r>
      <rPr>
        <sz val="10"/>
        <rFont val="Arial"/>
        <family val="2"/>
      </rPr>
      <t xml:space="preserve">2023.4.3-2023.6.2
</t>
    </r>
    <r>
      <rPr>
        <strike/>
        <sz val="10"/>
        <rFont val="Arial"/>
        <family val="2"/>
      </rPr>
      <t>2023.3.21-2023.5.19</t>
    </r>
  </si>
  <si>
    <r>
      <rPr>
        <sz val="10"/>
        <rFont val="Arial"/>
        <family val="2"/>
      </rPr>
      <t xml:space="preserve">2023.5.3
</t>
    </r>
    <r>
      <rPr>
        <strike/>
        <sz val="10"/>
        <rFont val="Arial"/>
        <family val="2"/>
      </rPr>
      <t>2023.4.20</t>
    </r>
  </si>
  <si>
    <r>
      <rPr>
        <sz val="10"/>
        <rFont val="Arial"/>
        <family val="2"/>
      </rPr>
      <t xml:space="preserve">2025.5.2
</t>
    </r>
    <r>
      <rPr>
        <strike/>
        <sz val="10"/>
        <rFont val="Arial"/>
        <family val="2"/>
      </rPr>
      <t>2025.4.19</t>
    </r>
  </si>
  <si>
    <r>
      <rPr>
        <sz val="10"/>
        <rFont val="Arial"/>
        <family val="2"/>
      </rPr>
      <t xml:space="preserve">2023-4-3
</t>
    </r>
    <r>
      <rPr>
        <strike/>
        <sz val="10"/>
        <rFont val="Arial"/>
        <family val="2"/>
      </rPr>
      <t>2023-3-21</t>
    </r>
  </si>
  <si>
    <r>
      <rPr>
        <sz val="10"/>
        <rFont val="宋体"/>
        <family val="3"/>
        <charset val="134"/>
      </rPr>
      <t>凤凰汇</t>
    </r>
    <r>
      <rPr>
        <sz val="10"/>
        <rFont val="Arial"/>
        <family val="2"/>
      </rPr>
      <t>B118</t>
    </r>
  </si>
  <si>
    <t>2025.2.1-2025.7.31</t>
  </si>
  <si>
    <t>2024.8.16-2025.1.31</t>
  </si>
  <si>
    <t>2024.2.16-2024.8.15</t>
  </si>
  <si>
    <t>3.5%/8%</t>
  </si>
  <si>
    <t>2023.8.16-2024.2.15</t>
  </si>
  <si>
    <t>2022.8.16-2023.8.15</t>
  </si>
  <si>
    <t>2019.8.16-2022.8.15</t>
  </si>
  <si>
    <t>2016.8.16-2019.8.15</t>
  </si>
  <si>
    <t>2013.8.16-2016.8.15</t>
  </si>
  <si>
    <t>2011.12.2-2013.8.15</t>
  </si>
  <si>
    <r>
      <rPr>
        <sz val="10"/>
        <rFont val="宋体"/>
        <family val="3"/>
        <charset val="134"/>
      </rPr>
      <t>抽成租金</t>
    </r>
    <r>
      <rPr>
        <sz val="10"/>
        <rFont val="Arial"/>
        <family val="2"/>
      </rPr>
      <t>2012.4.6</t>
    </r>
  </si>
  <si>
    <r>
      <rPr>
        <sz val="10"/>
        <rFont val="宋体"/>
        <family val="3"/>
        <charset val="134"/>
      </rPr>
      <t>交付日</t>
    </r>
    <r>
      <rPr>
        <sz val="10"/>
        <rFont val="Arial"/>
        <family val="2"/>
      </rPr>
      <t>2011/8/16</t>
    </r>
    <r>
      <rPr>
        <sz val="10"/>
        <rFont val="宋体"/>
        <family val="3"/>
        <charset val="134"/>
      </rPr>
      <t>前</t>
    </r>
  </si>
  <si>
    <r>
      <rPr>
        <sz val="10"/>
        <rFont val="宋体"/>
        <family val="3"/>
        <charset val="134"/>
      </rPr>
      <t>凤凰汇</t>
    </r>
    <r>
      <rPr>
        <sz val="10"/>
        <rFont val="Arial"/>
        <family val="2"/>
      </rPr>
      <t xml:space="preserve">     B116</t>
    </r>
  </si>
  <si>
    <t>2025.4.1-2026.3.31</t>
  </si>
  <si>
    <t>2024.10.30-2025.3.31</t>
  </si>
  <si>
    <t>北京海京星摄影有限责任公司</t>
  </si>
  <si>
    <t>2023.10.30-2024.10.29</t>
  </si>
  <si>
    <t>2022.10.30-2023.10.29</t>
  </si>
  <si>
    <t>2021.11.30-2022.10.29</t>
  </si>
  <si>
    <t>2021.8.31-2021.11.29</t>
  </si>
  <si>
    <r>
      <rPr>
        <sz val="10"/>
        <rFont val="宋体"/>
        <family val="3"/>
        <charset val="134"/>
      </rPr>
      <t>凤凰汇</t>
    </r>
    <r>
      <rPr>
        <sz val="10"/>
        <rFont val="Arial"/>
        <family val="2"/>
      </rPr>
      <t>B115</t>
    </r>
  </si>
  <si>
    <t>2025.4.4-2026.4.3</t>
  </si>
  <si>
    <t>北京凤梧荟化妆品销售有限公司</t>
  </si>
  <si>
    <r>
      <rPr>
        <sz val="10"/>
        <rFont val="Arial"/>
        <family val="2"/>
      </rPr>
      <t xml:space="preserve">2024.5.4-2025.4.3
</t>
    </r>
    <r>
      <rPr>
        <strike/>
        <sz val="10"/>
        <rFont val="Arial"/>
        <family val="2"/>
      </rPr>
      <t>2024.4.26-2025.3.25</t>
    </r>
    <r>
      <rPr>
        <sz val="10"/>
        <rFont val="Arial"/>
        <family val="2"/>
      </rPr>
      <t xml:space="preserve">
</t>
    </r>
    <r>
      <rPr>
        <strike/>
        <sz val="10"/>
        <rFont val="Arial"/>
        <family val="2"/>
      </rPr>
      <t>2024.4.15-2025.3.14</t>
    </r>
  </si>
  <si>
    <r>
      <rPr>
        <sz val="10"/>
        <rFont val="Arial"/>
        <family val="2"/>
      </rPr>
      <t xml:space="preserve">2023.5.4-2024.5.3
</t>
    </r>
    <r>
      <rPr>
        <strike/>
        <sz val="10"/>
        <rFont val="Arial"/>
        <family val="2"/>
      </rPr>
      <t>2023.4.26-2024.4.25</t>
    </r>
    <r>
      <rPr>
        <sz val="10"/>
        <rFont val="Arial"/>
        <family val="2"/>
      </rPr>
      <t xml:space="preserve">
</t>
    </r>
    <r>
      <rPr>
        <strike/>
        <sz val="10"/>
        <rFont val="Arial"/>
        <family val="2"/>
      </rPr>
      <t>2023.4.15-2024.4.14</t>
    </r>
  </si>
  <si>
    <r>
      <rPr>
        <sz val="10"/>
        <rFont val="Arial"/>
        <family val="2"/>
      </rPr>
      <t xml:space="preserve">2023.2.24-2023.5.3
</t>
    </r>
    <r>
      <rPr>
        <strike/>
        <sz val="10"/>
        <rFont val="Arial"/>
        <family val="2"/>
      </rPr>
      <t>2023.2.24-2023.4.25</t>
    </r>
    <r>
      <rPr>
        <sz val="10"/>
        <rFont val="Arial"/>
        <family val="2"/>
      </rPr>
      <t xml:space="preserve">
</t>
    </r>
    <r>
      <rPr>
        <strike/>
        <sz val="10"/>
        <rFont val="Arial"/>
        <family val="2"/>
      </rPr>
      <t>2023.2.13-2023.4.14</t>
    </r>
  </si>
  <si>
    <r>
      <rPr>
        <sz val="10"/>
        <rFont val="Arial"/>
        <family val="2"/>
      </rPr>
      <t xml:space="preserve">2023-4-4
</t>
    </r>
    <r>
      <rPr>
        <strike/>
        <sz val="10"/>
        <rFont val="Arial"/>
        <family val="2"/>
      </rPr>
      <t>2023-3-26</t>
    </r>
    <r>
      <rPr>
        <sz val="10"/>
        <rFont val="Arial"/>
        <family val="2"/>
      </rPr>
      <t xml:space="preserve">
</t>
    </r>
    <r>
      <rPr>
        <strike/>
        <sz val="10"/>
        <rFont val="Arial"/>
        <family val="2"/>
      </rPr>
      <t>2023-3-15</t>
    </r>
  </si>
  <si>
    <r>
      <rPr>
        <sz val="10"/>
        <rFont val="Arial"/>
        <family val="2"/>
      </rPr>
      <t xml:space="preserve">2025-3-25
</t>
    </r>
    <r>
      <rPr>
        <strike/>
        <sz val="10"/>
        <rFont val="Arial"/>
        <family val="2"/>
      </rPr>
      <t>2025-3-14</t>
    </r>
  </si>
  <si>
    <r>
      <rPr>
        <sz val="10"/>
        <rFont val="Arial"/>
        <family val="2"/>
      </rPr>
      <t xml:space="preserve">2023-2-24
</t>
    </r>
    <r>
      <rPr>
        <strike/>
        <sz val="10"/>
        <rFont val="Arial"/>
        <family val="2"/>
      </rPr>
      <t>2023-2-13</t>
    </r>
  </si>
  <si>
    <r>
      <rPr>
        <sz val="10"/>
        <rFont val="宋体"/>
        <family val="3"/>
        <charset val="134"/>
      </rPr>
      <t>凤凰汇</t>
    </r>
    <r>
      <rPr>
        <sz val="10"/>
        <rFont val="Arial"/>
        <family val="2"/>
      </rPr>
      <t>B114B</t>
    </r>
  </si>
  <si>
    <t>2024.11.1-2025.10.31</t>
  </si>
  <si>
    <t>论道竹叶青茶业（北京）有限公司</t>
  </si>
  <si>
    <t>2023.9.15-2024.10.31</t>
  </si>
  <si>
    <t>2022.9.15-2023.9.14</t>
  </si>
  <si>
    <t>2021.9.15-2022.9.14</t>
  </si>
  <si>
    <t>2024.3.30-2025.3.29</t>
  </si>
  <si>
    <t>2020.9.15-2021.9.14</t>
  </si>
  <si>
    <t>2019.9.15-2020.9.14</t>
  </si>
  <si>
    <t>2018.9.15-2019.9.14</t>
  </si>
  <si>
    <r>
      <rPr>
        <sz val="10"/>
        <rFont val="宋体"/>
        <family val="3"/>
        <charset val="134"/>
      </rPr>
      <t>自交付日起算</t>
    </r>
  </si>
  <si>
    <t>2017.9.15-2018.9.14</t>
  </si>
  <si>
    <t>2016.10.16-2017.9.14</t>
  </si>
  <si>
    <r>
      <rPr>
        <sz val="10"/>
        <rFont val="宋体"/>
        <family val="3"/>
        <charset val="134"/>
      </rPr>
      <t>交付日</t>
    </r>
    <r>
      <rPr>
        <sz val="10"/>
        <rFont val="Arial"/>
        <family val="2"/>
      </rPr>
      <t>2016/9/15</t>
    </r>
    <r>
      <rPr>
        <sz val="10"/>
        <rFont val="宋体"/>
        <family val="3"/>
        <charset val="134"/>
      </rPr>
      <t>前</t>
    </r>
  </si>
  <si>
    <r>
      <rPr>
        <sz val="10"/>
        <rFont val="宋体"/>
        <family val="3"/>
        <charset val="134"/>
      </rPr>
      <t>凤凰汇</t>
    </r>
    <r>
      <rPr>
        <sz val="10"/>
        <rFont val="Arial"/>
        <family val="2"/>
      </rPr>
      <t>B114A</t>
    </r>
  </si>
  <si>
    <t>北京爱空间美甲中心</t>
  </si>
  <si>
    <t>2024.6.15-2025.6.14</t>
  </si>
  <si>
    <t>2023.6.15-2024.6.14</t>
  </si>
  <si>
    <t>2022.6.15-2023.6.14</t>
  </si>
  <si>
    <t>2021.6.15-2022.6.14</t>
  </si>
  <si>
    <t>2020.6.15-2021.6.15</t>
  </si>
  <si>
    <t>2019.6.15-2020.6.14</t>
  </si>
  <si>
    <t>2019.6.1-2019.6.14</t>
  </si>
  <si>
    <t>2023.4.1-2023.6.30</t>
  </si>
  <si>
    <t>2019.3.1-2019.5.31</t>
  </si>
  <si>
    <r>
      <rPr>
        <sz val="10"/>
        <rFont val="宋体"/>
        <family val="3"/>
        <charset val="134"/>
      </rPr>
      <t>凤凰汇</t>
    </r>
    <r>
      <rPr>
        <sz val="10"/>
        <rFont val="Arial"/>
        <family val="2"/>
      </rPr>
      <t>B113B</t>
    </r>
  </si>
  <si>
    <t>2024.12.15-2025.12.14</t>
  </si>
  <si>
    <t>2024.6.15-2024.12.14</t>
  </si>
  <si>
    <t>上海镜采企业管理有限公司</t>
  </si>
  <si>
    <t>18/%</t>
  </si>
  <si>
    <t>2020.6.15-2021.6.14</t>
  </si>
  <si>
    <t>2019.7.15-2020.6.14</t>
  </si>
  <si>
    <r>
      <rPr>
        <sz val="10"/>
        <rFont val="宋体"/>
        <family val="3"/>
        <charset val="134"/>
      </rPr>
      <t>交付日</t>
    </r>
    <r>
      <rPr>
        <sz val="10"/>
        <rFont val="Arial"/>
        <family val="2"/>
      </rPr>
      <t>2019-6-15</t>
    </r>
    <r>
      <rPr>
        <sz val="10"/>
        <rFont val="宋体"/>
        <family val="3"/>
        <charset val="134"/>
      </rPr>
      <t>前</t>
    </r>
  </si>
  <si>
    <r>
      <rPr>
        <sz val="10"/>
        <rFont val="宋体"/>
        <family val="3"/>
        <charset val="134"/>
      </rPr>
      <t>凤凰汇</t>
    </r>
    <r>
      <rPr>
        <sz val="10"/>
        <rFont val="Arial"/>
        <family val="2"/>
      </rPr>
      <t>B113A</t>
    </r>
  </si>
  <si>
    <r>
      <rPr>
        <sz val="10"/>
        <rFont val="Arial"/>
        <family val="2"/>
      </rPr>
      <t xml:space="preserve">2025.5.30-2026.5.29
</t>
    </r>
    <r>
      <rPr>
        <strike/>
        <sz val="10"/>
        <rFont val="Arial"/>
        <family val="2"/>
      </rPr>
      <t>2025.5.9-2026.5.8</t>
    </r>
  </si>
  <si>
    <t>成都悦莱标灿商贸有限责任公司</t>
  </si>
  <si>
    <r>
      <rPr>
        <sz val="10"/>
        <rFont val="Arial"/>
        <family val="2"/>
      </rPr>
      <t xml:space="preserve">2024.5.30-2025.5.29
</t>
    </r>
    <r>
      <rPr>
        <strike/>
        <sz val="10"/>
        <rFont val="Arial"/>
        <family val="2"/>
      </rPr>
      <t>2024.5.9-2025.5.8</t>
    </r>
  </si>
  <si>
    <r>
      <rPr>
        <sz val="10"/>
        <rFont val="Arial"/>
        <family val="2"/>
      </rPr>
      <t xml:space="preserve">2023.6.30-2024.5.29
</t>
    </r>
    <r>
      <rPr>
        <strike/>
        <sz val="10"/>
        <rFont val="Arial"/>
        <family val="2"/>
      </rPr>
      <t>2023.6.9-2024.5.8</t>
    </r>
  </si>
  <si>
    <r>
      <rPr>
        <sz val="10"/>
        <rFont val="Arial"/>
        <family val="2"/>
      </rPr>
      <t xml:space="preserve">2023.4.15-2023.6.29
</t>
    </r>
    <r>
      <rPr>
        <strike/>
        <sz val="10"/>
        <rFont val="Arial"/>
        <family val="2"/>
      </rPr>
      <t>2023.3.25-2023.6.8</t>
    </r>
  </si>
  <si>
    <r>
      <rPr>
        <sz val="10"/>
        <rFont val="Arial"/>
        <family val="2"/>
      </rPr>
      <t xml:space="preserve">2023-5-30
</t>
    </r>
    <r>
      <rPr>
        <strike/>
        <sz val="10"/>
        <rFont val="Arial"/>
        <family val="2"/>
      </rPr>
      <t>2023-3-25</t>
    </r>
  </si>
  <si>
    <r>
      <rPr>
        <sz val="10"/>
        <rFont val="Arial"/>
        <family val="2"/>
      </rPr>
      <t xml:space="preserve">2026-5-29
</t>
    </r>
    <r>
      <rPr>
        <strike/>
        <sz val="10"/>
        <rFont val="Arial"/>
        <family val="2"/>
      </rPr>
      <t>2026-5-8</t>
    </r>
  </si>
  <si>
    <r>
      <rPr>
        <sz val="10"/>
        <rFont val="Arial"/>
        <family val="2"/>
      </rPr>
      <t xml:space="preserve">2023-4-15
</t>
    </r>
    <r>
      <rPr>
        <strike/>
        <sz val="10"/>
        <rFont val="Arial"/>
        <family val="2"/>
      </rPr>
      <t>2022-3-25</t>
    </r>
  </si>
  <si>
    <r>
      <rPr>
        <sz val="10"/>
        <rFont val="宋体"/>
        <family val="3"/>
        <charset val="134"/>
      </rPr>
      <t>凤凰汇</t>
    </r>
    <r>
      <rPr>
        <sz val="10"/>
        <rFont val="Arial"/>
        <family val="2"/>
      </rPr>
      <t>112</t>
    </r>
  </si>
  <si>
    <t>2026.1.21-2027.1.20</t>
  </si>
  <si>
    <t>2025.2.21-2026.1.20</t>
  </si>
  <si>
    <t>2025.1.1-2025.2.20</t>
  </si>
  <si>
    <r>
      <rPr>
        <sz val="10"/>
        <rFont val="宋体"/>
        <family val="3"/>
        <charset val="134"/>
      </rPr>
      <t>凤凰汇</t>
    </r>
    <r>
      <rPr>
        <sz val="10"/>
        <rFont val="Arial"/>
        <family val="2"/>
      </rPr>
      <t>B111</t>
    </r>
  </si>
  <si>
    <t>2025.7.23-2026.7.22</t>
  </si>
  <si>
    <t>北京禾夕美时餐饮管理有限公司第二分公司</t>
  </si>
  <si>
    <t>2024.7.23-2025.7.22</t>
  </si>
  <si>
    <t>2023.8.23-2024.7.22</t>
  </si>
  <si>
    <t>2023.7.3-2023.8.22</t>
  </si>
  <si>
    <r>
      <rPr>
        <sz val="10"/>
        <rFont val="宋体"/>
        <family val="3"/>
        <charset val="134"/>
      </rPr>
      <t>凤凰汇</t>
    </r>
    <r>
      <rPr>
        <sz val="10"/>
        <rFont val="Arial"/>
        <family val="2"/>
      </rPr>
      <t>B110A</t>
    </r>
  </si>
  <si>
    <t>北京泡泡玛特文化创意有限公司</t>
  </si>
  <si>
    <t>2023.10.29-2024.10.28</t>
  </si>
  <si>
    <t>2023.7.29-2023.10.28</t>
  </si>
  <si>
    <t>2023.4.29-2023.7.28</t>
  </si>
  <si>
    <r>
      <rPr>
        <sz val="10"/>
        <rFont val="宋体"/>
        <family val="3"/>
        <charset val="134"/>
      </rPr>
      <t>交付日起算</t>
    </r>
    <r>
      <rPr>
        <sz val="10"/>
        <rFont val="Arial"/>
        <family val="2"/>
      </rPr>
      <t>2011.9.15</t>
    </r>
  </si>
  <si>
    <t>2022.4.29-2023.4.28</t>
  </si>
  <si>
    <t>2021.4.29-2022.4.28</t>
  </si>
  <si>
    <t>2020.4.29-2021.4.28</t>
  </si>
  <si>
    <t>2019.4.29-2020.4.28</t>
  </si>
  <si>
    <t>2018.4.29-2019.4.28</t>
  </si>
  <si>
    <t>2017.4.29-2018.4.28</t>
  </si>
  <si>
    <t>2024.6.1-2029.8.29</t>
  </si>
  <si>
    <t>2016.4.30-2017.4.28</t>
  </si>
  <si>
    <r>
      <rPr>
        <sz val="10"/>
        <rFont val="宋体"/>
        <family val="3"/>
        <charset val="134"/>
      </rPr>
      <t>交付日</t>
    </r>
    <r>
      <rPr>
        <sz val="10"/>
        <rFont val="Arial"/>
        <family val="2"/>
      </rPr>
      <t>2016/3/15</t>
    </r>
    <r>
      <rPr>
        <sz val="10"/>
        <rFont val="宋体"/>
        <family val="3"/>
        <charset val="134"/>
      </rPr>
      <t>前</t>
    </r>
  </si>
  <si>
    <r>
      <rPr>
        <sz val="10"/>
        <rFont val="宋体"/>
        <family val="3"/>
        <charset val="134"/>
      </rPr>
      <t>凤凰汇</t>
    </r>
    <r>
      <rPr>
        <sz val="10"/>
        <rFont val="Arial"/>
        <family val="2"/>
      </rPr>
      <t>B109B</t>
    </r>
  </si>
  <si>
    <t>2024.10.30-2025.10.29</t>
  </si>
  <si>
    <t>北京美漾美形象设计有限公司</t>
  </si>
  <si>
    <r>
      <rPr>
        <sz val="10"/>
        <rFont val="宋体"/>
        <family val="3"/>
        <charset val="134"/>
      </rPr>
      <t>凤凰汇</t>
    </r>
    <r>
      <rPr>
        <sz val="10"/>
        <rFont val="Arial"/>
        <family val="2"/>
      </rPr>
      <t>B109A</t>
    </r>
  </si>
  <si>
    <t>2025.3.30-2026.3.31</t>
  </si>
  <si>
    <t>北京瑞吉咖啡有限公司</t>
  </si>
  <si>
    <t>2024.5.13-2024.11.12</t>
  </si>
  <si>
    <t>2023.3.30-2024.3.29</t>
  </si>
  <si>
    <t>2022.5.29-2023.3.29</t>
  </si>
  <si>
    <t>2022.3.30-2022.5.28</t>
  </si>
  <si>
    <r>
      <rPr>
        <sz val="10"/>
        <rFont val="宋体"/>
        <family val="3"/>
        <charset val="134"/>
      </rPr>
      <t>凤凰汇</t>
    </r>
    <r>
      <rPr>
        <sz val="10"/>
        <rFont val="Arial"/>
        <family val="2"/>
      </rPr>
      <t>B107</t>
    </r>
    <r>
      <rPr>
        <sz val="10"/>
        <rFont val="宋体"/>
        <family val="3"/>
        <charset val="134"/>
      </rPr>
      <t>、</t>
    </r>
    <r>
      <rPr>
        <sz val="10"/>
        <rFont val="Arial"/>
        <family val="2"/>
      </rPr>
      <t>B122</t>
    </r>
  </si>
  <si>
    <t>2026.6.11-2027.6.10</t>
  </si>
  <si>
    <t>2025.7.11-2026.6.10</t>
  </si>
  <si>
    <t>2025.5.12-2025.7.10</t>
  </si>
  <si>
    <t>B105A04</t>
  </si>
  <si>
    <t>2020.9.11-2025.11.24</t>
  </si>
  <si>
    <t>2025.5.14-2026.5.13</t>
  </si>
  <si>
    <t>麦和益恩（北京）餐饮服务有限公司</t>
  </si>
  <si>
    <t>2024.5.14-2025.5.13</t>
  </si>
  <si>
    <t>2023.5.14-2024.5.13</t>
  </si>
  <si>
    <t>2022.6.14-2023.5.13</t>
  </si>
  <si>
    <t>2021.8.30-2022.8.29</t>
  </si>
  <si>
    <t>2022.3.30-2022.6.13</t>
  </si>
  <si>
    <r>
      <rPr>
        <sz val="10"/>
        <rFont val="宋体"/>
        <family val="3"/>
        <charset val="134"/>
      </rPr>
      <t>凤凰汇</t>
    </r>
    <r>
      <rPr>
        <sz val="10"/>
        <rFont val="Arial"/>
        <family val="2"/>
      </rPr>
      <t>B103</t>
    </r>
    <r>
      <rPr>
        <sz val="10"/>
        <rFont val="宋体"/>
        <family val="3"/>
        <charset val="134"/>
      </rPr>
      <t>、</t>
    </r>
    <r>
      <rPr>
        <sz val="10"/>
        <rFont val="Arial"/>
        <family val="2"/>
      </rPr>
      <t>B104</t>
    </r>
    <r>
      <rPr>
        <sz val="10"/>
        <rFont val="宋体"/>
        <family val="3"/>
        <charset val="134"/>
      </rPr>
      <t>、</t>
    </r>
    <r>
      <rPr>
        <sz val="10"/>
        <rFont val="Arial"/>
        <family val="2"/>
      </rPr>
      <t>B145</t>
    </r>
    <r>
      <rPr>
        <sz val="10"/>
        <rFont val="宋体"/>
        <family val="3"/>
        <charset val="134"/>
      </rPr>
      <t>、</t>
    </r>
    <r>
      <rPr>
        <sz val="10"/>
        <rFont val="Arial"/>
        <family val="2"/>
      </rPr>
      <t>B149</t>
    </r>
  </si>
  <si>
    <t>北京枣有信心食品销售有限公司第三分公司</t>
  </si>
  <si>
    <t>2024.5.15-2025.5.14</t>
  </si>
  <si>
    <t>2023.5.15-2024.5.14</t>
  </si>
  <si>
    <t>2022.5.15-2023.5.14</t>
  </si>
  <si>
    <t>2021.5.15-2022.5.14</t>
  </si>
  <si>
    <r>
      <rPr>
        <sz val="10"/>
        <rFont val="宋体"/>
        <family val="3"/>
        <charset val="134"/>
      </rPr>
      <t>凤凰汇</t>
    </r>
    <r>
      <rPr>
        <sz val="10"/>
        <rFont val="Arial"/>
        <family val="2"/>
      </rPr>
      <t>B102</t>
    </r>
  </si>
  <si>
    <t>2024.10.19-2026.3.18</t>
  </si>
  <si>
    <t>2024.8.20-2024.10.18</t>
  </si>
  <si>
    <r>
      <rPr>
        <sz val="10"/>
        <rFont val="宋体"/>
        <family val="3"/>
        <charset val="134"/>
      </rPr>
      <t>凤凰汇</t>
    </r>
    <r>
      <rPr>
        <sz val="10"/>
        <rFont val="Arial"/>
        <family val="2"/>
      </rPr>
      <t>B101</t>
    </r>
  </si>
  <si>
    <t>2028.7.9-2029.7.8</t>
  </si>
  <si>
    <t>2027.7.9-2028.7.8</t>
  </si>
  <si>
    <t>2026.7.9-2027.7.8</t>
  </si>
  <si>
    <t>2025.8.9-2026.7.8</t>
  </si>
  <si>
    <t>2025.5.25-2025.8.8</t>
  </si>
  <si>
    <t>B0104N01</t>
  </si>
  <si>
    <t>北京鲜语餐饮管理有限公司</t>
  </si>
  <si>
    <r>
      <rPr>
        <sz val="10"/>
        <rFont val="Arial"/>
        <family val="2"/>
      </rPr>
      <t xml:space="preserve">2028.9.14-2029.9.13
</t>
    </r>
    <r>
      <rPr>
        <strike/>
        <sz val="10"/>
        <rFont val="Arial"/>
        <family val="2"/>
      </rPr>
      <t>2028.8.30-2029.8.29</t>
    </r>
  </si>
  <si>
    <r>
      <rPr>
        <sz val="10"/>
        <rFont val="Arial"/>
        <family val="2"/>
      </rPr>
      <t xml:space="preserve">2027.9.14-2028.9.13
</t>
    </r>
    <r>
      <rPr>
        <strike/>
        <sz val="10"/>
        <rFont val="Arial"/>
        <family val="2"/>
      </rPr>
      <t>2027.8.30-2028.8.29</t>
    </r>
  </si>
  <si>
    <r>
      <rPr>
        <sz val="10"/>
        <rFont val="Arial"/>
        <family val="2"/>
      </rPr>
      <t xml:space="preserve">2026.9.14-2027.9.13
</t>
    </r>
    <r>
      <rPr>
        <strike/>
        <sz val="10"/>
        <rFont val="Arial"/>
        <family val="2"/>
      </rPr>
      <t>2026.8.30-2027.8.29</t>
    </r>
  </si>
  <si>
    <r>
      <rPr>
        <sz val="10"/>
        <rFont val="Arial"/>
        <family val="2"/>
      </rPr>
      <t xml:space="preserve">2025.9.14-2026.9.13
</t>
    </r>
    <r>
      <rPr>
        <strike/>
        <sz val="10"/>
        <rFont val="Arial"/>
        <family val="2"/>
      </rPr>
      <t>2025.8.30-2026.8.29</t>
    </r>
  </si>
  <si>
    <r>
      <rPr>
        <sz val="10"/>
        <rFont val="Arial"/>
        <family val="2"/>
      </rPr>
      <t xml:space="preserve">2024.10.14-2025.9.13
</t>
    </r>
    <r>
      <rPr>
        <strike/>
        <sz val="10"/>
        <rFont val="Arial"/>
        <family val="2"/>
      </rPr>
      <t>2024.9.30-2025.8.29</t>
    </r>
  </si>
  <si>
    <r>
      <rPr>
        <sz val="10"/>
        <rFont val="Arial"/>
        <family val="2"/>
      </rPr>
      <t xml:space="preserve">2024.6.20-2024.10.13
</t>
    </r>
    <r>
      <rPr>
        <strike/>
        <sz val="10"/>
        <rFont val="Arial"/>
        <family val="2"/>
      </rPr>
      <t>2024.6.1-2024.9.29</t>
    </r>
  </si>
  <si>
    <r>
      <rPr>
        <sz val="10"/>
        <rFont val="Arial"/>
        <family val="2"/>
      </rPr>
      <t>2024/9/14</t>
    </r>
    <r>
      <rPr>
        <strike/>
        <sz val="10"/>
        <rFont val="Arial"/>
        <family val="2"/>
      </rPr>
      <t xml:space="preserve">
2024/8/30</t>
    </r>
  </si>
  <si>
    <r>
      <rPr>
        <sz val="10"/>
        <rFont val="Arial"/>
        <family val="2"/>
      </rPr>
      <t xml:space="preserve">2029/9/13
</t>
    </r>
    <r>
      <rPr>
        <strike/>
        <sz val="10"/>
        <rFont val="Arial"/>
        <family val="2"/>
      </rPr>
      <t>2029/8/29</t>
    </r>
  </si>
  <si>
    <r>
      <rPr>
        <sz val="10"/>
        <rFont val="Arial"/>
        <family val="2"/>
      </rPr>
      <t xml:space="preserve">2024/6/20
</t>
    </r>
    <r>
      <rPr>
        <strike/>
        <sz val="10"/>
        <rFont val="Arial"/>
        <family val="2"/>
      </rPr>
      <t>2024/6/1</t>
    </r>
  </si>
  <si>
    <t>L130A-L130B</t>
  </si>
  <si>
    <t>北京圣安报喜鸟服饰有限公司曙光西里分公司</t>
  </si>
  <si>
    <t>2024.6.30-2025.5.15</t>
  </si>
  <si>
    <t>2023.6.30-2024.6.29</t>
  </si>
  <si>
    <t>2022.7.30-2023.6.29</t>
  </si>
  <si>
    <t>2022.5.16-2022.7.29</t>
  </si>
  <si>
    <t>2022.6.30</t>
  </si>
  <si>
    <t>2025.5.15</t>
  </si>
  <si>
    <t>L128</t>
  </si>
  <si>
    <t>2025.5.30-2025.8.29</t>
  </si>
  <si>
    <t>L0127N06</t>
  </si>
  <si>
    <t>月销售额200万以下：镶嵌4%、素金3%、黄金饰品2%、黄金工艺品1%；月销售额200万以上：镶嵌5%、素金3%、黄金饰品2%、黄金工艺品1%</t>
  </si>
  <si>
    <t>北京金亨享珠宝有限公司</t>
  </si>
  <si>
    <t>2024.11.13-2025.11.12</t>
  </si>
  <si>
    <t>2023.5.13-2024.5.12</t>
  </si>
  <si>
    <t>2022.5.13-2023.5.12</t>
  </si>
  <si>
    <t>2021.5.13-2022.5.12</t>
  </si>
  <si>
    <r>
      <rPr>
        <sz val="10"/>
        <rFont val="Arial"/>
        <family val="2"/>
      </rPr>
      <t>2021-5-13</t>
    </r>
    <r>
      <rPr>
        <strike/>
        <sz val="10"/>
        <rFont val="Arial"/>
        <family val="2"/>
      </rPr>
      <t xml:space="preserve">
2021/5/19</t>
    </r>
  </si>
  <si>
    <r>
      <rPr>
        <sz val="10"/>
        <rFont val="宋体"/>
        <family val="3"/>
        <charset val="134"/>
      </rPr>
      <t>交付日</t>
    </r>
    <r>
      <rPr>
        <sz val="10"/>
        <rFont val="Arial"/>
        <family val="2"/>
      </rPr>
      <t>2021/3/30</t>
    </r>
  </si>
  <si>
    <r>
      <rPr>
        <sz val="10"/>
        <rFont val="宋体"/>
        <family val="3"/>
        <charset val="134"/>
      </rPr>
      <t>凤凰汇</t>
    </r>
    <r>
      <rPr>
        <sz val="10"/>
        <rFont val="Arial"/>
        <family val="2"/>
      </rPr>
      <t>L126</t>
    </r>
  </si>
  <si>
    <t>天好（北京）餐饮服务有限公司</t>
  </si>
  <si>
    <t>2023.11.25-2025.11.24</t>
  </si>
  <si>
    <t>2021.11.25-2023.11.24</t>
  </si>
  <si>
    <t>2020.11.25-2021.11.24</t>
  </si>
  <si>
    <t>交付日2020/9/11</t>
  </si>
  <si>
    <r>
      <rPr>
        <sz val="10"/>
        <rFont val="宋体"/>
        <family val="3"/>
        <charset val="134"/>
      </rPr>
      <t>凤凰汇</t>
    </r>
    <r>
      <rPr>
        <sz val="10"/>
        <rFont val="Arial"/>
        <family val="2"/>
      </rPr>
      <t>L125B</t>
    </r>
  </si>
  <si>
    <t>2024.8.30-2025.8.29</t>
  </si>
  <si>
    <t>上海森睿服饰有限公司</t>
  </si>
  <si>
    <t>2023.8.30-2024.8.29</t>
  </si>
  <si>
    <t>2022.8.30-2023.8.29</t>
  </si>
  <si>
    <t>2020.8.30-2021.8.29</t>
  </si>
  <si>
    <t>2019.8.30-2020.8.29</t>
  </si>
  <si>
    <t>2018.10.29-2019.8.29</t>
  </si>
  <si>
    <r>
      <rPr>
        <sz val="10"/>
        <rFont val="宋体"/>
        <family val="3"/>
        <charset val="134"/>
      </rPr>
      <t>交付日</t>
    </r>
    <r>
      <rPr>
        <sz val="10"/>
        <rFont val="Arial"/>
        <family val="2"/>
      </rPr>
      <t>2018-8-30</t>
    </r>
    <r>
      <rPr>
        <sz val="10"/>
        <rFont val="宋体"/>
        <family val="3"/>
        <charset val="134"/>
      </rPr>
      <t>前</t>
    </r>
  </si>
  <si>
    <r>
      <rPr>
        <sz val="10"/>
        <rFont val="宋体"/>
        <family val="3"/>
        <charset val="134"/>
      </rPr>
      <t>凤凰汇</t>
    </r>
    <r>
      <rPr>
        <sz val="10"/>
        <rFont val="Arial"/>
        <family val="2"/>
      </rPr>
      <t xml:space="preserve">  L125A</t>
    </r>
  </si>
  <si>
    <t>2027.5.30-2028.5.29</t>
  </si>
  <si>
    <t>2026.5.30-2027.5.29</t>
  </si>
  <si>
    <t>2025.6.30-2026.5.29</t>
  </si>
  <si>
    <t>2025.4.30-2025.6.29</t>
  </si>
  <si>
    <t>L0124N04</t>
  </si>
  <si>
    <t>2025.3.1-2026.2.28</t>
  </si>
  <si>
    <t>2024.8.11-2025.2.28</t>
  </si>
  <si>
    <t>北京力冠商贸有限公司</t>
  </si>
  <si>
    <t>2024.5.11-2024.8.10</t>
  </si>
  <si>
    <t>2024.4.11-2024.5.10</t>
  </si>
  <si>
    <t>2023.4.11-2024.4.10</t>
  </si>
  <si>
    <t>2021.4.11-2023.4.10</t>
  </si>
  <si>
    <r>
      <rPr>
        <sz val="10"/>
        <rFont val="宋体"/>
        <family val="3"/>
        <charset val="134"/>
      </rPr>
      <t>凤凰汇</t>
    </r>
    <r>
      <rPr>
        <sz val="10"/>
        <rFont val="Arial"/>
        <family val="2"/>
      </rPr>
      <t>L121</t>
    </r>
    <r>
      <rPr>
        <sz val="10"/>
        <rFont val="宋体"/>
        <family val="3"/>
        <charset val="134"/>
      </rPr>
      <t>、</t>
    </r>
    <r>
      <rPr>
        <sz val="10"/>
        <rFont val="Arial"/>
        <family val="2"/>
      </rPr>
      <t>L122</t>
    </r>
    <r>
      <rPr>
        <sz val="10"/>
        <rFont val="宋体"/>
        <family val="3"/>
        <charset val="134"/>
      </rPr>
      <t>、</t>
    </r>
    <r>
      <rPr>
        <sz val="10"/>
        <rFont val="Arial"/>
        <family val="2"/>
      </rPr>
      <t>L123</t>
    </r>
  </si>
  <si>
    <t>2029.6.14-2030.6.13</t>
  </si>
  <si>
    <t>2028.6.14-2029.6.13</t>
  </si>
  <si>
    <t>2027.6.14-2028.6.13</t>
  </si>
  <si>
    <t>2026.6.14-2027.6.13</t>
  </si>
  <si>
    <t>2025.7.14-2026.6.13</t>
  </si>
  <si>
    <t>交付日起算</t>
  </si>
  <si>
    <t>2025.4.15-2025.7.13</t>
  </si>
  <si>
    <t>L120a01</t>
  </si>
  <si>
    <t>2028.6.9-2029.6.8</t>
  </si>
  <si>
    <t>2027.6.9-2028.6.8</t>
  </si>
  <si>
    <t>2026.6.9-2027.6.8</t>
  </si>
  <si>
    <t>2025.7.9-2026.6.8</t>
  </si>
  <si>
    <t>2025.4.10-2025.7.8</t>
  </si>
  <si>
    <t>L11901</t>
  </si>
  <si>
    <t>2027.7.30-2028.7.29</t>
  </si>
  <si>
    <t>2026.7.30-2027.7.29</t>
  </si>
  <si>
    <t>2025.8.30-2026.7.29</t>
  </si>
  <si>
    <t>2025.6.15-2025.8.29</t>
  </si>
  <si>
    <t>L120b01</t>
  </si>
  <si>
    <t>2025.3.28-2026.3.27</t>
  </si>
  <si>
    <t>2024.9.28-2025.3.27</t>
  </si>
  <si>
    <t>2024.6.28-2024.9.27</t>
  </si>
  <si>
    <t>北京乐兜儿数码有限公司</t>
  </si>
  <si>
    <t>2024.1.1-2024.6.27</t>
  </si>
  <si>
    <r>
      <rPr>
        <sz val="10"/>
        <rFont val="Arial"/>
        <family val="2"/>
      </rPr>
      <t xml:space="preserve">2023.10.1-2023.12.31 </t>
    </r>
    <r>
      <rPr>
        <strike/>
        <sz val="10"/>
        <rFont val="Arial"/>
        <family val="2"/>
      </rPr>
      <t>2023.8.28</t>
    </r>
    <r>
      <rPr>
        <sz val="10"/>
        <rFont val="Arial"/>
        <family val="2"/>
      </rPr>
      <t>-</t>
    </r>
    <r>
      <rPr>
        <strike/>
        <sz val="10"/>
        <rFont val="Arial"/>
        <family val="2"/>
      </rPr>
      <t>2024.6.27</t>
    </r>
  </si>
  <si>
    <t>2023.7.1-2023.9.30</t>
  </si>
  <si>
    <r>
      <rPr>
        <sz val="10"/>
        <rFont val="Arial"/>
        <family val="2"/>
      </rPr>
      <t>2022.8.28-2023.6.30</t>
    </r>
    <r>
      <rPr>
        <strike/>
        <sz val="10"/>
        <rFont val="Arial"/>
        <family val="2"/>
      </rPr>
      <t xml:space="preserve"> 2023.8.27</t>
    </r>
  </si>
  <si>
    <t>2022.6.28-2022.8.27</t>
  </si>
  <si>
    <t>2022.7.28</t>
  </si>
  <si>
    <t>L117</t>
  </si>
  <si>
    <t>2025.4.1-2025.6.30</t>
  </si>
  <si>
    <t>2024.5.1-2025.4.30</t>
  </si>
  <si>
    <t>2024.9.1-2025.3.31</t>
  </si>
  <si>
    <t>2024.2.3-2024.4.30</t>
  </si>
  <si>
    <t>北京和明兴商贸有限公司</t>
  </si>
  <si>
    <t>2023.9.1-2024.8.31</t>
  </si>
  <si>
    <t>2023.6.1-2023.8.31</t>
  </si>
  <si>
    <t>2023.6.1</t>
  </si>
  <si>
    <t>2023.3.1-2023.5.31</t>
  </si>
  <si>
    <t>2021.2.3-2024.2.2</t>
  </si>
  <si>
    <r>
      <rPr>
        <sz val="10"/>
        <rFont val="Arial"/>
        <family val="2"/>
      </rPr>
      <t xml:space="preserve">2022.7.1-2023.2.28 </t>
    </r>
    <r>
      <rPr>
        <strike/>
        <sz val="10"/>
        <rFont val="Arial"/>
        <family val="2"/>
      </rPr>
      <t>2023.6.30</t>
    </r>
  </si>
  <si>
    <r>
      <rPr>
        <sz val="10"/>
        <rFont val="Arial"/>
        <family val="2"/>
      </rPr>
      <t xml:space="preserve">2023.2.28
</t>
    </r>
    <r>
      <rPr>
        <strike/>
        <sz val="10"/>
        <rFont val="Arial"/>
        <family val="2"/>
      </rPr>
      <t>2023.6.30</t>
    </r>
  </si>
  <si>
    <r>
      <rPr>
        <sz val="10"/>
        <rFont val="Arial"/>
        <family val="2"/>
      </rPr>
      <t>1</t>
    </r>
    <r>
      <rPr>
        <sz val="10"/>
        <rFont val="宋体"/>
        <family val="3"/>
        <charset val="134"/>
      </rPr>
      <t>年</t>
    </r>
  </si>
  <si>
    <t>2022.7.1</t>
  </si>
  <si>
    <t>2021.7.1-2022.6.30</t>
  </si>
  <si>
    <t>2021.7.1</t>
  </si>
  <si>
    <t>2021.3.1-2021.6.30</t>
  </si>
  <si>
    <t>2021.6.30</t>
  </si>
  <si>
    <r>
      <rPr>
        <sz val="10"/>
        <rFont val="Arial"/>
        <family val="2"/>
      </rPr>
      <t>4</t>
    </r>
    <r>
      <rPr>
        <sz val="10"/>
        <rFont val="宋体"/>
        <family val="3"/>
        <charset val="134"/>
      </rPr>
      <t>个月</t>
    </r>
  </si>
  <si>
    <t>2021.3.1</t>
  </si>
  <si>
    <t>2024.5.31-2026.7.9</t>
  </si>
  <si>
    <t>2019.10.9-2021.2.28</t>
  </si>
  <si>
    <r>
      <rPr>
        <sz val="10"/>
        <rFont val="Arial"/>
        <family val="2"/>
      </rPr>
      <t>16</t>
    </r>
    <r>
      <rPr>
        <sz val="10"/>
        <rFont val="宋体"/>
        <family val="3"/>
        <charset val="134"/>
      </rPr>
      <t>个月</t>
    </r>
    <r>
      <rPr>
        <sz val="10"/>
        <rFont val="Arial"/>
        <family val="2"/>
      </rPr>
      <t>23</t>
    </r>
    <r>
      <rPr>
        <sz val="10"/>
        <rFont val="宋体"/>
        <family val="3"/>
        <charset val="134"/>
      </rPr>
      <t>天</t>
    </r>
  </si>
  <si>
    <t>2019.3.1-2019.10.8</t>
  </si>
  <si>
    <t>2023.10.10-2024.10.9</t>
  </si>
  <si>
    <t>2018.12.2-2019.2.28</t>
  </si>
  <si>
    <t>2018.6.2-2018.12.1</t>
  </si>
  <si>
    <t>2017.6.2-2018.6.1</t>
  </si>
  <si>
    <t>2016.6.2-2017.6.1</t>
  </si>
  <si>
    <t>2015.7.3-2016.6.1</t>
  </si>
  <si>
    <r>
      <rPr>
        <sz val="10"/>
        <rFont val="宋体"/>
        <family val="3"/>
        <charset val="134"/>
      </rPr>
      <t>交付日</t>
    </r>
    <r>
      <rPr>
        <sz val="10"/>
        <rFont val="Arial"/>
        <family val="2"/>
      </rPr>
      <t>2015/6/2</t>
    </r>
  </si>
  <si>
    <r>
      <rPr>
        <sz val="10"/>
        <rFont val="宋体"/>
        <family val="3"/>
        <charset val="134"/>
      </rPr>
      <t>凤凰汇</t>
    </r>
    <r>
      <rPr>
        <sz val="10"/>
        <rFont val="Arial"/>
        <family val="2"/>
      </rPr>
      <t>L116B</t>
    </r>
  </si>
  <si>
    <t>2024.9.20-2025.3.31</t>
  </si>
  <si>
    <t>北京灵感之茶餐饮管理有限公司</t>
  </si>
  <si>
    <t>2023.9.20-2024.9.19</t>
  </si>
  <si>
    <t>2022.9.20-2023.9.19</t>
  </si>
  <si>
    <t>2021.9.20-2022.9.19</t>
  </si>
  <si>
    <t>2020.9.20-2021.9.19</t>
  </si>
  <si>
    <t>2019.9.20-2020.9.19</t>
  </si>
  <si>
    <t>2018.11.29-2019.9.19</t>
  </si>
  <si>
    <r>
      <rPr>
        <sz val="10"/>
        <rFont val="宋体"/>
        <family val="3"/>
        <charset val="134"/>
      </rPr>
      <t>凤凰汇</t>
    </r>
    <r>
      <rPr>
        <sz val="10"/>
        <rFont val="Arial"/>
        <family val="2"/>
      </rPr>
      <t>L115B</t>
    </r>
    <r>
      <rPr>
        <sz val="10"/>
        <rFont val="宋体"/>
        <family val="3"/>
        <charset val="134"/>
      </rPr>
      <t>、</t>
    </r>
    <r>
      <rPr>
        <sz val="10"/>
        <rFont val="Arial"/>
        <family val="2"/>
      </rPr>
      <t>L116A</t>
    </r>
  </si>
  <si>
    <t>北京欧思逸商贸有限公司</t>
  </si>
  <si>
    <t>2024.5.31-2024.11.30</t>
  </si>
  <si>
    <t>2023.5.31-2024.5.30</t>
  </si>
  <si>
    <t>2022.5.31-2023.5.30</t>
  </si>
  <si>
    <t>2021.5.31-2022.5.30</t>
  </si>
  <si>
    <t>2020.5.31-2021.5.30</t>
  </si>
  <si>
    <t>2019.7.30-2020.5.30</t>
  </si>
  <si>
    <r>
      <rPr>
        <sz val="10"/>
        <rFont val="宋体"/>
        <family val="3"/>
        <charset val="134"/>
      </rPr>
      <t>凤凰汇</t>
    </r>
    <r>
      <rPr>
        <sz val="10"/>
        <rFont val="Arial"/>
        <family val="2"/>
      </rPr>
      <t>L114B</t>
    </r>
    <r>
      <rPr>
        <sz val="10"/>
        <rFont val="宋体"/>
        <family val="3"/>
        <charset val="134"/>
      </rPr>
      <t>、</t>
    </r>
    <r>
      <rPr>
        <sz val="10"/>
        <rFont val="Arial"/>
        <family val="2"/>
      </rPr>
      <t>L114A</t>
    </r>
  </si>
  <si>
    <t>2025.5.1-2026.4.30</t>
  </si>
  <si>
    <t>北京丰盛盈众科技有限公司</t>
  </si>
  <si>
    <t>2023.2.3-2024.2.2</t>
  </si>
  <si>
    <t>2022.2.3-2023.2.2</t>
  </si>
  <si>
    <t>2021.2.3-2022.2.2</t>
  </si>
  <si>
    <r>
      <rPr>
        <sz val="10"/>
        <rFont val="宋体"/>
        <family val="3"/>
        <charset val="134"/>
      </rPr>
      <t>凤凰汇</t>
    </r>
    <r>
      <rPr>
        <sz val="10"/>
        <rFont val="Arial"/>
        <family val="2"/>
      </rPr>
      <t>L112</t>
    </r>
  </si>
  <si>
    <t>北京傲胜新亚商贸有限公司</t>
  </si>
  <si>
    <t>2025.7.10-2026.7.9</t>
  </si>
  <si>
    <t>2024.8.10-2025.7.9</t>
  </si>
  <si>
    <t>2024.5.31-2024.8.9</t>
  </si>
  <si>
    <t>L111</t>
  </si>
  <si>
    <t>2024.10.10-2025.10.9</t>
  </si>
  <si>
    <t>广时（上海）电子有限公司</t>
  </si>
  <si>
    <t>2022.10.10-2023.10.9</t>
  </si>
  <si>
    <t>2021.10.10-2022.10.9</t>
  </si>
  <si>
    <t>2021.4.10-2021.10.9</t>
  </si>
  <si>
    <t>2020.11.10-2021.4.9</t>
  </si>
  <si>
    <t>2020.10.10-2020.11.9</t>
  </si>
  <si>
    <r>
      <rPr>
        <sz val="10"/>
        <rFont val="宋体"/>
        <family val="3"/>
        <charset val="134"/>
      </rPr>
      <t>凤凰汇</t>
    </r>
    <r>
      <rPr>
        <sz val="10"/>
        <rFont val="Arial"/>
        <family val="2"/>
      </rPr>
      <t>L110</t>
    </r>
  </si>
  <si>
    <t>2027.6.16-2028.6.15</t>
  </si>
  <si>
    <t>2026.6.16-2027.6.15</t>
  </si>
  <si>
    <t>2025.7.16-2026.6.15</t>
  </si>
  <si>
    <t>2025.5.7-2025.7.15</t>
  </si>
  <si>
    <t>L0109N05</t>
  </si>
  <si>
    <r>
      <rPr>
        <sz val="10"/>
        <rFont val="Arial"/>
        <family val="2"/>
      </rPr>
      <t xml:space="preserve">2026.9.26-2027.9.26
</t>
    </r>
    <r>
      <rPr>
        <strike/>
        <sz val="10"/>
        <rFont val="Arial"/>
        <family val="2"/>
      </rPr>
      <t>2026.7.29-2027.7.28</t>
    </r>
  </si>
  <si>
    <r>
      <rPr>
        <sz val="10"/>
        <rFont val="Arial"/>
        <family val="2"/>
      </rPr>
      <t xml:space="preserve">2025.9.26-2026.9.25
</t>
    </r>
    <r>
      <rPr>
        <strike/>
        <sz val="10"/>
        <rFont val="Arial"/>
        <family val="2"/>
      </rPr>
      <t>2025.7.29-2026.7.28</t>
    </r>
  </si>
  <si>
    <r>
      <rPr>
        <sz val="10"/>
        <rFont val="Arial"/>
        <family val="2"/>
      </rPr>
      <t xml:space="preserve">2024.10.26-2025.9.25
</t>
    </r>
    <r>
      <rPr>
        <strike/>
        <sz val="10"/>
        <rFont val="Arial"/>
        <family val="2"/>
      </rPr>
      <t>2024.8.29-2025.7.28</t>
    </r>
  </si>
  <si>
    <r>
      <rPr>
        <sz val="10"/>
        <rFont val="Arial"/>
        <family val="2"/>
      </rPr>
      <t xml:space="preserve">2024.8.12-2024.10.25
</t>
    </r>
    <r>
      <rPr>
        <strike/>
        <sz val="10"/>
        <rFont val="Arial"/>
        <family val="2"/>
      </rPr>
      <t>2024.6.14-2024.8.28</t>
    </r>
  </si>
  <si>
    <r>
      <rPr>
        <sz val="10"/>
        <rFont val="宋体"/>
        <family val="3"/>
        <charset val="134"/>
      </rPr>
      <t xml:space="preserve">2024/8/12
</t>
    </r>
    <r>
      <rPr>
        <strike/>
        <sz val="10"/>
        <rFont val="宋体"/>
        <family val="3"/>
        <charset val="134"/>
      </rPr>
      <t>2024/6/14</t>
    </r>
  </si>
  <si>
    <r>
      <rPr>
        <sz val="10"/>
        <rFont val="Arial"/>
        <family val="2"/>
      </rPr>
      <t xml:space="preserve">2027/9/25
</t>
    </r>
    <r>
      <rPr>
        <strike/>
        <sz val="10"/>
        <rFont val="Arial"/>
        <family val="2"/>
      </rPr>
      <t>2027/7/28</t>
    </r>
  </si>
  <si>
    <r>
      <rPr>
        <sz val="10"/>
        <rFont val="Arial"/>
        <family val="2"/>
      </rPr>
      <t xml:space="preserve">2024/8/12
</t>
    </r>
    <r>
      <rPr>
        <strike/>
        <sz val="10"/>
        <rFont val="Arial"/>
        <family val="2"/>
      </rPr>
      <t>2024/6/14</t>
    </r>
  </si>
  <si>
    <t>凤凰汇L108</t>
  </si>
  <si>
    <t>2024.10.14-2025.3.31</t>
  </si>
  <si>
    <t>2024.7.14-2024.10.13</t>
  </si>
  <si>
    <t>北京茵赫餐饮管理有限公司</t>
  </si>
  <si>
    <t>2023.7.14-2024.7.13</t>
  </si>
  <si>
    <t>2022.7.14-2023.7.13</t>
  </si>
  <si>
    <t>2021.7.14-2022.7.13</t>
  </si>
  <si>
    <r>
      <rPr>
        <sz val="10"/>
        <rFont val="宋体"/>
        <family val="3"/>
        <charset val="134"/>
      </rPr>
      <t>凤凰汇</t>
    </r>
    <r>
      <rPr>
        <sz val="10"/>
        <rFont val="Arial"/>
        <family val="2"/>
      </rPr>
      <t>L107</t>
    </r>
  </si>
  <si>
    <t>北京骏领体育用品有限公司</t>
  </si>
  <si>
    <t>2025.5.31-2026.5.30</t>
  </si>
  <si>
    <t>2024.5.31-2025.5.30</t>
  </si>
  <si>
    <t>2023.7.1-2024.5.30</t>
  </si>
  <si>
    <t>2023.5.1-2023.6.30</t>
  </si>
  <si>
    <r>
      <rPr>
        <sz val="10"/>
        <rFont val="宋体"/>
        <family val="3"/>
        <charset val="134"/>
      </rPr>
      <t>凤凰汇</t>
    </r>
    <r>
      <rPr>
        <sz val="10"/>
        <rFont val="Arial"/>
        <family val="2"/>
      </rPr>
      <t>L105</t>
    </r>
  </si>
  <si>
    <t>2025.7.4-2026.7.3</t>
  </si>
  <si>
    <t>北京睿秀商贸有限公司</t>
  </si>
  <si>
    <t>2024.7.4-2025.7.3</t>
  </si>
  <si>
    <t>2023.8.4-2024.7.3</t>
  </si>
  <si>
    <t>2023.5.20-2023.8.3</t>
  </si>
  <si>
    <t>L104</t>
  </si>
  <si>
    <t>2025.2.26-2026.2.25</t>
  </si>
  <si>
    <t>艾高（中国）户外体育用品有限公司</t>
  </si>
  <si>
    <t>2024.2.26-2025.2.25</t>
  </si>
  <si>
    <t>2023.4.28-2024.2.25</t>
  </si>
  <si>
    <t>2023.2.26-2023.4.27</t>
  </si>
  <si>
    <t>2022.2.26-2023.2.25</t>
  </si>
  <si>
    <t>2022.2.26</t>
  </si>
  <si>
    <t>2021.2.26-2022.2.25</t>
  </si>
  <si>
    <t>2020.8.26-2021.2.25</t>
  </si>
  <si>
    <t>2019.8.26-2020.8.25</t>
  </si>
  <si>
    <t>2018.8.26-2019.8.25</t>
  </si>
  <si>
    <t>2017.8.26-2018.8.25</t>
  </si>
  <si>
    <t>2016.10.11-2017.8.25</t>
  </si>
  <si>
    <r>
      <rPr>
        <sz val="10"/>
        <rFont val="宋体"/>
        <family val="3"/>
        <charset val="134"/>
      </rPr>
      <t>凤凰汇</t>
    </r>
    <r>
      <rPr>
        <sz val="10"/>
        <rFont val="Arial"/>
        <family val="2"/>
      </rPr>
      <t>L102</t>
    </r>
  </si>
  <si>
    <r>
      <rPr>
        <sz val="10"/>
        <rFont val="Arial"/>
        <family val="2"/>
      </rPr>
      <t xml:space="preserve">2026.6.16-2027.6.15
</t>
    </r>
    <r>
      <rPr>
        <strike/>
        <sz val="10"/>
        <rFont val="Arial"/>
        <family val="2"/>
      </rPr>
      <t>2026.6.13-2027.6.12</t>
    </r>
  </si>
  <si>
    <r>
      <rPr>
        <sz val="10"/>
        <rFont val="Arial"/>
        <family val="2"/>
      </rPr>
      <t xml:space="preserve">2025.6.16-2026.6.15
</t>
    </r>
    <r>
      <rPr>
        <strike/>
        <sz val="10"/>
        <rFont val="Arial"/>
        <family val="2"/>
      </rPr>
      <t>2025.6.13-2026.6.12</t>
    </r>
  </si>
  <si>
    <t>北京福蒂思餐饮管理有限公司凤凰海堂分公司</t>
  </si>
  <si>
    <r>
      <rPr>
        <sz val="10"/>
        <rFont val="Arial"/>
        <family val="2"/>
      </rPr>
      <t xml:space="preserve">2024.6.16-2025.6.15
</t>
    </r>
    <r>
      <rPr>
        <strike/>
        <sz val="10"/>
        <rFont val="Arial"/>
        <family val="2"/>
      </rPr>
      <t>2024.6.13-2025.6.12</t>
    </r>
  </si>
  <si>
    <r>
      <rPr>
        <sz val="10"/>
        <rFont val="宋体"/>
        <family val="3"/>
        <charset val="134"/>
      </rPr>
      <t>北京福蒂思餐饮管理有限公司凤凰海堂分公司</t>
    </r>
  </si>
  <si>
    <r>
      <rPr>
        <sz val="10"/>
        <rFont val="Arial"/>
        <family val="2"/>
      </rPr>
      <t xml:space="preserve">2023.6.16-2024.6.15
</t>
    </r>
    <r>
      <rPr>
        <strike/>
        <sz val="10"/>
        <rFont val="Arial"/>
        <family val="2"/>
      </rPr>
      <t>2023.6.13-2024.6.12</t>
    </r>
  </si>
  <si>
    <r>
      <rPr>
        <sz val="10"/>
        <rFont val="Arial"/>
        <family val="2"/>
      </rPr>
      <t xml:space="preserve">2022.7.16-2022.6.15
</t>
    </r>
    <r>
      <rPr>
        <strike/>
        <sz val="10"/>
        <rFont val="Arial"/>
        <family val="2"/>
      </rPr>
      <t>2022.7.13-2023.6.12</t>
    </r>
  </si>
  <si>
    <r>
      <rPr>
        <sz val="10"/>
        <rFont val="Arial"/>
        <family val="2"/>
      </rPr>
      <t xml:space="preserve">2022.3.18-2022.7.15 
</t>
    </r>
    <r>
      <rPr>
        <strike/>
        <sz val="10"/>
        <rFont val="Arial"/>
        <family val="2"/>
      </rPr>
      <t>2022.3.15-2022.7.12</t>
    </r>
  </si>
  <si>
    <r>
      <rPr>
        <sz val="10"/>
        <rFont val="Arial"/>
        <family val="2"/>
      </rPr>
      <t xml:space="preserve">2022/6/15
</t>
    </r>
    <r>
      <rPr>
        <strike/>
        <sz val="10"/>
        <rFont val="Arial"/>
        <family val="2"/>
      </rPr>
      <t>2022/6/13</t>
    </r>
  </si>
  <si>
    <r>
      <rPr>
        <sz val="10"/>
        <rFont val="Arial"/>
        <family val="2"/>
      </rPr>
      <t xml:space="preserve">2027/6/15
</t>
    </r>
    <r>
      <rPr>
        <strike/>
        <sz val="10"/>
        <rFont val="Arial"/>
        <family val="2"/>
      </rPr>
      <t>2027/6/12</t>
    </r>
  </si>
  <si>
    <r>
      <rPr>
        <sz val="10"/>
        <rFont val="Arial"/>
        <family val="2"/>
      </rPr>
      <t xml:space="preserve">2022/3/18
</t>
    </r>
    <r>
      <rPr>
        <strike/>
        <sz val="10"/>
        <rFont val="Arial"/>
        <family val="2"/>
      </rPr>
      <t>2022/3/15</t>
    </r>
  </si>
  <si>
    <r>
      <rPr>
        <sz val="10"/>
        <rFont val="宋体"/>
        <family val="3"/>
        <charset val="134"/>
      </rPr>
      <t>凤凰汇</t>
    </r>
    <r>
      <rPr>
        <sz val="10"/>
        <rFont val="Arial"/>
        <family val="2"/>
      </rPr>
      <t>L101</t>
    </r>
  </si>
  <si>
    <t>2029.6.30-2030.6.29</t>
  </si>
  <si>
    <t>2028.6.30-2029.6.29</t>
  </si>
  <si>
    <t>2027.6.30-2028.6.29</t>
  </si>
  <si>
    <t>2026.6.30-2027.6.29</t>
  </si>
  <si>
    <t>2025.7.30-2026.6.29</t>
  </si>
  <si>
    <t>2025.4.1-2025.7.29</t>
  </si>
  <si>
    <r>
      <rPr>
        <sz val="10"/>
        <rFont val="宋体"/>
        <family val="3"/>
        <charset val="134"/>
      </rPr>
      <t>凤凰汇</t>
    </r>
    <r>
      <rPr>
        <sz val="10"/>
        <rFont val="Arial"/>
        <family val="2"/>
      </rPr>
      <t>L224-225</t>
    </r>
  </si>
  <si>
    <t>2026.7.20-2027.7.19</t>
  </si>
  <si>
    <r>
      <rPr>
        <sz val="10"/>
        <rFont val="宋体"/>
        <family val="3"/>
        <charset val="134"/>
      </rPr>
      <t>交付日期算</t>
    </r>
  </si>
  <si>
    <t>2025.8.20-2026.7.19</t>
  </si>
  <si>
    <t>2025.6.15-2025.8.19</t>
  </si>
  <si>
    <t>L0223N02</t>
  </si>
  <si>
    <t>2026.1.31-2026.4.30</t>
  </si>
  <si>
    <t>2025.1.31-2026.1.30</t>
  </si>
  <si>
    <t>广州市质品服饰有限公司北京销售分公司</t>
  </si>
  <si>
    <t>2024.3.1-2025.1.30</t>
  </si>
  <si>
    <t>2024.1.1-2024.2.29</t>
  </si>
  <si>
    <t>2023.1.1-2023.12.31</t>
  </si>
  <si>
    <t>2022.1.1-2022.12.31</t>
  </si>
  <si>
    <t>2021.1.1-2021.12.31</t>
  </si>
  <si>
    <t>2020.10.1-2020.12.31</t>
  </si>
  <si>
    <t>2020.7.1-2020.9.30</t>
  </si>
  <si>
    <t>2019.7.1-2020.6.30</t>
  </si>
  <si>
    <t>2018.7.1-2019.6.30</t>
  </si>
  <si>
    <t>2017.7.1-2018.6.30</t>
  </si>
  <si>
    <t>2016.7.1-2017.6.30</t>
  </si>
  <si>
    <t>2015.8.1-2016.6.30</t>
  </si>
  <si>
    <r>
      <rPr>
        <sz val="10"/>
        <rFont val="宋体"/>
        <family val="3"/>
        <charset val="134"/>
      </rPr>
      <t>交付日</t>
    </r>
    <r>
      <rPr>
        <sz val="10"/>
        <rFont val="Arial"/>
        <family val="2"/>
      </rPr>
      <t>2015/7/1</t>
    </r>
    <r>
      <rPr>
        <sz val="10"/>
        <rFont val="宋体"/>
        <family val="3"/>
        <charset val="134"/>
      </rPr>
      <t>前</t>
    </r>
  </si>
  <si>
    <r>
      <rPr>
        <sz val="10"/>
        <rFont val="宋体"/>
        <family val="3"/>
        <charset val="134"/>
      </rPr>
      <t>凤凰汇</t>
    </r>
    <r>
      <rPr>
        <sz val="10"/>
        <rFont val="Arial"/>
        <family val="2"/>
      </rPr>
      <t xml:space="preserve">  L222</t>
    </r>
  </si>
  <si>
    <t>2024.10.20-2025.9.19</t>
  </si>
  <si>
    <t>北京爱探索国际文化传媒有限公司</t>
  </si>
  <si>
    <t>2023.10.20-2024.10.19</t>
  </si>
  <si>
    <t>2023.8.21-2023.10.19</t>
  </si>
  <si>
    <r>
      <rPr>
        <sz val="10"/>
        <rFont val="宋体"/>
        <family val="3"/>
        <charset val="134"/>
      </rPr>
      <t>凤凰汇</t>
    </r>
    <r>
      <rPr>
        <sz val="10"/>
        <rFont val="Arial"/>
        <family val="2"/>
      </rPr>
      <t xml:space="preserve">   L221</t>
    </r>
  </si>
  <si>
    <t>2027.11.6</t>
  </si>
  <si>
    <t>2026.11.7</t>
  </si>
  <si>
    <t>2026.11.7-2027.11.6</t>
  </si>
  <si>
    <t>2026.11.6</t>
  </si>
  <si>
    <t>2025.11.7</t>
  </si>
  <si>
    <t>2025.11.7-2026.11.6</t>
  </si>
  <si>
    <t>2025.11.6</t>
  </si>
  <si>
    <t>2024.12.7</t>
  </si>
  <si>
    <t>2024.12.7-2025.11.6</t>
  </si>
  <si>
    <t>2024.12.6</t>
  </si>
  <si>
    <t>2024.10.8</t>
  </si>
  <si>
    <t>2024.10.8-2024.12.6</t>
  </si>
  <si>
    <r>
      <rPr>
        <sz val="10"/>
        <rFont val="宋体"/>
        <family val="3"/>
        <charset val="134"/>
      </rPr>
      <t>凤凰汇</t>
    </r>
    <r>
      <rPr>
        <sz val="10"/>
        <rFont val="Arial"/>
        <family val="2"/>
      </rPr>
      <t>L220</t>
    </r>
  </si>
  <si>
    <t>2025.9.6-2026.9.5</t>
  </si>
  <si>
    <t>2024.9.6-2025.9.5</t>
  </si>
  <si>
    <t>北京丝域中盈企业管理服务有限公司</t>
  </si>
  <si>
    <t>2023.10.6-2024.9.5</t>
  </si>
  <si>
    <t>2023.8.7-2023.10.5</t>
  </si>
  <si>
    <r>
      <rPr>
        <sz val="10"/>
        <rFont val="宋体"/>
        <family val="3"/>
        <charset val="134"/>
      </rPr>
      <t>凤凰汇</t>
    </r>
    <r>
      <rPr>
        <sz val="10"/>
        <rFont val="Arial"/>
        <family val="2"/>
      </rPr>
      <t>L218</t>
    </r>
  </si>
  <si>
    <t>2021.3.10-2023.4.8</t>
  </si>
  <si>
    <t>北京乐肌健康管理有限公司</t>
  </si>
  <si>
    <t>2026.4.29-2027.4.28</t>
  </si>
  <si>
    <t>2025.4.29-2026.4.28</t>
  </si>
  <si>
    <t>2024.4.29-2025.4.28</t>
  </si>
  <si>
    <t>20247-4-28</t>
  </si>
  <si>
    <t>2023.4.29-2024.4.28</t>
  </si>
  <si>
    <r>
      <rPr>
        <sz val="10"/>
        <rFont val="宋体"/>
        <family val="3"/>
        <charset val="134"/>
      </rPr>
      <t>凤凰汇</t>
    </r>
    <r>
      <rPr>
        <sz val="10"/>
        <rFont val="Arial"/>
        <family val="2"/>
      </rPr>
      <t>L217</t>
    </r>
  </si>
  <si>
    <t>2025.3.1-2025.8.31</t>
  </si>
  <si>
    <r>
      <rPr>
        <sz val="10"/>
        <rFont val="宋体"/>
        <family val="3"/>
        <charset val="134"/>
      </rPr>
      <t>纯抽19</t>
    </r>
    <r>
      <rPr>
        <sz val="10"/>
        <rFont val="Arial"/>
        <family val="2"/>
      </rPr>
      <t>%</t>
    </r>
  </si>
  <si>
    <t>宁波速写服饰有限公司</t>
  </si>
  <si>
    <t>2024.3.1-2025.2.28</t>
  </si>
  <si>
    <t>2023.3.1-2024.2.29</t>
  </si>
  <si>
    <r>
      <rPr>
        <sz val="10"/>
        <rFont val="宋体"/>
        <family val="3"/>
        <charset val="134"/>
      </rPr>
      <t>无</t>
    </r>
  </si>
  <si>
    <t>2022.3.1-2023.2.28</t>
  </si>
  <si>
    <t>2021.3.1-2022.2.28</t>
  </si>
  <si>
    <r>
      <rPr>
        <sz val="10"/>
        <rFont val="宋体"/>
        <family val="3"/>
        <charset val="134"/>
      </rPr>
      <t>凤凰汇</t>
    </r>
    <r>
      <rPr>
        <sz val="10"/>
        <rFont val="Arial"/>
        <family val="2"/>
      </rPr>
      <t>L216</t>
    </r>
  </si>
  <si>
    <t>2024.10.9-2025.10.8</t>
  </si>
  <si>
    <t>北京京韩嘉信商贸有限公司</t>
  </si>
  <si>
    <t>2024.4.9-2024.10.8</t>
  </si>
  <si>
    <r>
      <rPr>
        <sz val="10"/>
        <rFont val="宋体"/>
        <family val="3"/>
        <charset val="134"/>
      </rPr>
      <t>交付日起算（</t>
    </r>
    <r>
      <rPr>
        <sz val="10"/>
        <rFont val="Arial"/>
        <family val="2"/>
      </rPr>
      <t>2011.12.21</t>
    </r>
    <r>
      <rPr>
        <sz val="10"/>
        <rFont val="宋体"/>
        <family val="3"/>
        <charset val="134"/>
      </rPr>
      <t>因开业率未达</t>
    </r>
    <r>
      <rPr>
        <sz val="10"/>
        <rFont val="Arial"/>
        <family val="2"/>
      </rPr>
      <t>80%2011.12.21-2012.2.20</t>
    </r>
    <r>
      <rPr>
        <sz val="10"/>
        <rFont val="宋体"/>
        <family val="3"/>
        <charset val="134"/>
      </rPr>
      <t>不收推广费，推广费收取日为</t>
    </r>
    <r>
      <rPr>
        <sz val="10"/>
        <rFont val="Arial"/>
        <family val="2"/>
      </rPr>
      <t>2012.2.21</t>
    </r>
    <r>
      <rPr>
        <sz val="10"/>
        <rFont val="宋体"/>
        <family val="3"/>
        <charset val="134"/>
      </rPr>
      <t>）</t>
    </r>
  </si>
  <si>
    <t>2023.4.9-2024.4.8</t>
  </si>
  <si>
    <r>
      <rPr>
        <sz val="10"/>
        <rFont val="宋体"/>
        <family val="3"/>
        <charset val="134"/>
      </rPr>
      <t>每月营业小于等于</t>
    </r>
    <r>
      <rPr>
        <sz val="10"/>
        <rFont val="Arial"/>
        <family val="2"/>
      </rPr>
      <t>10</t>
    </r>
    <r>
      <rPr>
        <sz val="10"/>
        <rFont val="宋体"/>
        <family val="3"/>
        <charset val="134"/>
      </rPr>
      <t>万元，</t>
    </r>
    <r>
      <rPr>
        <sz val="10"/>
        <rFont val="Arial"/>
        <family val="2"/>
      </rPr>
      <t>230</t>
    </r>
    <r>
      <rPr>
        <sz val="10"/>
        <rFont val="宋体"/>
        <family val="3"/>
        <charset val="134"/>
      </rPr>
      <t>元</t>
    </r>
    <r>
      <rPr>
        <sz val="10"/>
        <rFont val="Arial"/>
        <family val="2"/>
      </rPr>
      <t>/</t>
    </r>
    <r>
      <rPr>
        <sz val="10"/>
        <rFont val="宋体"/>
        <family val="3"/>
        <charset val="134"/>
      </rPr>
      <t>平方米每月；每月营业额大于</t>
    </r>
    <r>
      <rPr>
        <sz val="10"/>
        <rFont val="Arial"/>
        <family val="2"/>
      </rPr>
      <t>10</t>
    </r>
    <r>
      <rPr>
        <sz val="10"/>
        <rFont val="宋体"/>
        <family val="3"/>
        <charset val="134"/>
      </rPr>
      <t>万元，</t>
    </r>
    <r>
      <rPr>
        <sz val="10"/>
        <rFont val="Arial"/>
        <family val="2"/>
      </rPr>
      <t>330</t>
    </r>
    <r>
      <rPr>
        <sz val="10"/>
        <rFont val="宋体"/>
        <family val="3"/>
        <charset val="134"/>
      </rPr>
      <t>元</t>
    </r>
    <r>
      <rPr>
        <sz val="10"/>
        <rFont val="Arial"/>
        <family val="2"/>
      </rPr>
      <t>/</t>
    </r>
    <r>
      <rPr>
        <sz val="10"/>
        <rFont val="宋体"/>
        <family val="3"/>
        <charset val="134"/>
      </rPr>
      <t>平方米每月；销售额大于</t>
    </r>
    <r>
      <rPr>
        <sz val="10"/>
        <rFont val="Arial"/>
        <family val="2"/>
      </rPr>
      <t>17</t>
    </r>
    <r>
      <rPr>
        <sz val="10"/>
        <rFont val="宋体"/>
        <family val="3"/>
        <charset val="134"/>
      </rPr>
      <t>万元，</t>
    </r>
    <r>
      <rPr>
        <sz val="10"/>
        <rFont val="Arial"/>
        <family val="2"/>
      </rPr>
      <t>430</t>
    </r>
    <r>
      <rPr>
        <sz val="10"/>
        <rFont val="宋体"/>
        <family val="3"/>
        <charset val="134"/>
      </rPr>
      <t>元</t>
    </r>
    <r>
      <rPr>
        <sz val="10"/>
        <rFont val="Arial"/>
        <family val="2"/>
      </rPr>
      <t>/</t>
    </r>
    <r>
      <rPr>
        <sz val="10"/>
        <rFont val="宋体"/>
        <family val="3"/>
        <charset val="134"/>
      </rPr>
      <t>平方米每月</t>
    </r>
  </si>
  <si>
    <t>2022.4.9-2023.4.8</t>
  </si>
  <si>
    <t>2021.4.9-2022.4.8</t>
  </si>
  <si>
    <t>2021.4.9</t>
  </si>
  <si>
    <t>2023.4.8</t>
  </si>
  <si>
    <r>
      <rPr>
        <sz val="10"/>
        <rFont val="宋体"/>
        <family val="3"/>
        <charset val="134"/>
      </rPr>
      <t>交付日</t>
    </r>
    <r>
      <rPr>
        <sz val="10"/>
        <rFont val="Arial"/>
        <family val="2"/>
      </rPr>
      <t>2021.3.10</t>
    </r>
  </si>
  <si>
    <r>
      <rPr>
        <sz val="10"/>
        <rFont val="宋体"/>
        <family val="3"/>
        <charset val="134"/>
      </rPr>
      <t>凤凰汇</t>
    </r>
    <r>
      <rPr>
        <sz val="10"/>
        <rFont val="Arial"/>
        <family val="2"/>
      </rPr>
      <t>L215</t>
    </r>
  </si>
  <si>
    <t>2024.12.5-2025.12.4</t>
  </si>
  <si>
    <t>2024.2.29-2027.3.29</t>
  </si>
  <si>
    <t>北京之间电子商务有限公司</t>
  </si>
  <si>
    <t>2023.12.5-2024.12.4</t>
  </si>
  <si>
    <t>2022.12.5-2023.12.4</t>
  </si>
  <si>
    <t>2021.12.5-2022.12.4</t>
  </si>
  <si>
    <t>2020.12.5-2021.12.4</t>
  </si>
  <si>
    <t>2019.12.5-2020.12.4</t>
  </si>
  <si>
    <t>2019.2.25-2019.12.4</t>
  </si>
  <si>
    <t>2018.12.25-2019.2.24</t>
  </si>
  <si>
    <r>
      <rPr>
        <sz val="10"/>
        <rFont val="宋体"/>
        <family val="3"/>
        <charset val="134"/>
      </rPr>
      <t>交付日</t>
    </r>
    <r>
      <rPr>
        <sz val="10"/>
        <rFont val="Arial"/>
        <family val="2"/>
      </rPr>
      <t>2018/12/6</t>
    </r>
  </si>
  <si>
    <r>
      <rPr>
        <sz val="10"/>
        <rFont val="宋体"/>
        <family val="3"/>
        <charset val="134"/>
      </rPr>
      <t>凤凰汇</t>
    </r>
    <r>
      <rPr>
        <sz val="10"/>
        <rFont val="Arial"/>
        <family val="2"/>
      </rPr>
      <t>L214</t>
    </r>
  </si>
  <si>
    <t>迅销（中国）商贸有限公司北京三元桥店</t>
  </si>
  <si>
    <t>纯抽</t>
  </si>
  <si>
    <t>2022.8.16-2025.8.15</t>
  </si>
  <si>
    <r>
      <rPr>
        <sz val="10"/>
        <rFont val="宋体"/>
        <family val="3"/>
        <charset val="134"/>
      </rPr>
      <t>纯抽</t>
    </r>
    <r>
      <rPr>
        <sz val="10"/>
        <rFont val="Arial"/>
        <family val="2"/>
      </rPr>
      <t>6%</t>
    </r>
  </si>
  <si>
    <t>2018.4.10-2022.8.15 2019.8.15</t>
  </si>
  <si>
    <t>2015.4.10-2018.4.9</t>
  </si>
  <si>
    <t>2014.8.16-2015.4.9</t>
  </si>
  <si>
    <t>（2011-12-21）2012-4-23</t>
  </si>
  <si>
    <r>
      <rPr>
        <sz val="10"/>
        <rFont val="宋体"/>
        <family val="3"/>
        <charset val="134"/>
      </rPr>
      <t>（</t>
    </r>
    <r>
      <rPr>
        <sz val="10"/>
        <rFont val="Arial"/>
        <family val="2"/>
      </rPr>
      <t>2011.12.21</t>
    </r>
    <r>
      <rPr>
        <sz val="10"/>
        <rFont val="宋体"/>
        <family val="3"/>
        <charset val="134"/>
      </rPr>
      <t>）</t>
    </r>
    <r>
      <rPr>
        <sz val="10"/>
        <rFont val="Arial"/>
        <family val="2"/>
      </rPr>
      <t>2012.4.23-2014.8.15</t>
    </r>
  </si>
  <si>
    <r>
      <rPr>
        <sz val="10"/>
        <rFont val="Arial"/>
        <family val="2"/>
      </rPr>
      <t>2011/8/16</t>
    </r>
    <r>
      <rPr>
        <sz val="10"/>
        <rFont val="宋体"/>
        <family val="3"/>
        <charset val="134"/>
      </rPr>
      <t>前</t>
    </r>
    <r>
      <rPr>
        <sz val="10"/>
        <rFont val="Arial"/>
        <family val="2"/>
      </rPr>
      <t>-</t>
    </r>
    <r>
      <rPr>
        <sz val="10"/>
        <rFont val="宋体"/>
        <family val="3"/>
        <charset val="134"/>
      </rPr>
      <t>（装修期</t>
    </r>
    <r>
      <rPr>
        <sz val="10"/>
        <rFont val="Arial"/>
        <family val="2"/>
      </rPr>
      <t>2011-9-1-12-20</t>
    </r>
    <r>
      <rPr>
        <sz val="10"/>
        <rFont val="宋体"/>
        <family val="3"/>
        <charset val="134"/>
      </rPr>
      <t>）</t>
    </r>
    <r>
      <rPr>
        <sz val="10"/>
        <rFont val="Arial"/>
        <family val="2"/>
      </rPr>
      <t>114</t>
    </r>
    <r>
      <rPr>
        <sz val="10"/>
        <rFont val="宋体"/>
        <family val="3"/>
        <charset val="134"/>
      </rPr>
      <t>天次日或开业日（合同约定</t>
    </r>
    <r>
      <rPr>
        <sz val="10"/>
        <rFont val="Arial"/>
        <family val="2"/>
      </rPr>
      <t>2011-12-21-2012-2-20</t>
    </r>
    <r>
      <rPr>
        <sz val="10"/>
        <rFont val="宋体"/>
        <family val="3"/>
        <charset val="134"/>
      </rPr>
      <t>停业不收取任何费用，另补尝</t>
    </r>
    <r>
      <rPr>
        <sz val="10"/>
        <rFont val="Arial"/>
        <family val="2"/>
      </rPr>
      <t>2012-2-21-4-22</t>
    </r>
    <r>
      <rPr>
        <sz val="10"/>
        <rFont val="宋体"/>
        <family val="3"/>
        <charset val="134"/>
      </rPr>
      <t>期间租金，合同另约定开业率未达</t>
    </r>
    <r>
      <rPr>
        <sz val="10"/>
        <rFont val="Arial"/>
        <family val="2"/>
      </rPr>
      <t>80%</t>
    </r>
    <r>
      <rPr>
        <sz val="10"/>
        <rFont val="宋体"/>
        <family val="3"/>
        <charset val="134"/>
      </rPr>
      <t>不收租金</t>
    </r>
    <r>
      <rPr>
        <sz val="10"/>
        <rFont val="Arial"/>
        <family val="2"/>
      </rPr>
      <t>2012-3-23</t>
    </r>
    <r>
      <rPr>
        <sz val="10"/>
        <rFont val="宋体"/>
        <family val="3"/>
        <charset val="134"/>
      </rPr>
      <t>开业率达到</t>
    </r>
    <r>
      <rPr>
        <sz val="10"/>
        <rFont val="Arial"/>
        <family val="2"/>
      </rPr>
      <t>80%</t>
    </r>
    <r>
      <rPr>
        <sz val="10"/>
        <rFont val="宋体"/>
        <family val="3"/>
        <charset val="134"/>
      </rPr>
      <t>）</t>
    </r>
  </si>
  <si>
    <r>
      <rPr>
        <sz val="10"/>
        <rFont val="宋体"/>
        <family val="3"/>
        <charset val="134"/>
      </rPr>
      <t>交付日</t>
    </r>
    <r>
      <rPr>
        <sz val="10"/>
        <rFont val="Arial"/>
        <family val="2"/>
      </rPr>
      <t>2011/9/1</t>
    </r>
    <r>
      <rPr>
        <sz val="10"/>
        <rFont val="宋体"/>
        <family val="3"/>
        <charset val="134"/>
      </rPr>
      <t>前</t>
    </r>
  </si>
  <si>
    <r>
      <rPr>
        <sz val="10"/>
        <rFont val="宋体"/>
        <family val="3"/>
        <charset val="134"/>
      </rPr>
      <t>凤凰汇</t>
    </r>
    <r>
      <rPr>
        <sz val="10"/>
        <rFont val="Arial"/>
        <family val="2"/>
      </rPr>
      <t xml:space="preserve">     L213</t>
    </r>
  </si>
  <si>
    <t>2026.3.30-2027.3.29</t>
  </si>
  <si>
    <t>2025.3.30-2026.3.29</t>
  </si>
  <si>
    <t>北京经典罗莱家居有限责任公司</t>
  </si>
  <si>
    <t>2024.4.30-2025.3.29</t>
  </si>
  <si>
    <t>2024.3.30-2024.4.29</t>
  </si>
  <si>
    <t>凤凰汇L212</t>
  </si>
  <si>
    <t>2024.8.31-2025.7.30</t>
  </si>
  <si>
    <t>北京育荟商贸有限公司</t>
  </si>
  <si>
    <t>2023.8.31-2024.8.30</t>
  </si>
  <si>
    <t>2023.7.1-2023.8.30</t>
  </si>
  <si>
    <r>
      <rPr>
        <sz val="10"/>
        <rFont val="宋体"/>
        <family val="3"/>
        <charset val="134"/>
      </rPr>
      <t>凤凰汇</t>
    </r>
    <r>
      <rPr>
        <sz val="10"/>
        <rFont val="Arial"/>
        <family val="2"/>
      </rPr>
      <t>L211</t>
    </r>
  </si>
  <si>
    <t>2025.4.22-2026.4.21</t>
  </si>
  <si>
    <t>松山棉店（北京）纺织科技有限公司</t>
  </si>
  <si>
    <t>2024.4.22-2025.4.21</t>
  </si>
  <si>
    <t>2023.4.22-2024.4.21</t>
  </si>
  <si>
    <t>2022.5.22-2023.4.21</t>
  </si>
  <si>
    <t>2022.3.23-2022.5.21</t>
  </si>
  <si>
    <r>
      <rPr>
        <sz val="10"/>
        <rFont val="宋体"/>
        <family val="3"/>
        <charset val="134"/>
      </rPr>
      <t>凤凰汇</t>
    </r>
    <r>
      <rPr>
        <sz val="10"/>
        <rFont val="Arial"/>
        <family val="2"/>
      </rPr>
      <t xml:space="preserve">     L210</t>
    </r>
  </si>
  <si>
    <t>2024.8.25-2025.2.28</t>
  </si>
  <si>
    <t>北京泽南服饰有限公司</t>
  </si>
  <si>
    <t>2023.8.25-2024.8.24</t>
  </si>
  <si>
    <t>2022.8.25-2023.8.24</t>
  </si>
  <si>
    <t>2021.8.25-2022.8.24</t>
  </si>
  <si>
    <t>北京佳璇文化发展有限公司</t>
  </si>
  <si>
    <t>2021.9.30-2022.8.29</t>
  </si>
  <si>
    <t>2021.7.26-2021.9.29</t>
  </si>
  <si>
    <r>
      <rPr>
        <sz val="10"/>
        <rFont val="宋体"/>
        <family val="3"/>
        <charset val="134"/>
      </rPr>
      <t>凤凰汇</t>
    </r>
    <r>
      <rPr>
        <sz val="10"/>
        <rFont val="Arial"/>
        <family val="2"/>
      </rPr>
      <t xml:space="preserve">     L208</t>
    </r>
  </si>
  <si>
    <r>
      <rPr>
        <sz val="10"/>
        <rFont val="宋体"/>
        <family val="3"/>
        <charset val="134"/>
      </rPr>
      <t>第一至十年营业额抽成</t>
    </r>
  </si>
  <si>
    <t>120</t>
  </si>
  <si>
    <t>2018-12-28</t>
  </si>
  <si>
    <r>
      <rPr>
        <sz val="10"/>
        <rFont val="宋体"/>
        <family val="3"/>
        <charset val="134"/>
      </rPr>
      <t>第一至十年营业额抽成</t>
    </r>
    <r>
      <rPr>
        <sz val="10"/>
        <rFont val="Arial"/>
        <family val="2"/>
      </rPr>
      <t xml:space="preserve"> 2018.6.29-2028.12.27</t>
    </r>
  </si>
  <si>
    <r>
      <rPr>
        <sz val="10"/>
        <rFont val="Arial"/>
        <family val="2"/>
      </rPr>
      <t>2018-3-31</t>
    </r>
    <r>
      <rPr>
        <sz val="10"/>
        <rFont val="宋体"/>
        <family val="3"/>
        <charset val="134"/>
      </rPr>
      <t>前</t>
    </r>
  </si>
  <si>
    <r>
      <rPr>
        <sz val="10"/>
        <rFont val="宋体"/>
        <family val="3"/>
        <charset val="134"/>
      </rPr>
      <t>凤凰汇</t>
    </r>
    <r>
      <rPr>
        <sz val="10"/>
        <rFont val="Arial"/>
        <family val="2"/>
      </rPr>
      <t xml:space="preserve">     L207B-1</t>
    </r>
    <r>
      <rPr>
        <sz val="10"/>
        <rFont val="宋体"/>
        <family val="3"/>
        <charset val="134"/>
      </rPr>
      <t>、</t>
    </r>
    <r>
      <rPr>
        <sz val="10"/>
        <rFont val="Arial"/>
        <family val="2"/>
      </rPr>
      <t>L207B-3</t>
    </r>
  </si>
  <si>
    <r>
      <rPr>
        <sz val="10"/>
        <rFont val="Arial"/>
        <family val="2"/>
      </rPr>
      <t xml:space="preserve">2018.6.29-2028.12.27    </t>
    </r>
    <r>
      <rPr>
        <strike/>
        <sz val="10"/>
        <rFont val="宋体"/>
        <family val="3"/>
        <charset val="134"/>
      </rPr>
      <t>第一至十年营业额抽成</t>
    </r>
  </si>
  <si>
    <r>
      <rPr>
        <sz val="10"/>
        <rFont val="宋体"/>
        <family val="3"/>
        <charset val="134"/>
      </rPr>
      <t>凤凰汇</t>
    </r>
    <r>
      <rPr>
        <sz val="10"/>
        <rFont val="Arial"/>
        <family val="2"/>
      </rPr>
      <t xml:space="preserve">     L207A</t>
    </r>
  </si>
  <si>
    <t>2029.7.30-2030.7.29</t>
  </si>
  <si>
    <t>2028.7.30-2029.7.29</t>
  </si>
  <si>
    <t>2025.5.31-2025.8.29</t>
  </si>
  <si>
    <t>L103000103</t>
  </si>
  <si>
    <t>2024.9.13-2025.9.12</t>
  </si>
  <si>
    <t>北京市可哲凡服饰有限公司</t>
  </si>
  <si>
    <t>2023.10.13-2024.9.12</t>
  </si>
  <si>
    <t>2023.12.21-2024.1.3</t>
  </si>
  <si>
    <t>期间零售额的15.5%</t>
  </si>
  <si>
    <t>2023.7.30-2023.10.12</t>
  </si>
  <si>
    <r>
      <rPr>
        <sz val="10"/>
        <rFont val="宋体"/>
        <family val="3"/>
        <charset val="134"/>
      </rPr>
      <t>凤凰汇</t>
    </r>
    <r>
      <rPr>
        <sz val="10"/>
        <rFont val="Arial"/>
        <family val="2"/>
      </rPr>
      <t>L204</t>
    </r>
    <r>
      <rPr>
        <sz val="10"/>
        <rFont val="宋体"/>
        <family val="3"/>
        <charset val="134"/>
      </rPr>
      <t>、</t>
    </r>
    <r>
      <rPr>
        <sz val="10"/>
        <rFont val="Arial"/>
        <family val="2"/>
      </rPr>
      <t>L205</t>
    </r>
  </si>
  <si>
    <t>2025.9.18-2026.8.17</t>
  </si>
  <si>
    <t>2024.9.18-2025.9.17</t>
  </si>
  <si>
    <t>海南艾利维森健身文化有限公司北京分公司</t>
  </si>
  <si>
    <t>2023.9.18-2024.9.17</t>
  </si>
  <si>
    <t>2023.6.19-2023.9.17</t>
  </si>
  <si>
    <r>
      <rPr>
        <sz val="10"/>
        <rFont val="宋体"/>
        <family val="3"/>
        <charset val="134"/>
      </rPr>
      <t>凤凰汇</t>
    </r>
    <r>
      <rPr>
        <sz val="10"/>
        <rFont val="Arial"/>
        <family val="2"/>
      </rPr>
      <t>L203</t>
    </r>
  </si>
  <si>
    <t>2025.3.1-2026.8.31</t>
  </si>
  <si>
    <t>2026//8/31</t>
  </si>
  <si>
    <t>2023.7.1-2025.2.28</t>
  </si>
  <si>
    <t>北京祥汇餐饮服务有限公司</t>
  </si>
  <si>
    <t>2023.7.1-2024.6.30</t>
  </si>
  <si>
    <t>2022.7.1-2023.6.30</t>
  </si>
  <si>
    <t>2020.7.1-2021.6.30</t>
  </si>
  <si>
    <t>2018.11.14-2019.6.30</t>
  </si>
  <si>
    <t>2018.9.15-2018.11.13</t>
  </si>
  <si>
    <r>
      <rPr>
        <sz val="10"/>
        <rFont val="宋体"/>
        <family val="3"/>
        <charset val="134"/>
      </rPr>
      <t>凤凰汇</t>
    </r>
    <r>
      <rPr>
        <sz val="10"/>
        <rFont val="Arial"/>
        <family val="2"/>
      </rPr>
      <t xml:space="preserve">  L324</t>
    </r>
  </si>
  <si>
    <t>2025.3.1-2025.6.21</t>
  </si>
  <si>
    <t>2024.9.1-2025.2.28</t>
  </si>
  <si>
    <r>
      <rPr>
        <sz val="10"/>
        <rFont val="宋体"/>
        <family val="3"/>
        <charset val="134"/>
      </rPr>
      <t>小大董（北京）餐饮管理有限公司三元桥店</t>
    </r>
  </si>
  <si>
    <t>2022.9.1-2023.8.31</t>
  </si>
  <si>
    <t>2021.9.1-2022.8.31</t>
  </si>
  <si>
    <t>2019.9.1-2021.8.31</t>
  </si>
  <si>
    <t>2017.12.31-2019.8.31</t>
  </si>
  <si>
    <r>
      <rPr>
        <sz val="10"/>
        <rFont val="宋体"/>
        <family val="3"/>
        <charset val="134"/>
      </rPr>
      <t>交付日</t>
    </r>
    <r>
      <rPr>
        <sz val="10"/>
        <rFont val="Arial"/>
        <family val="2"/>
      </rPr>
      <t>2017-9-1</t>
    </r>
    <r>
      <rPr>
        <sz val="10"/>
        <rFont val="宋体"/>
        <family val="3"/>
        <charset val="134"/>
      </rPr>
      <t>前</t>
    </r>
  </si>
  <si>
    <r>
      <rPr>
        <sz val="10"/>
        <rFont val="宋体"/>
        <family val="3"/>
        <charset val="134"/>
      </rPr>
      <t>凤凰汇</t>
    </r>
    <r>
      <rPr>
        <sz val="10"/>
        <rFont val="Arial"/>
        <family val="2"/>
      </rPr>
      <t xml:space="preserve">  L319</t>
    </r>
    <r>
      <rPr>
        <sz val="10"/>
        <rFont val="宋体"/>
        <family val="3"/>
        <charset val="134"/>
      </rPr>
      <t>、</t>
    </r>
    <r>
      <rPr>
        <sz val="10"/>
        <rFont val="Arial"/>
        <family val="2"/>
      </rPr>
      <t>L320</t>
    </r>
    <r>
      <rPr>
        <sz val="10"/>
        <rFont val="宋体"/>
        <family val="3"/>
        <charset val="134"/>
      </rPr>
      <t>、</t>
    </r>
    <r>
      <rPr>
        <sz val="10"/>
        <rFont val="Arial"/>
        <family val="2"/>
      </rPr>
      <t>L321</t>
    </r>
  </si>
  <si>
    <t>2027.5.14-2028.5.13</t>
  </si>
  <si>
    <t>2026.5.14-2027.5.13</t>
  </si>
  <si>
    <t>2025.6.14-2026.5.13</t>
  </si>
  <si>
    <t>2025.3.25-2025.6.13</t>
  </si>
  <si>
    <t>L0317N01</t>
  </si>
  <si>
    <t>2027.1.7-2027.11.30</t>
  </si>
  <si>
    <t>2026.1.7-2027.1.6</t>
  </si>
  <si>
    <t>2025.2.7-2026.1.6</t>
  </si>
  <si>
    <t>2024.11.18-2025.2.6</t>
  </si>
  <si>
    <t>凤凰汇L316</t>
  </si>
  <si>
    <r>
      <rPr>
        <sz val="10"/>
        <rFont val="宋体"/>
        <family val="3"/>
        <charset val="134"/>
      </rPr>
      <t>如果</t>
    </r>
    <r>
      <rPr>
        <sz val="10"/>
        <rFont val="Arial"/>
        <family val="2"/>
      </rPr>
      <t>2029</t>
    </r>
    <r>
      <rPr>
        <sz val="10"/>
        <rFont val="宋体"/>
        <family val="3"/>
        <charset val="134"/>
      </rPr>
      <t>年月均零售额达到</t>
    </r>
    <r>
      <rPr>
        <sz val="10"/>
        <rFont val="Arial"/>
        <family val="2"/>
      </rPr>
      <t>100</t>
    </r>
    <r>
      <rPr>
        <sz val="10"/>
        <rFont val="宋体"/>
        <family val="3"/>
        <charset val="134"/>
      </rPr>
      <t>万，自动续约至第八年：</t>
    </r>
    <r>
      <rPr>
        <sz val="10"/>
        <rFont val="Arial"/>
        <family val="2"/>
      </rPr>
      <t>2030.5.1-2031.4.30 300</t>
    </r>
    <r>
      <rPr>
        <sz val="10"/>
        <rFont val="宋体"/>
        <family val="3"/>
        <charset val="134"/>
      </rPr>
      <t>元</t>
    </r>
    <r>
      <rPr>
        <sz val="10"/>
        <rFont val="Arial"/>
        <family val="2"/>
      </rPr>
      <t>/</t>
    </r>
    <r>
      <rPr>
        <sz val="10"/>
        <rFont val="宋体"/>
        <family val="3"/>
        <charset val="134"/>
      </rPr>
      <t>平</t>
    </r>
    <r>
      <rPr>
        <sz val="10"/>
        <rFont val="Arial"/>
        <family val="2"/>
      </rPr>
      <t>/</t>
    </r>
    <r>
      <rPr>
        <sz val="10"/>
        <rFont val="宋体"/>
        <family val="3"/>
        <charset val="134"/>
      </rPr>
      <t>月；</t>
    </r>
    <r>
      <rPr>
        <sz val="10"/>
        <rFont val="Arial"/>
        <family val="2"/>
      </rPr>
      <t>2031.5.1-2032.4.30 310</t>
    </r>
    <r>
      <rPr>
        <sz val="10"/>
        <rFont val="宋体"/>
        <family val="3"/>
        <charset val="134"/>
      </rPr>
      <t>元</t>
    </r>
    <r>
      <rPr>
        <sz val="10"/>
        <rFont val="Arial"/>
        <family val="2"/>
      </rPr>
      <t>/</t>
    </r>
    <r>
      <rPr>
        <sz val="10"/>
        <rFont val="宋体"/>
        <family val="3"/>
        <charset val="134"/>
      </rPr>
      <t>平</t>
    </r>
    <r>
      <rPr>
        <sz val="10"/>
        <rFont val="Arial"/>
        <family val="2"/>
      </rPr>
      <t>/</t>
    </r>
    <r>
      <rPr>
        <sz val="10"/>
        <rFont val="宋体"/>
        <family val="3"/>
        <charset val="134"/>
      </rPr>
      <t>月；</t>
    </r>
  </si>
  <si>
    <r>
      <rPr>
        <sz val="10"/>
        <rFont val="Arial"/>
        <family val="2"/>
      </rPr>
      <t xml:space="preserve">2029.6.22-2030.6.21
</t>
    </r>
    <r>
      <rPr>
        <strike/>
        <sz val="10"/>
        <rFont val="Arial"/>
        <family val="2"/>
      </rPr>
      <t>2029.5.1-2030.4.30</t>
    </r>
  </si>
  <si>
    <r>
      <rPr>
        <sz val="10"/>
        <rFont val="Arial"/>
        <family val="2"/>
      </rPr>
      <t xml:space="preserve">2027.6.22-2029.6.21
</t>
    </r>
    <r>
      <rPr>
        <strike/>
        <sz val="10"/>
        <rFont val="Arial"/>
        <family val="2"/>
      </rPr>
      <t>2027.5.1-2029.4.30</t>
    </r>
  </si>
  <si>
    <r>
      <rPr>
        <sz val="10"/>
        <rFont val="Arial"/>
        <family val="2"/>
      </rPr>
      <t xml:space="preserve">2025.7.22-2027.6.21
</t>
    </r>
    <r>
      <rPr>
        <strike/>
        <sz val="10"/>
        <rFont val="Arial"/>
        <family val="2"/>
      </rPr>
      <t>2025.6.1-2027.4.30</t>
    </r>
  </si>
  <si>
    <r>
      <rPr>
        <sz val="10"/>
        <rFont val="Arial"/>
        <family val="2"/>
      </rPr>
      <t xml:space="preserve">2025.2.22-2025.7.21
</t>
    </r>
    <r>
      <rPr>
        <strike/>
        <sz val="10"/>
        <rFont val="Arial"/>
        <family val="2"/>
      </rPr>
      <t>2025.1.15-2025.5.31</t>
    </r>
  </si>
  <si>
    <r>
      <rPr>
        <sz val="10"/>
        <rFont val="宋体"/>
        <family val="3"/>
        <charset val="134"/>
      </rPr>
      <t xml:space="preserve">2025/2/22
</t>
    </r>
    <r>
      <rPr>
        <strike/>
        <sz val="10"/>
        <rFont val="宋体"/>
        <family val="3"/>
        <charset val="134"/>
      </rPr>
      <t>2025/1/15</t>
    </r>
  </si>
  <si>
    <r>
      <rPr>
        <sz val="10"/>
        <rFont val="宋体"/>
        <family val="3"/>
        <charset val="134"/>
      </rPr>
      <t xml:space="preserve">2030/6/21
</t>
    </r>
    <r>
      <rPr>
        <strike/>
        <sz val="10"/>
        <rFont val="宋体"/>
        <family val="3"/>
        <charset val="134"/>
      </rPr>
      <t>2030/4/30</t>
    </r>
  </si>
  <si>
    <t>L0314N01</t>
  </si>
  <si>
    <t>2025.5.8-2027.4.9</t>
  </si>
  <si>
    <t>装修免租期</t>
  </si>
  <si>
    <t>2025.5.9-2025.6.7</t>
  </si>
  <si>
    <t>2025.4.10-2025.5.8</t>
  </si>
  <si>
    <t>正禾春餐饮管理（北京）有限公司</t>
  </si>
  <si>
    <t>2024.4.10-2025.4.9</t>
  </si>
  <si>
    <t>2023.4.10-2024.4.9</t>
  </si>
  <si>
    <t>2022.4.10-2023.4.9</t>
  </si>
  <si>
    <t>2021.4.10-2022.4.9</t>
  </si>
  <si>
    <t>2020.4.10-2021.4.9</t>
  </si>
  <si>
    <t>2019.4.30-2020.4.9</t>
  </si>
  <si>
    <r>
      <rPr>
        <sz val="10"/>
        <rFont val="宋体"/>
        <family val="3"/>
        <charset val="134"/>
      </rPr>
      <t>交付日</t>
    </r>
    <r>
      <rPr>
        <sz val="10"/>
        <rFont val="Arial"/>
        <family val="2"/>
      </rPr>
      <t>2019-4-10</t>
    </r>
  </si>
  <si>
    <t>L313</t>
  </si>
  <si>
    <t>2025.6.24-2026.6.23</t>
  </si>
  <si>
    <t>北京凤凰汇鳗道餐饮管理有限公司</t>
  </si>
  <si>
    <t>2024.6.24-2025.6.23</t>
  </si>
  <si>
    <t>2023.7.24-2024.6.23</t>
  </si>
  <si>
    <t>2023.5.5-2023.7.23</t>
  </si>
  <si>
    <r>
      <rPr>
        <sz val="10"/>
        <rFont val="Arial"/>
        <family val="2"/>
      </rPr>
      <t>L309</t>
    </r>
    <r>
      <rPr>
        <sz val="10"/>
        <rFont val="宋体"/>
        <family val="3"/>
        <charset val="134"/>
      </rPr>
      <t>、</t>
    </r>
    <r>
      <rPr>
        <sz val="10"/>
        <rFont val="Arial"/>
        <family val="2"/>
      </rPr>
      <t>L310</t>
    </r>
  </si>
  <si>
    <t>2027.9.5-2028.9.4</t>
  </si>
  <si>
    <t>2026.9.5-2027.9.4</t>
  </si>
  <si>
    <t>2025.9.5-2026.9.4</t>
  </si>
  <si>
    <t>2024.9.5-2025.9.4</t>
  </si>
  <si>
    <t>胜博殿餐饮管理（北京）有限公司</t>
  </si>
  <si>
    <t>2023.10.21-2024.9.4</t>
  </si>
  <si>
    <t>2023.9.5-2023.10.20</t>
  </si>
  <si>
    <t>.</t>
  </si>
  <si>
    <t>2022.9.5-2023.9.4</t>
  </si>
  <si>
    <t>2021.9.5-2022.9.4</t>
  </si>
  <si>
    <t>2020.9.5-2021.9.4</t>
  </si>
  <si>
    <t>2018.9.5-2020.9.4</t>
  </si>
  <si>
    <t>2016.11.5-2018.9.4</t>
  </si>
  <si>
    <r>
      <rPr>
        <sz val="10"/>
        <rFont val="宋体"/>
        <family val="3"/>
        <charset val="134"/>
      </rPr>
      <t>交付日</t>
    </r>
    <r>
      <rPr>
        <sz val="10"/>
        <rFont val="Arial"/>
        <family val="2"/>
      </rPr>
      <t>2016/9/5</t>
    </r>
  </si>
  <si>
    <r>
      <rPr>
        <sz val="10"/>
        <rFont val="宋体"/>
        <family val="3"/>
        <charset val="134"/>
      </rPr>
      <t>凤凰汇</t>
    </r>
    <r>
      <rPr>
        <sz val="10"/>
        <rFont val="Arial"/>
        <family val="2"/>
      </rPr>
      <t xml:space="preserve">  L307</t>
    </r>
    <r>
      <rPr>
        <sz val="10"/>
        <rFont val="宋体"/>
        <family val="3"/>
        <charset val="134"/>
      </rPr>
      <t>、</t>
    </r>
    <r>
      <rPr>
        <sz val="10"/>
        <rFont val="Arial"/>
        <family val="2"/>
      </rPr>
      <t>L308</t>
    </r>
  </si>
  <si>
    <t>2024.12.10-2025.12.9</t>
  </si>
  <si>
    <t xml:space="preserve">北京麻六记餐饮管理有限公司三元桥分店
</t>
  </si>
  <si>
    <t>2023.12.10-2024.12.9</t>
  </si>
  <si>
    <t>2022.12.10-2023.12.9</t>
  </si>
  <si>
    <t>2022.1.10-2022.12.9</t>
  </si>
  <si>
    <t>2021.9.11-2022.1.9</t>
  </si>
  <si>
    <r>
      <rPr>
        <sz val="10"/>
        <rFont val="宋体"/>
        <family val="3"/>
        <charset val="134"/>
      </rPr>
      <t>凤凰汇</t>
    </r>
    <r>
      <rPr>
        <sz val="10"/>
        <rFont val="Arial"/>
        <family val="2"/>
      </rPr>
      <t xml:space="preserve">  L305</t>
    </r>
    <r>
      <rPr>
        <sz val="10"/>
        <rFont val="宋体"/>
        <family val="3"/>
        <charset val="134"/>
      </rPr>
      <t>、</t>
    </r>
    <r>
      <rPr>
        <sz val="10"/>
        <rFont val="Arial"/>
        <family val="2"/>
      </rPr>
      <t>L306</t>
    </r>
  </si>
  <si>
    <r>
      <rPr>
        <sz val="10"/>
        <rFont val="Arial"/>
        <family val="2"/>
      </rPr>
      <t xml:space="preserve">2025.1.12-2026.1.11
</t>
    </r>
    <r>
      <rPr>
        <strike/>
        <sz val="10"/>
        <rFont val="Arial"/>
        <family val="2"/>
      </rPr>
      <t>2024.11.9-2025.11.8</t>
    </r>
  </si>
  <si>
    <t>北京潮家巷凤凰汇餐饮有限公司</t>
  </si>
  <si>
    <t>2024.4.1-2025.1.11</t>
  </si>
  <si>
    <r>
      <rPr>
        <sz val="10"/>
        <rFont val="Arial"/>
        <family val="2"/>
      </rPr>
      <t xml:space="preserve">2024.1.12-2024.3.31
</t>
    </r>
    <r>
      <rPr>
        <strike/>
        <sz val="10"/>
        <rFont val="Arial"/>
        <family val="2"/>
      </rPr>
      <t>2023.11.9-2024.11.8</t>
    </r>
  </si>
  <si>
    <t>2023.11.10-2024.1.11</t>
  </si>
  <si>
    <r>
      <rPr>
        <sz val="10"/>
        <rFont val="Arial"/>
        <family val="2"/>
      </rPr>
      <t xml:space="preserve">2023.2.12-2023.11.9
</t>
    </r>
    <r>
      <rPr>
        <strike/>
        <sz val="10"/>
        <rFont val="Arial"/>
        <family val="2"/>
      </rPr>
      <t>2024.1.11</t>
    </r>
    <r>
      <rPr>
        <sz val="10"/>
        <rFont val="Arial"/>
        <family val="2"/>
      </rPr>
      <t xml:space="preserve">
</t>
    </r>
    <r>
      <rPr>
        <strike/>
        <sz val="10"/>
        <rFont val="Arial"/>
        <family val="2"/>
      </rPr>
      <t>2022.12.9-2023.11.8</t>
    </r>
  </si>
  <si>
    <r>
      <rPr>
        <sz val="10"/>
        <rFont val="Arial"/>
        <family val="2"/>
      </rPr>
      <t xml:space="preserve">2022.10.22-2023.2.11
</t>
    </r>
    <r>
      <rPr>
        <strike/>
        <sz val="10"/>
        <rFont val="Arial"/>
        <family val="2"/>
      </rPr>
      <t>2022.9.25-2022.12.8</t>
    </r>
  </si>
  <si>
    <r>
      <rPr>
        <sz val="10"/>
        <rFont val="Arial"/>
        <family val="2"/>
      </rPr>
      <t xml:space="preserve">2023-1-12
</t>
    </r>
    <r>
      <rPr>
        <strike/>
        <sz val="10"/>
        <rFont val="Arial"/>
        <family val="2"/>
      </rPr>
      <t>2022-11-9</t>
    </r>
  </si>
  <si>
    <r>
      <rPr>
        <sz val="10"/>
        <rFont val="Arial"/>
        <family val="2"/>
      </rPr>
      <t xml:space="preserve">2026-1-11
</t>
    </r>
    <r>
      <rPr>
        <strike/>
        <sz val="10"/>
        <rFont val="Arial"/>
        <family val="2"/>
      </rPr>
      <t>2025-11-8</t>
    </r>
  </si>
  <si>
    <r>
      <rPr>
        <sz val="10"/>
        <rFont val="Arial"/>
        <family val="2"/>
      </rPr>
      <t xml:space="preserve">2022-10-22
</t>
    </r>
    <r>
      <rPr>
        <strike/>
        <sz val="10"/>
        <rFont val="Arial"/>
        <family val="2"/>
      </rPr>
      <t>2022-9-25</t>
    </r>
  </si>
  <si>
    <r>
      <rPr>
        <sz val="10"/>
        <rFont val="宋体"/>
        <family val="3"/>
        <charset val="134"/>
      </rPr>
      <t>凤凰汇</t>
    </r>
    <r>
      <rPr>
        <sz val="10"/>
        <rFont val="Arial"/>
        <family val="2"/>
      </rPr>
      <t>L303</t>
    </r>
    <r>
      <rPr>
        <sz val="10"/>
        <rFont val="宋体"/>
        <family val="3"/>
        <charset val="134"/>
      </rPr>
      <t>、</t>
    </r>
    <r>
      <rPr>
        <sz val="10"/>
        <rFont val="Arial"/>
        <family val="2"/>
      </rPr>
      <t>L304</t>
    </r>
    <r>
      <rPr>
        <sz val="10"/>
        <rFont val="Arial"/>
        <family val="2"/>
      </rPr>
      <t xml:space="preserve">
</t>
    </r>
    <r>
      <rPr>
        <strike/>
        <sz val="10"/>
        <rFont val="宋体"/>
        <family val="3"/>
        <charset val="134"/>
      </rPr>
      <t>凤凰汇L303、L304、L325</t>
    </r>
  </si>
  <si>
    <t>2025.4.16-2025.10.15</t>
  </si>
  <si>
    <r>
      <rPr>
        <sz val="10"/>
        <rFont val="宋体"/>
        <family val="3"/>
        <charset val="134"/>
      </rPr>
      <t>西藏绿茶餐饮管理有限公司北三环东路餐饮店</t>
    </r>
  </si>
  <si>
    <t>2024.4.16-2025.4.15</t>
  </si>
  <si>
    <t>2022.4.16-2024.4.15</t>
  </si>
  <si>
    <r>
      <rPr>
        <sz val="10"/>
        <rFont val="宋体"/>
        <family val="3"/>
        <charset val="134"/>
      </rPr>
      <t>交付日起算</t>
    </r>
    <r>
      <rPr>
        <sz val="10"/>
        <rFont val="Arial"/>
        <family val="2"/>
      </rPr>
      <t>2012.4.15-2020.4.14</t>
    </r>
  </si>
  <si>
    <t>2020.4.16-2022.4.15</t>
  </si>
  <si>
    <t>2019.8.12-2020.4.15</t>
  </si>
  <si>
    <t>2018.4.15-2019.7.22</t>
  </si>
  <si>
    <t>2016.4.15-2018.4.14</t>
  </si>
  <si>
    <t>2014.4.15-2016.4.14</t>
  </si>
  <si>
    <r>
      <rPr>
        <sz val="10"/>
        <rFont val="宋体"/>
        <family val="3"/>
        <charset val="134"/>
      </rPr>
      <t>月扣率租金</t>
    </r>
    <r>
      <rPr>
        <sz val="10"/>
        <rFont val="Arial"/>
        <family val="2"/>
      </rPr>
      <t>=</t>
    </r>
    <r>
      <rPr>
        <sz val="10"/>
        <rFont val="宋体"/>
        <family val="3"/>
        <charset val="134"/>
      </rPr>
      <t>月营业额</t>
    </r>
    <r>
      <rPr>
        <sz val="10"/>
        <rFont val="Arial"/>
        <family val="2"/>
      </rPr>
      <t>*6%-</t>
    </r>
    <r>
      <rPr>
        <sz val="10"/>
        <rFont val="宋体"/>
        <family val="3"/>
        <charset val="134"/>
      </rPr>
      <t>月管理费</t>
    </r>
    <r>
      <rPr>
        <sz val="10"/>
        <rFont val="Arial"/>
        <family val="2"/>
      </rPr>
      <t>-</t>
    </r>
    <r>
      <rPr>
        <sz val="10"/>
        <rFont val="宋体"/>
        <family val="3"/>
        <charset val="134"/>
      </rPr>
      <t>月推广费</t>
    </r>
    <r>
      <rPr>
        <sz val="10"/>
        <rFont val="Arial"/>
        <family val="2"/>
      </rPr>
      <t xml:space="preserve">     (</t>
    </r>
    <r>
      <rPr>
        <sz val="10"/>
        <rFont val="宋体"/>
        <family val="3"/>
        <charset val="134"/>
      </rPr>
      <t>与基本租金比高）</t>
    </r>
  </si>
  <si>
    <t>2012.8.14-2014.4.14</t>
  </si>
  <si>
    <r>
      <rPr>
        <strike/>
        <sz val="10"/>
        <rFont val="Arial"/>
        <family val="2"/>
      </rPr>
      <t>2012/8/14</t>
    </r>
    <r>
      <rPr>
        <strike/>
        <sz val="10"/>
        <rFont val="宋体"/>
        <family val="3"/>
        <charset val="134"/>
      </rPr>
      <t>（</t>
    </r>
    <r>
      <rPr>
        <strike/>
        <sz val="10"/>
        <rFont val="Arial"/>
        <family val="2"/>
      </rPr>
      <t>120</t>
    </r>
    <r>
      <rPr>
        <strike/>
        <sz val="10"/>
        <rFont val="宋体"/>
        <family val="3"/>
        <charset val="134"/>
      </rPr>
      <t>天装修期后</t>
    </r>
    <r>
      <rPr>
        <sz val="10"/>
        <rFont val="宋体"/>
        <family val="3"/>
        <charset val="134"/>
      </rPr>
      <t xml:space="preserve">）
</t>
    </r>
    <r>
      <rPr>
        <sz val="10"/>
        <rFont val="Arial"/>
        <family val="2"/>
      </rPr>
      <t>2019/11/10(90</t>
    </r>
    <r>
      <rPr>
        <sz val="10"/>
        <rFont val="宋体"/>
        <family val="3"/>
        <charset val="134"/>
      </rPr>
      <t>天装修期）</t>
    </r>
  </si>
  <si>
    <r>
      <rPr>
        <strike/>
        <sz val="10"/>
        <rFont val="Arial"/>
        <family val="2"/>
      </rPr>
      <t>2012/8/14</t>
    </r>
    <r>
      <rPr>
        <sz val="10"/>
        <rFont val="Arial"/>
        <family val="2"/>
      </rPr>
      <t xml:space="preserve">
2019/11/10</t>
    </r>
  </si>
  <si>
    <r>
      <rPr>
        <strike/>
        <sz val="10"/>
        <rFont val="Arial"/>
        <family val="2"/>
      </rPr>
      <t>2020/4/14</t>
    </r>
    <r>
      <rPr>
        <sz val="10"/>
        <rFont val="Arial"/>
        <family val="2"/>
      </rPr>
      <t xml:space="preserve">
2025/4/15</t>
    </r>
  </si>
  <si>
    <r>
      <rPr>
        <sz val="10"/>
        <rFont val="Arial"/>
        <family val="2"/>
      </rPr>
      <t>5</t>
    </r>
    <r>
      <rPr>
        <sz val="10"/>
        <rFont val="宋体"/>
        <family val="3"/>
        <charset val="134"/>
      </rPr>
      <t>年</t>
    </r>
    <r>
      <rPr>
        <sz val="10"/>
        <rFont val="Arial"/>
        <family val="2"/>
      </rPr>
      <t>8</t>
    </r>
    <r>
      <rPr>
        <sz val="10"/>
        <rFont val="宋体"/>
        <family val="3"/>
        <charset val="134"/>
      </rPr>
      <t>个月</t>
    </r>
  </si>
  <si>
    <r>
      <rPr>
        <strike/>
        <sz val="10"/>
        <rFont val="宋体"/>
        <family val="3"/>
        <charset val="134"/>
      </rPr>
      <t>交付日</t>
    </r>
    <r>
      <rPr>
        <strike/>
        <sz val="10"/>
        <rFont val="Arial"/>
        <family val="2"/>
      </rPr>
      <t>2012/4/15</t>
    </r>
    <r>
      <rPr>
        <strike/>
        <sz val="10"/>
        <rFont val="宋体"/>
        <family val="3"/>
        <charset val="134"/>
      </rPr>
      <t xml:space="preserve">前
</t>
    </r>
    <r>
      <rPr>
        <sz val="10"/>
        <rFont val="Arial"/>
        <family val="2"/>
      </rPr>
      <t>2019/8/12</t>
    </r>
  </si>
  <si>
    <r>
      <rPr>
        <sz val="10"/>
        <rFont val="宋体"/>
        <family val="3"/>
        <charset val="134"/>
      </rPr>
      <t>凤凰汇</t>
    </r>
    <r>
      <rPr>
        <sz val="10"/>
        <rFont val="Arial"/>
        <family val="2"/>
      </rPr>
      <t xml:space="preserve">  L301</t>
    </r>
    <r>
      <rPr>
        <sz val="10"/>
        <rFont val="宋体"/>
        <family val="3"/>
        <charset val="134"/>
      </rPr>
      <t>、</t>
    </r>
    <r>
      <rPr>
        <sz val="10"/>
        <rFont val="Arial"/>
        <family val="2"/>
      </rPr>
      <t>L302</t>
    </r>
  </si>
  <si>
    <t>2028.12.24-2029.12.23</t>
  </si>
  <si>
    <t>2027.12.24-2028.12.23</t>
  </si>
  <si>
    <t>2026.12.24-2027.12.23</t>
  </si>
  <si>
    <t>2025.1.24-2026.12.23</t>
  </si>
  <si>
    <t>2024.9.25-2025.1.23</t>
  </si>
  <si>
    <t>L0301</t>
  </si>
  <si>
    <t>2026.10.14-2027.10.13</t>
  </si>
  <si>
    <t>2025.10.14-2026.10.13</t>
  </si>
  <si>
    <t>2024.11.14-2025.10.13</t>
  </si>
  <si>
    <t>2024.8.25-2024.11.13</t>
  </si>
  <si>
    <t>L31201</t>
  </si>
  <si>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113.135%</t>
    </r>
    <r>
      <rPr>
        <sz val="10"/>
        <rFont val="宋体"/>
        <family val="3"/>
        <charset val="134"/>
      </rPr>
      <t>，或年净票房超过起算点部分的</t>
    </r>
    <r>
      <rPr>
        <sz val="10"/>
        <rFont val="Arial"/>
        <family val="2"/>
      </rPr>
      <t>15%</t>
    </r>
  </si>
  <si>
    <r>
      <rPr>
        <sz val="10"/>
        <rFont val="宋体"/>
        <family val="3"/>
        <charset val="134"/>
      </rPr>
      <t>自第</t>
    </r>
    <r>
      <rPr>
        <sz val="10"/>
        <rFont val="Arial"/>
        <family val="2"/>
      </rPr>
      <t>13</t>
    </r>
    <r>
      <rPr>
        <sz val="10"/>
        <rFont val="宋体"/>
        <family val="3"/>
        <charset val="134"/>
      </rPr>
      <t>个租赁年开始起至第</t>
    </r>
    <r>
      <rPr>
        <sz val="10"/>
        <rFont val="Arial"/>
        <family val="2"/>
      </rPr>
      <t>15</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</si>
  <si>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102.85%</t>
    </r>
    <r>
      <rPr>
        <sz val="10"/>
        <rFont val="宋体"/>
        <family val="3"/>
        <charset val="134"/>
      </rPr>
      <t>，或年净票房超过起算点部分的</t>
    </r>
    <r>
      <rPr>
        <sz val="10"/>
        <rFont val="Arial"/>
        <family val="2"/>
      </rPr>
      <t>14%</t>
    </r>
  </si>
  <si>
    <r>
      <rPr>
        <sz val="10"/>
        <rFont val="宋体"/>
        <family val="3"/>
        <charset val="134"/>
      </rPr>
      <t>自第</t>
    </r>
    <r>
      <rPr>
        <sz val="10"/>
        <rFont val="Arial"/>
        <family val="2"/>
      </rPr>
      <t>10</t>
    </r>
    <r>
      <rPr>
        <sz val="10"/>
        <rFont val="宋体"/>
        <family val="3"/>
        <charset val="134"/>
      </rPr>
      <t>个租赁年开始起至第</t>
    </r>
    <r>
      <rPr>
        <sz val="10"/>
        <rFont val="Arial"/>
        <family val="2"/>
      </rPr>
      <t>12</t>
    </r>
    <r>
      <rPr>
        <sz val="10"/>
        <rFont val="宋体"/>
        <family val="3"/>
        <charset val="134"/>
      </rPr>
      <t>个租赁年结束</t>
    </r>
  </si>
  <si>
    <t>2023.11.13-2038.11.12</t>
  </si>
  <si>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93.5%</t>
    </r>
    <r>
      <rPr>
        <sz val="10"/>
        <rFont val="宋体"/>
        <family val="3"/>
        <charset val="134"/>
      </rPr>
      <t>，或年净票房超过起算点部分的</t>
    </r>
    <r>
      <rPr>
        <sz val="10"/>
        <rFont val="Arial"/>
        <family val="2"/>
      </rPr>
      <t>13%</t>
    </r>
  </si>
  <si>
    <r>
      <rPr>
        <sz val="10"/>
        <rFont val="宋体"/>
        <family val="3"/>
        <charset val="134"/>
      </rPr>
      <t>自第</t>
    </r>
    <r>
      <rPr>
        <sz val="10"/>
        <rFont val="Arial"/>
        <family val="2"/>
      </rPr>
      <t>7</t>
    </r>
    <r>
      <rPr>
        <sz val="10"/>
        <rFont val="宋体"/>
        <family val="3"/>
        <charset val="134"/>
      </rPr>
      <t>个租赁年开始起至第</t>
    </r>
    <r>
      <rPr>
        <sz val="10"/>
        <rFont val="Arial"/>
        <family val="2"/>
      </rPr>
      <t>9</t>
    </r>
    <r>
      <rPr>
        <sz val="10"/>
        <rFont val="宋体"/>
        <family val="3"/>
        <charset val="134"/>
      </rPr>
      <t>个租赁年结束</t>
    </r>
  </si>
  <si>
    <t>2023.7.15-2023.11.12</t>
  </si>
  <si>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85%</t>
    </r>
    <r>
      <rPr>
        <sz val="10"/>
        <rFont val="宋体"/>
        <family val="3"/>
        <charset val="134"/>
      </rPr>
      <t>，或年净票房超过起算点部分的</t>
    </r>
    <r>
      <rPr>
        <sz val="10"/>
        <rFont val="Arial"/>
        <family val="2"/>
      </rPr>
      <t>12%</t>
    </r>
  </si>
  <si>
    <r>
      <rPr>
        <sz val="10"/>
        <rFont val="宋体"/>
        <family val="3"/>
        <charset val="134"/>
      </rPr>
      <t>自第</t>
    </r>
    <r>
      <rPr>
        <sz val="10"/>
        <rFont val="Arial"/>
        <family val="2"/>
      </rPr>
      <t>4</t>
    </r>
    <r>
      <rPr>
        <sz val="10"/>
        <rFont val="宋体"/>
        <family val="3"/>
        <charset val="134"/>
      </rPr>
      <t>个租赁年开始起至第</t>
    </r>
    <r>
      <rPr>
        <sz val="10"/>
        <rFont val="Arial"/>
        <family val="2"/>
      </rPr>
      <t>6</t>
    </r>
    <r>
      <rPr>
        <sz val="10"/>
        <rFont val="宋体"/>
        <family val="3"/>
        <charset val="134"/>
      </rPr>
      <t>个租赁年结束</t>
    </r>
  </si>
  <si>
    <r>
      <rPr>
        <sz val="10"/>
        <rFont val="宋体"/>
        <family val="3"/>
        <charset val="134"/>
      </rPr>
      <t>自开业后第四个租赁年度起，乙方租金为基本租金或净票房提成租金，两者取高（非完整自然年净票房提成租金起算点计算方式为：</t>
    </r>
    <r>
      <rPr>
        <sz val="10"/>
        <rFont val="Arial"/>
        <family val="2"/>
      </rPr>
      <t>350</t>
    </r>
    <r>
      <rPr>
        <sz val="10"/>
        <rFont val="宋体"/>
        <family val="3"/>
        <charset val="134"/>
      </rPr>
      <t>万元</t>
    </r>
    <r>
      <rPr>
        <sz val="10"/>
        <rFont val="Arial"/>
        <family val="2"/>
      </rPr>
      <t>/365</t>
    </r>
    <r>
      <rPr>
        <sz val="10"/>
        <rFont val="宋体"/>
        <family val="3"/>
        <charset val="134"/>
      </rPr>
      <t>天</t>
    </r>
    <r>
      <rPr>
        <sz val="10"/>
        <rFont val="Arial"/>
        <family val="2"/>
      </rPr>
      <t>*</t>
    </r>
    <r>
      <rPr>
        <sz val="10"/>
        <rFont val="宋体"/>
        <family val="3"/>
        <charset val="134"/>
      </rPr>
      <t>乙方在该年实际租赁天数；非完整自然月基本租金计算方式为：乙方在该月实际租赁的天数</t>
    </r>
    <r>
      <rPr>
        <sz val="10"/>
        <rFont val="Arial"/>
        <family val="2"/>
      </rPr>
      <t>*</t>
    </r>
    <r>
      <rPr>
        <sz val="10"/>
        <rFont val="宋体"/>
        <family val="3"/>
        <charset val="134"/>
      </rPr>
      <t>日基本租金，其中日基本租金</t>
    </r>
    <r>
      <rPr>
        <sz val="10"/>
        <rFont val="Arial"/>
        <family val="2"/>
      </rPr>
      <t>=</t>
    </r>
    <r>
      <rPr>
        <sz val="10"/>
        <rFont val="宋体"/>
        <family val="3"/>
        <charset val="134"/>
      </rPr>
      <t>当月基本租金</t>
    </r>
    <r>
      <rPr>
        <sz val="10"/>
        <rFont val="Arial"/>
        <family val="2"/>
      </rPr>
      <t>/</t>
    </r>
    <r>
      <rPr>
        <sz val="10"/>
        <rFont val="宋体"/>
        <family val="3"/>
        <charset val="134"/>
      </rPr>
      <t>当月实际天数，月基本租金</t>
    </r>
    <r>
      <rPr>
        <sz val="10"/>
        <rFont val="Arial"/>
        <family val="2"/>
      </rPr>
      <t>=</t>
    </r>
    <r>
      <rPr>
        <sz val="10"/>
        <rFont val="宋体"/>
        <family val="3"/>
        <charset val="134"/>
      </rPr>
      <t>当月基本租金</t>
    </r>
    <r>
      <rPr>
        <sz val="10"/>
        <rFont val="Arial"/>
        <family val="2"/>
      </rPr>
      <t>/12</t>
    </r>
    <r>
      <rPr>
        <sz val="10"/>
        <rFont val="宋体"/>
        <family val="3"/>
        <charset val="134"/>
      </rPr>
      <t>）</t>
    </r>
  </si>
  <si>
    <r>
      <rPr>
        <sz val="10"/>
        <rFont val="Arial"/>
        <family val="2"/>
      </rPr>
      <t>13120</t>
    </r>
    <r>
      <rPr>
        <sz val="10"/>
        <rFont val="宋体"/>
        <family val="3"/>
        <charset val="134"/>
      </rPr>
      <t>元（暂定</t>
    </r>
    <r>
      <rPr>
        <sz val="10"/>
        <rFont val="Arial"/>
        <family val="2"/>
      </rPr>
      <t>656</t>
    </r>
    <r>
      <rPr>
        <sz val="10"/>
        <rFont val="宋体"/>
        <family val="3"/>
        <charset val="134"/>
      </rPr>
      <t>座）</t>
    </r>
  </si>
  <si>
    <r>
      <rPr>
        <sz val="10"/>
        <rFont val="Arial"/>
        <family val="2"/>
      </rPr>
      <t>20</t>
    </r>
    <r>
      <rPr>
        <sz val="10"/>
        <rFont val="宋体"/>
        <family val="3"/>
        <charset val="134"/>
      </rPr>
      <t>元</t>
    </r>
    <r>
      <rPr>
        <sz val="10"/>
        <rFont val="Arial"/>
        <family val="2"/>
      </rPr>
      <t>/</t>
    </r>
    <r>
      <rPr>
        <sz val="10"/>
        <rFont val="宋体"/>
        <family val="3"/>
        <charset val="134"/>
      </rPr>
      <t>座</t>
    </r>
    <r>
      <rPr>
        <sz val="10"/>
        <rFont val="Arial"/>
        <family val="2"/>
      </rPr>
      <t>/</t>
    </r>
    <r>
      <rPr>
        <sz val="10"/>
        <rFont val="宋体"/>
        <family val="3"/>
        <charset val="134"/>
      </rPr>
      <t>月</t>
    </r>
  </si>
  <si>
    <r>
      <rPr>
        <sz val="10"/>
        <rFont val="宋体"/>
        <family val="3"/>
        <charset val="134"/>
      </rPr>
      <t>每年租金为年净票房收入超过起算点部分的</t>
    </r>
    <r>
      <rPr>
        <sz val="10"/>
        <rFont val="Arial"/>
        <family val="2"/>
      </rPr>
      <t>11%</t>
    </r>
  </si>
  <si>
    <r>
      <rPr>
        <sz val="10"/>
        <rFont val="宋体"/>
        <family val="3"/>
        <charset val="134"/>
      </rPr>
      <t>自第</t>
    </r>
    <r>
      <rPr>
        <sz val="10"/>
        <rFont val="Arial"/>
        <family val="2"/>
      </rPr>
      <t>2</t>
    </r>
    <r>
      <rPr>
        <sz val="10"/>
        <rFont val="宋体"/>
        <family val="3"/>
        <charset val="134"/>
      </rPr>
      <t>个租赁年开始起至第</t>
    </r>
    <r>
      <rPr>
        <sz val="10"/>
        <rFont val="Arial"/>
        <family val="2"/>
      </rPr>
      <t>3</t>
    </r>
    <r>
      <rPr>
        <sz val="10"/>
        <rFont val="宋体"/>
        <family val="3"/>
        <charset val="134"/>
      </rPr>
      <t>个租赁年结束</t>
    </r>
  </si>
  <si>
    <r>
      <rPr>
        <sz val="10"/>
        <rFont val="宋体"/>
        <family val="3"/>
        <charset val="134"/>
      </rPr>
      <t>自交付日起至开业第一个月结束</t>
    </r>
  </si>
  <si>
    <r>
      <rPr>
        <sz val="10"/>
        <rFont val="宋体"/>
        <family val="3"/>
        <charset val="134"/>
      </rPr>
      <t>净票房收入超过起算点部分的</t>
    </r>
    <r>
      <rPr>
        <sz val="10"/>
        <rFont val="Arial"/>
        <family val="2"/>
      </rPr>
      <t>11%</t>
    </r>
  </si>
  <si>
    <r>
      <rPr>
        <sz val="10"/>
        <rFont val="宋体"/>
        <family val="3"/>
        <charset val="134"/>
      </rPr>
      <t>自交付日起至第</t>
    </r>
    <r>
      <rPr>
        <sz val="10"/>
        <rFont val="Arial"/>
        <family val="2"/>
      </rPr>
      <t>1</t>
    </r>
    <r>
      <rPr>
        <sz val="10"/>
        <rFont val="宋体"/>
        <family val="3"/>
        <charset val="134"/>
      </rPr>
      <t>个租赁年结束</t>
    </r>
  </si>
  <si>
    <r>
      <rPr>
        <sz val="10"/>
        <rFont val="宋体"/>
        <family val="3"/>
        <charset val="134"/>
      </rPr>
      <t>开业首三年，乙方租金为净票房提成租金（自然年净票房提成租金计提起算点为</t>
    </r>
    <r>
      <rPr>
        <b/>
        <sz val="10"/>
        <color rgb="FFFF0000"/>
        <rFont val="Arial"/>
        <family val="2"/>
      </rPr>
      <t>350</t>
    </r>
    <r>
      <rPr>
        <sz val="10"/>
        <rFont val="宋体"/>
        <family val="3"/>
        <charset val="134"/>
      </rPr>
      <t>万元）</t>
    </r>
  </si>
  <si>
    <r>
      <rPr>
        <sz val="10"/>
        <rFont val="Arial"/>
        <family val="2"/>
      </rPr>
      <t>L311</t>
    </r>
  </si>
  <si>
    <r>
      <rPr>
        <b/>
        <sz val="10"/>
        <rFont val="宋体"/>
        <family val="3"/>
        <charset val="134"/>
      </rPr>
      <t>所属日期</t>
    </r>
  </si>
  <si>
    <r>
      <rPr>
        <b/>
        <sz val="10"/>
        <rFont val="宋体"/>
        <family val="3"/>
        <charset val="134"/>
      </rPr>
      <t>推广费合计</t>
    </r>
  </si>
  <si>
    <r>
      <rPr>
        <b/>
        <sz val="10"/>
        <rFont val="宋体"/>
        <family val="3"/>
        <charset val="134"/>
      </rPr>
      <t>月推广费</t>
    </r>
  </si>
  <si>
    <r>
      <rPr>
        <b/>
        <sz val="10"/>
        <rFont val="宋体"/>
        <family val="3"/>
        <charset val="134"/>
      </rPr>
      <t>推广费</t>
    </r>
    <r>
      <rPr>
        <b/>
        <sz val="10"/>
        <rFont val="Arial"/>
        <family val="2"/>
      </rPr>
      <t>/</t>
    </r>
    <r>
      <rPr>
        <b/>
        <sz val="10"/>
        <rFont val="宋体"/>
        <family val="3"/>
        <charset val="134"/>
      </rPr>
      <t>平米</t>
    </r>
    <r>
      <rPr>
        <b/>
        <sz val="10"/>
        <rFont val="Arial"/>
        <family val="2"/>
      </rPr>
      <t>/</t>
    </r>
    <r>
      <rPr>
        <b/>
        <sz val="10"/>
        <rFont val="宋体"/>
        <family val="3"/>
        <charset val="134"/>
      </rPr>
      <t>月</t>
    </r>
  </si>
  <si>
    <r>
      <rPr>
        <b/>
        <sz val="10"/>
        <rFont val="宋体"/>
        <family val="3"/>
        <charset val="134"/>
      </rPr>
      <t>抽成租金比例</t>
    </r>
  </si>
  <si>
    <t>到期日</t>
  </si>
  <si>
    <t>起租日</t>
  </si>
  <si>
    <r>
      <rPr>
        <b/>
        <sz val="10"/>
        <rFont val="宋体"/>
        <family val="3"/>
        <charset val="134"/>
      </rPr>
      <t>所属日期</t>
    </r>
    <r>
      <rPr>
        <b/>
        <sz val="10"/>
        <rFont val="Arial"/>
        <family val="2"/>
      </rPr>
      <t>/</t>
    </r>
    <r>
      <rPr>
        <b/>
        <sz val="10"/>
        <rFont val="宋体"/>
        <family val="3"/>
        <charset val="134"/>
      </rPr>
      <t>备注</t>
    </r>
  </si>
  <si>
    <r>
      <rPr>
        <b/>
        <sz val="10"/>
        <rFont val="宋体"/>
        <family val="3"/>
        <charset val="134"/>
      </rPr>
      <t>租金</t>
    </r>
    <r>
      <rPr>
        <b/>
        <sz val="10"/>
        <rFont val="Arial"/>
        <family val="2"/>
      </rPr>
      <t>(RMB)</t>
    </r>
  </si>
  <si>
    <r>
      <rPr>
        <b/>
        <sz val="10"/>
        <rFont val="宋体"/>
        <family val="3"/>
        <charset val="134"/>
      </rPr>
      <t>月租金</t>
    </r>
    <r>
      <rPr>
        <b/>
        <sz val="10"/>
        <rFont val="Arial"/>
        <family val="2"/>
      </rPr>
      <t>(RMB)</t>
    </r>
  </si>
  <si>
    <r>
      <rPr>
        <b/>
        <sz val="10"/>
        <rFont val="Arial"/>
        <family val="2"/>
      </rPr>
      <t>(RMB/</t>
    </r>
    <r>
      <rPr>
        <b/>
        <sz val="10"/>
        <rFont val="宋体"/>
        <family val="3"/>
        <charset val="134"/>
      </rPr>
      <t>平米</t>
    </r>
    <r>
      <rPr>
        <b/>
        <sz val="10"/>
        <rFont val="Arial"/>
        <family val="2"/>
      </rPr>
      <t>/</t>
    </r>
    <r>
      <rPr>
        <b/>
        <sz val="10"/>
        <rFont val="宋体"/>
        <family val="3"/>
        <charset val="134"/>
      </rPr>
      <t>月</t>
    </r>
    <r>
      <rPr>
        <b/>
        <sz val="10"/>
        <rFont val="Arial"/>
        <family val="2"/>
      </rPr>
      <t>)</t>
    </r>
  </si>
  <si>
    <r>
      <rPr>
        <b/>
        <sz val="10"/>
        <rFont val="宋体"/>
        <family val="3"/>
        <charset val="134"/>
      </rPr>
      <t>实际起租日</t>
    </r>
    <r>
      <rPr>
        <b/>
        <sz val="10"/>
        <rFont val="Arial"/>
        <family val="2"/>
      </rPr>
      <t>(</t>
    </r>
    <r>
      <rPr>
        <b/>
        <sz val="10"/>
        <rFont val="宋体"/>
        <family val="3"/>
        <charset val="134"/>
      </rPr>
      <t>开始交租金日</t>
    </r>
    <r>
      <rPr>
        <b/>
        <sz val="10"/>
        <rFont val="Arial"/>
        <family val="2"/>
      </rPr>
      <t>)</t>
    </r>
  </si>
  <si>
    <r>
      <rPr>
        <b/>
        <sz val="10"/>
        <rFont val="宋体"/>
        <family val="3"/>
        <charset val="134"/>
      </rPr>
      <t>合同约定开业日</t>
    </r>
    <r>
      <rPr>
        <b/>
        <sz val="10"/>
        <rFont val="Arial"/>
        <family val="2"/>
      </rPr>
      <t>/</t>
    </r>
    <r>
      <rPr>
        <b/>
        <sz val="10"/>
        <rFont val="宋体"/>
        <family val="3"/>
        <charset val="134"/>
      </rPr>
      <t>起租日</t>
    </r>
  </si>
  <si>
    <r>
      <rPr>
        <b/>
        <sz val="10"/>
        <rFont val="宋体"/>
        <family val="3"/>
        <charset val="134"/>
      </rPr>
      <t>到期日</t>
    </r>
  </si>
  <si>
    <r>
      <rPr>
        <b/>
        <sz val="10"/>
        <rFont val="宋体"/>
        <family val="3"/>
        <charset val="134"/>
      </rPr>
      <t>租期</t>
    </r>
    <r>
      <rPr>
        <b/>
        <sz val="10"/>
        <rFont val="Arial"/>
        <family val="2"/>
      </rPr>
      <t>(</t>
    </r>
    <r>
      <rPr>
        <b/>
        <sz val="10"/>
        <rFont val="宋体"/>
        <family val="3"/>
        <charset val="134"/>
      </rPr>
      <t>月</t>
    </r>
    <r>
      <rPr>
        <b/>
        <sz val="10"/>
        <rFont val="Arial"/>
        <family val="2"/>
      </rPr>
      <t>)</t>
    </r>
  </si>
  <si>
    <r>
      <rPr>
        <b/>
        <sz val="10"/>
        <rFont val="宋体"/>
        <family val="3"/>
        <charset val="134"/>
      </rPr>
      <t>起始日</t>
    </r>
  </si>
  <si>
    <r>
      <rPr>
        <b/>
        <sz val="10"/>
        <rFont val="宋体"/>
        <family val="3"/>
        <charset val="134"/>
      </rPr>
      <t>签约面积（可出租面积）</t>
    </r>
  </si>
  <si>
    <r>
      <rPr>
        <b/>
        <sz val="10"/>
        <rFont val="宋体"/>
        <family val="3"/>
        <charset val="134"/>
      </rPr>
      <t>推广费</t>
    </r>
  </si>
  <si>
    <r>
      <rPr>
        <b/>
        <sz val="10"/>
        <rFont val="宋体"/>
        <family val="3"/>
        <charset val="134"/>
      </rPr>
      <t>合</t>
    </r>
    <r>
      <rPr>
        <b/>
        <sz val="10"/>
        <rFont val="Arial"/>
        <family val="2"/>
      </rPr>
      <t xml:space="preserve"> </t>
    </r>
    <r>
      <rPr>
        <b/>
        <sz val="10"/>
        <rFont val="宋体"/>
        <family val="3"/>
        <charset val="134"/>
      </rPr>
      <t>约</t>
    </r>
    <r>
      <rPr>
        <b/>
        <sz val="10"/>
        <rFont val="Arial"/>
        <family val="2"/>
      </rPr>
      <t xml:space="preserve"> </t>
    </r>
    <r>
      <rPr>
        <b/>
        <sz val="10"/>
        <rFont val="宋体"/>
        <family val="3"/>
        <charset val="134"/>
      </rPr>
      <t>租</t>
    </r>
    <r>
      <rPr>
        <b/>
        <sz val="10"/>
        <rFont val="Arial"/>
        <family val="2"/>
      </rPr>
      <t xml:space="preserve"> </t>
    </r>
    <r>
      <rPr>
        <b/>
        <sz val="10"/>
        <rFont val="宋体"/>
        <family val="3"/>
        <charset val="134"/>
      </rPr>
      <t>金</t>
    </r>
  </si>
  <si>
    <r>
      <rPr>
        <b/>
        <sz val="10"/>
        <rFont val="宋体"/>
        <family val="3"/>
        <charset val="134"/>
      </rPr>
      <t>租</t>
    </r>
    <r>
      <rPr>
        <b/>
        <sz val="10"/>
        <rFont val="Arial"/>
        <family val="2"/>
      </rPr>
      <t xml:space="preserve">    </t>
    </r>
    <r>
      <rPr>
        <b/>
        <sz val="10"/>
        <rFont val="宋体"/>
        <family val="3"/>
        <charset val="134"/>
      </rPr>
      <t>期</t>
    </r>
  </si>
  <si>
    <r>
      <rPr>
        <b/>
        <sz val="10"/>
        <rFont val="宋体"/>
        <family val="3"/>
        <charset val="134"/>
      </rPr>
      <t>面</t>
    </r>
    <r>
      <rPr>
        <b/>
        <sz val="10"/>
        <rFont val="Arial"/>
        <family val="2"/>
      </rPr>
      <t xml:space="preserve"> </t>
    </r>
    <r>
      <rPr>
        <b/>
        <sz val="10"/>
        <rFont val="宋体"/>
        <family val="3"/>
        <charset val="134"/>
      </rPr>
      <t>积</t>
    </r>
    <r>
      <rPr>
        <b/>
        <sz val="10"/>
        <rFont val="Arial"/>
        <family val="2"/>
      </rPr>
      <t xml:space="preserve"> (</t>
    </r>
    <r>
      <rPr>
        <b/>
        <sz val="10"/>
        <rFont val="宋体"/>
        <family val="3"/>
        <charset val="134"/>
      </rPr>
      <t>㎡</t>
    </r>
    <r>
      <rPr>
        <b/>
        <sz val="10"/>
        <rFont val="Arial"/>
        <family val="2"/>
      </rPr>
      <t>)</t>
    </r>
  </si>
  <si>
    <t>年总租金</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</si>
</sst>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0;&quot;-&quot;"/>
    <numFmt numFmtId="198" formatCode="#."/>
    <numFmt numFmtId="199" formatCode="_-* #,##0.00_-;\-* #,##0.00_-;_-* &quot;-&quot;??_-;_-@_-"/>
    <numFmt numFmtId="200" formatCode="_-* #,##0_-;\-* #,##0_-;_-* &quot;-&quot;??_-;_-@_-"/>
  </numFmts>
  <fonts count="28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1"/>
      <color rgb="FFFFFFFF"/>
      <name val="kaiti"/>
      <family val="1"/>
    </font>
    <font>
      <sz val="10"/>
      <color rgb="FF1F2329"/>
      <name val="kaiti"/>
      <family val="3"/>
    </font>
    <font>
      <b/>
      <sz val="10"/>
      <color rgb="FF262626"/>
      <name val="kaiti"/>
      <family val="3"/>
    </font>
    <font>
      <sz val="10"/>
      <color rgb="FF262626"/>
      <name val="kaiti"/>
      <family val="3"/>
    </font>
    <font>
      <b/>
      <sz val="10"/>
      <color rgb="FF1F2329"/>
      <name val="kaiti"/>
      <family val="3"/>
    </font>
    <font>
      <sz val="11"/>
      <name val="Source Sans Pro"/>
      <family val="2"/>
    </font>
    <font>
      <b/>
      <sz val="11"/>
      <name val="Source Sans Pro"/>
      <family val="2"/>
    </font>
    <font>
      <sz val="12"/>
      <color theme="1"/>
      <name val="宋体"/>
      <family val="2"/>
      <charset val="136"/>
      <scheme val="minor"/>
    </font>
    <font>
      <sz val="11"/>
      <color theme="1"/>
      <name val="Source Sans Pro"/>
      <family val="2"/>
    </font>
    <font>
      <sz val="10"/>
      <color rgb="FF000000"/>
      <name val="Calibri"/>
      <family val="2"/>
    </font>
    <font>
      <strike/>
      <sz val="10"/>
      <name val="Arial"/>
      <family val="2"/>
    </font>
    <font>
      <strike/>
      <sz val="10"/>
      <name val="宋体"/>
      <family val="3"/>
      <charset val="134"/>
    </font>
    <font>
      <b/>
      <sz val="9"/>
      <name val="宋体"/>
      <family val="3"/>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BDAE7"/>
        <bgColor indexed="64"/>
      </patternFill>
    </fill>
    <fill>
      <patternFill patternType="solid">
        <fgColor rgb="FFB2CBB6"/>
        <bgColor indexed="64"/>
      </patternFill>
    </fill>
    <fill>
      <patternFill patternType="solid">
        <fgColor rgb="FFFFAA00"/>
        <bgColor indexed="64"/>
      </patternFill>
    </fill>
    <fill>
      <patternFill patternType="solid">
        <fgColor rgb="FFFFFEF2"/>
        <bgColor indexed="64"/>
      </patternFill>
    </fill>
    <fill>
      <patternFill patternType="solid">
        <fgColor rgb="FFF2F3F5"/>
        <bgColor indexed="64"/>
      </patternFill>
    </fill>
    <fill>
      <patternFill patternType="solid">
        <fgColor rgb="FFFF99CC"/>
        <bgColor indexed="64"/>
      </patternFill>
    </fill>
    <fill>
      <patternFill patternType="solid">
        <fgColor rgb="FF00B0F0"/>
        <bgColor indexed="64"/>
      </patternFill>
    </fill>
    <fill>
      <patternFill patternType="solid">
        <fgColor theme="0" tint="-0.14996795556505021"/>
        <bgColor indexed="64"/>
      </patternFill>
    </fill>
    <fill>
      <patternFill patternType="solid">
        <fgColor indexed="46"/>
        <bgColor indexed="64"/>
      </patternFill>
    </fill>
    <fill>
      <patternFill patternType="solid">
        <fgColor rgb="FFFFFFCC"/>
        <bgColor indexed="64"/>
      </patternFill>
    </fill>
  </fills>
  <borders count="2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C0C0C0"/>
      </left>
      <right style="thin">
        <color rgb="FFC0C0C0"/>
      </right>
      <top style="thin">
        <color rgb="FFC0C0C0"/>
      </top>
      <bottom style="thin">
        <color rgb="FFC0C0C0"/>
      </bottom>
      <diagonal/>
    </border>
    <border>
      <left style="dotted">
        <color rgb="FFFFFFFF"/>
      </left>
      <right style="dotted">
        <color rgb="FFFFFFFF"/>
      </right>
      <top style="dotted">
        <color rgb="FFFFFFFF"/>
      </top>
      <bottom style="dotted">
        <color rgb="FFFFFFFF"/>
      </bottom>
      <diagonal/>
    </border>
    <border>
      <left style="thin">
        <color rgb="FFDDDDDD"/>
      </left>
      <right style="thin">
        <color rgb="FFDDDDDD"/>
      </right>
      <top style="thin">
        <color rgb="FFDDDDDD"/>
      </top>
      <bottom style="thin">
        <color rgb="FFDDDDDD"/>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thin">
        <color rgb="FF000000"/>
      </left>
      <right style="thin">
        <color rgb="FF000000"/>
      </right>
      <top style="thin">
        <color rgb="FF000000"/>
      </top>
      <bottom style="thin">
        <color rgb="FF000000"/>
      </bottom>
      <diagonal/>
    </border>
    <border>
      <left style="hair">
        <color auto="1"/>
      </left>
      <right/>
      <top style="hair">
        <color auto="1"/>
      </top>
      <bottom/>
      <diagonal/>
    </border>
    <border>
      <left style="thick">
        <color auto="1"/>
      </left>
      <right style="hair">
        <color auto="1"/>
      </right>
      <top style="hair">
        <color auto="1"/>
      </top>
      <bottom/>
      <diagonal/>
    </border>
    <border>
      <left style="hair">
        <color auto="1"/>
      </left>
      <right/>
      <top style="hair">
        <color auto="1"/>
      </top>
      <bottom style="hair">
        <color auto="1"/>
      </bottom>
      <diagonal/>
    </border>
    <border>
      <left style="thick">
        <color auto="1"/>
      </left>
      <right style="hair">
        <color auto="1"/>
      </right>
      <top style="hair">
        <color auto="1"/>
      </top>
      <bottom style="hair">
        <color auto="1"/>
      </bottom>
      <diagonal/>
    </border>
    <border>
      <left style="hair">
        <color auto="1"/>
      </left>
      <right/>
      <top/>
      <bottom style="hair">
        <color auto="1"/>
      </bottom>
      <diagonal/>
    </border>
    <border>
      <left style="thick">
        <color auto="1"/>
      </left>
      <right style="hair">
        <color auto="1"/>
      </right>
      <top/>
      <bottom style="hair">
        <color auto="1"/>
      </bottom>
      <diagonal/>
    </border>
    <border>
      <left style="hair">
        <color auto="1"/>
      </left>
      <right style="thick">
        <color auto="1"/>
      </right>
      <top/>
      <bottom style="hair">
        <color auto="1"/>
      </bottom>
      <diagonal/>
    </border>
    <border>
      <left style="hair">
        <color auto="1"/>
      </left>
      <right style="thick">
        <color auto="1"/>
      </right>
      <top style="hair">
        <color auto="1"/>
      </top>
      <bottom/>
      <diagonal/>
    </border>
    <border>
      <left style="hair">
        <color auto="1"/>
      </left>
      <right style="thick">
        <color auto="1"/>
      </right>
      <top/>
      <bottom/>
      <diagonal/>
    </border>
    <border>
      <left style="thick">
        <color auto="1"/>
      </left>
      <right style="hair">
        <color auto="1"/>
      </right>
      <top/>
      <bottom/>
      <diagonal/>
    </border>
    <border>
      <left/>
      <right style="hair">
        <color auto="1"/>
      </right>
      <top/>
      <bottom style="hair">
        <color auto="1"/>
      </bottom>
      <diagonal/>
    </border>
    <border>
      <left style="double">
        <color auto="1"/>
      </left>
      <right style="hair">
        <color auto="1"/>
      </right>
      <top/>
      <bottom style="hair">
        <color auto="1"/>
      </bottom>
      <diagonal/>
    </border>
    <border>
      <left style="double">
        <color auto="1"/>
      </left>
      <right style="hair">
        <color auto="1"/>
      </right>
      <top/>
      <bottom/>
      <diagonal/>
    </border>
    <border>
      <left style="double">
        <color auto="1"/>
      </left>
      <right style="hair">
        <color auto="1"/>
      </right>
      <top style="hair">
        <color auto="1"/>
      </top>
      <bottom/>
      <diagonal/>
    </border>
    <border>
      <left/>
      <right style="hair">
        <color auto="1"/>
      </right>
      <top style="hair">
        <color auto="1"/>
      </top>
      <bottom style="hair">
        <color auto="1"/>
      </bottom>
      <diagonal/>
    </border>
    <border>
      <left/>
      <right/>
      <top style="hair">
        <color auto="1"/>
      </top>
      <bottom style="hair">
        <color auto="1"/>
      </bottom>
      <diagonal/>
    </border>
    <border>
      <left/>
      <right style="hair">
        <color auto="1"/>
      </right>
      <top/>
      <bottom/>
      <diagonal/>
    </border>
    <border>
      <left/>
      <right style="hair">
        <color auto="1"/>
      </right>
      <top style="hair">
        <color auto="1"/>
      </top>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thick">
        <color auto="1"/>
      </left>
      <right style="hair">
        <color auto="1"/>
      </right>
      <top style="double">
        <color auto="1"/>
      </top>
      <bottom style="hair">
        <color auto="1"/>
      </bottom>
      <diagonal/>
    </border>
  </borders>
  <cellStyleXfs count="2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199" fontId="1" fillId="0" borderId="0" applyFont="0" applyFill="0" applyBorder="0" applyAlignment="0" applyProtection="0"/>
    <xf numFmtId="0" fontId="279" fillId="0" borderId="0">
      <alignment vertical="center"/>
    </xf>
    <xf numFmtId="0" fontId="37" fillId="0" borderId="0">
      <alignment vertical="center"/>
    </xf>
    <xf numFmtId="43" fontId="96" fillId="0" borderId="0" applyFont="0" applyFill="0" applyBorder="0" applyAlignment="0" applyProtection="0">
      <alignment vertical="center"/>
    </xf>
    <xf numFmtId="9" fontId="96" fillId="0" borderId="0" applyFont="0" applyFill="0" applyBorder="0" applyAlignment="0" applyProtection="0">
      <alignment vertical="center"/>
    </xf>
  </cellStyleXfs>
  <cellXfs count="386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10" fontId="48" fillId="12" borderId="0" xfId="17" applyNumberFormat="1" applyFont="1" applyFill="1" applyProtection="1">
      <alignment vertical="center"/>
      <protection locked="0"/>
    </xf>
    <xf numFmtId="10" fontId="48" fillId="12" borderId="0" xfId="0" applyNumberFormat="1" applyFont="1" applyFill="1" applyProtection="1">
      <alignment vertical="center"/>
      <protection locked="0"/>
    </xf>
    <xf numFmtId="0" fontId="78" fillId="0" borderId="1" xfId="0" applyFont="1" applyBorder="1" applyAlignment="1" applyProtection="1">
      <alignment horizontal="center" vertical="center" wrapText="1"/>
      <protection locked="0"/>
    </xf>
    <xf numFmtId="0" fontId="0" fillId="22" borderId="176" xfId="0" applyFill="1" applyBorder="1" applyAlignment="1" applyProtection="1">
      <protection locked="0"/>
    </xf>
    <xf numFmtId="49" fontId="0" fillId="22" borderId="176" xfId="0" applyNumberFormat="1" applyFill="1" applyBorder="1" applyAlignment="1" applyProtection="1">
      <protection locked="0"/>
    </xf>
    <xf numFmtId="2" fontId="0" fillId="23" borderId="176" xfId="0" applyNumberFormat="1" applyFill="1" applyBorder="1" applyAlignment="1" applyProtection="1">
      <protection locked="0"/>
    </xf>
    <xf numFmtId="0" fontId="272" fillId="24" borderId="177" xfId="0" applyFont="1" applyFill="1" applyBorder="1" applyAlignment="1">
      <alignment horizontal="center" vertical="center"/>
    </xf>
    <xf numFmtId="0" fontId="273" fillId="25" borderId="178" xfId="0" applyFont="1" applyFill="1" applyBorder="1" applyAlignment="1">
      <alignment horizontal="left" vertical="center" indent="4"/>
    </xf>
    <xf numFmtId="197" fontId="274" fillId="26" borderId="178" xfId="0" applyNumberFormat="1" applyFont="1" applyFill="1" applyBorder="1" applyAlignment="1">
      <alignment horizontal="right" vertical="center"/>
    </xf>
    <xf numFmtId="197" fontId="275" fillId="26" borderId="178" xfId="0" applyNumberFormat="1" applyFont="1" applyFill="1" applyBorder="1" applyAlignment="1">
      <alignment horizontal="right" vertical="center"/>
    </xf>
    <xf numFmtId="0" fontId="276" fillId="25" borderId="178" xfId="0" applyFont="1" applyFill="1" applyBorder="1" applyAlignment="1">
      <alignment horizontal="left" vertical="center" indent="3"/>
    </xf>
    <xf numFmtId="0" fontId="276" fillId="25" borderId="178" xfId="0" applyFont="1" applyFill="1" applyBorder="1" applyAlignment="1">
      <alignment horizontal="left" vertical="center" indent="2"/>
    </xf>
    <xf numFmtId="0" fontId="276" fillId="25" borderId="178" xfId="0" applyFont="1" applyFill="1" applyBorder="1" applyAlignment="1">
      <alignment horizontal="left" vertical="center" indent="4"/>
    </xf>
    <xf numFmtId="0" fontId="273" fillId="25" borderId="178" xfId="0" applyFont="1" applyFill="1" applyBorder="1" applyAlignment="1">
      <alignment horizontal="left" vertical="center" indent="2"/>
    </xf>
    <xf numFmtId="0" fontId="276" fillId="25" borderId="178" xfId="0" applyFont="1" applyFill="1" applyBorder="1" applyAlignment="1">
      <alignment horizontal="left" vertical="center" indent="1"/>
    </xf>
    <xf numFmtId="0" fontId="273" fillId="25" borderId="178" xfId="0" applyFont="1" applyFill="1" applyBorder="1" applyAlignment="1">
      <alignment horizontal="left" vertical="center" indent="1"/>
    </xf>
    <xf numFmtId="0" fontId="96" fillId="0" borderId="1" xfId="0" applyFont="1" applyBorder="1">
      <alignment vertical="center"/>
    </xf>
    <xf numFmtId="0" fontId="96" fillId="0" borderId="1" xfId="0" applyFont="1" applyBorder="1" applyAlignment="1">
      <alignment horizontal="righ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272" fillId="24" borderId="177" xfId="0" applyFont="1" applyFill="1" applyBorder="1" applyAlignment="1">
      <alignment horizontal="center"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98" fontId="277" fillId="0" borderId="0" xfId="19" applyNumberFormat="1" applyFont="1"/>
    <xf numFmtId="0" fontId="278" fillId="0" borderId="0" xfId="19" applyFont="1" applyAlignment="1">
      <alignment horizontal="center" wrapText="1"/>
    </xf>
    <xf numFmtId="0" fontId="277" fillId="0" borderId="0" xfId="19" applyFont="1"/>
    <xf numFmtId="0" fontId="277" fillId="0" borderId="0" xfId="19" applyFont="1" applyAlignment="1">
      <alignment horizontal="center"/>
    </xf>
    <xf numFmtId="200" fontId="277" fillId="0" borderId="0" xfId="20" applyNumberFormat="1" applyFont="1" applyAlignment="1">
      <alignment horizontal="center"/>
    </xf>
    <xf numFmtId="14" fontId="277" fillId="0" borderId="0" xfId="21" applyNumberFormat="1" applyFont="1" applyAlignment="1">
      <alignment horizontal="center"/>
    </xf>
    <xf numFmtId="199" fontId="277" fillId="0" borderId="0" xfId="20" applyFont="1" applyAlignment="1">
      <alignment horizontal="center"/>
    </xf>
    <xf numFmtId="0" fontId="280" fillId="0" borderId="0" xfId="19" applyFont="1"/>
    <xf numFmtId="198" fontId="277" fillId="5" borderId="0" xfId="19" applyNumberFormat="1" applyFont="1" applyFill="1"/>
    <xf numFmtId="0" fontId="277" fillId="5" borderId="0" xfId="19" applyFont="1" applyFill="1" applyAlignment="1">
      <alignment horizontal="center"/>
    </xf>
    <xf numFmtId="200" fontId="277" fillId="5" borderId="0" xfId="20" applyNumberFormat="1" applyFont="1" applyFill="1" applyAlignment="1">
      <alignment horizontal="center"/>
    </xf>
    <xf numFmtId="14" fontId="277" fillId="5" borderId="0" xfId="21" applyNumberFormat="1" applyFont="1" applyFill="1" applyAlignment="1">
      <alignment horizontal="center"/>
    </xf>
    <xf numFmtId="0" fontId="280" fillId="5" borderId="0" xfId="19" applyFont="1" applyFill="1"/>
    <xf numFmtId="200" fontId="277" fillId="0" borderId="0" xfId="20" applyNumberFormat="1" applyFont="1" applyAlignment="1">
      <alignment horizontal="center" wrapText="1"/>
    </xf>
    <xf numFmtId="0" fontId="279" fillId="0" borderId="0" xfId="21">
      <alignment vertical="center"/>
    </xf>
    <xf numFmtId="198" fontId="280" fillId="0" borderId="0" xfId="19" applyNumberFormat="1" applyFont="1"/>
    <xf numFmtId="0" fontId="186" fillId="0" borderId="0" xfId="19" applyFont="1" applyAlignment="1">
      <alignment horizontal="center" wrapText="1"/>
    </xf>
    <xf numFmtId="199" fontId="277" fillId="0" borderId="0" xfId="20" applyNumberFormat="1" applyFont="1" applyAlignment="1">
      <alignment horizontal="center"/>
    </xf>
    <xf numFmtId="10" fontId="277" fillId="0" borderId="0" xfId="17" applyNumberFormat="1" applyFont="1" applyAlignment="1">
      <alignment horizontal="center"/>
    </xf>
    <xf numFmtId="0" fontId="96" fillId="0" borderId="0" xfId="10">
      <alignment vertical="center"/>
    </xf>
    <xf numFmtId="0" fontId="54" fillId="3" borderId="0" xfId="22" applyFont="1" applyFill="1" applyAlignment="1">
      <alignment horizontal="center" vertical="center" wrapText="1"/>
    </xf>
    <xf numFmtId="43" fontId="54" fillId="3" borderId="0" xfId="22" applyNumberFormat="1" applyFont="1" applyFill="1" applyAlignment="1">
      <alignment horizontal="center" vertical="center" wrapText="1"/>
    </xf>
    <xf numFmtId="10" fontId="54" fillId="3" borderId="0" xfId="22" applyNumberFormat="1" applyFont="1" applyFill="1" applyAlignment="1">
      <alignment horizontal="center" vertical="center" wrapText="1"/>
    </xf>
    <xf numFmtId="14" fontId="54" fillId="3" borderId="0" xfId="22" applyNumberFormat="1" applyFont="1" applyFill="1" applyAlignment="1">
      <alignment horizontal="center" vertical="center" wrapText="1"/>
    </xf>
    <xf numFmtId="0" fontId="54" fillId="7" borderId="179" xfId="22" applyFont="1" applyFill="1" applyBorder="1" applyAlignment="1">
      <alignment horizontal="center" vertical="center" wrapText="1"/>
    </xf>
    <xf numFmtId="43" fontId="54" fillId="7" borderId="179" xfId="22" applyNumberFormat="1" applyFont="1" applyFill="1" applyBorder="1" applyAlignment="1">
      <alignment horizontal="center" vertical="center" wrapText="1"/>
    </xf>
    <xf numFmtId="0" fontId="54" fillId="0" borderId="179" xfId="22" applyFont="1" applyBorder="1" applyAlignment="1">
      <alignment horizontal="center" vertical="center" wrapText="1"/>
    </xf>
    <xf numFmtId="43" fontId="54" fillId="7" borderId="180" xfId="22" applyNumberFormat="1" applyFont="1" applyFill="1" applyBorder="1" applyAlignment="1">
      <alignment horizontal="center" vertical="center" wrapText="1"/>
    </xf>
    <xf numFmtId="43" fontId="54" fillId="0" borderId="180" xfId="22" applyNumberFormat="1" applyFont="1" applyBorder="1" applyAlignment="1">
      <alignment horizontal="center" vertical="center" wrapText="1"/>
    </xf>
    <xf numFmtId="43" fontId="54" fillId="7" borderId="180" xfId="22" applyNumberFormat="1" applyFont="1" applyFill="1" applyBorder="1" applyAlignment="1">
      <alignment horizontal="center" vertical="center" wrapText="1"/>
    </xf>
    <xf numFmtId="43" fontId="54" fillId="0" borderId="180" xfId="22" applyNumberFormat="1" applyFont="1" applyBorder="1" applyAlignment="1">
      <alignment horizontal="center" vertical="center" wrapText="1"/>
    </xf>
    <xf numFmtId="43" fontId="54" fillId="7" borderId="181" xfId="22" applyNumberFormat="1" applyFont="1" applyFill="1" applyBorder="1" applyAlignment="1">
      <alignment horizontal="center" vertical="center" wrapText="1"/>
    </xf>
    <xf numFmtId="43" fontId="54" fillId="0" borderId="181" xfId="22" applyNumberFormat="1" applyFont="1" applyBorder="1" applyAlignment="1">
      <alignment horizontal="center" vertical="center" wrapText="1"/>
    </xf>
    <xf numFmtId="0" fontId="54" fillId="0" borderId="182" xfId="22" applyFont="1" applyBorder="1" applyAlignment="1">
      <alignment horizontal="center" vertical="center" wrapText="1"/>
    </xf>
    <xf numFmtId="43" fontId="54" fillId="0" borderId="182" xfId="22" applyNumberFormat="1" applyFont="1" applyBorder="1" applyAlignment="1">
      <alignment horizontal="center" vertical="center" wrapText="1"/>
    </xf>
    <xf numFmtId="0" fontId="54" fillId="0" borderId="180" xfId="22" applyFont="1" applyBorder="1" applyAlignment="1">
      <alignment horizontal="center" vertical="center" wrapText="1"/>
    </xf>
    <xf numFmtId="0" fontId="54" fillId="0" borderId="181" xfId="22" applyFont="1" applyBorder="1" applyAlignment="1">
      <alignment horizontal="center" vertical="center" wrapText="1"/>
    </xf>
    <xf numFmtId="43" fontId="54" fillId="0" borderId="179" xfId="22" applyNumberFormat="1" applyFont="1" applyBorder="1" applyAlignment="1">
      <alignment horizontal="center" vertical="center" wrapText="1"/>
    </xf>
    <xf numFmtId="0" fontId="54" fillId="7" borderId="179" xfId="22" applyFont="1" applyFill="1" applyBorder="1" applyAlignment="1">
      <alignment horizontal="center" vertical="center" wrapText="1"/>
    </xf>
    <xf numFmtId="43" fontId="54" fillId="7" borderId="179" xfId="22" applyNumberFormat="1" applyFont="1" applyFill="1" applyBorder="1" applyAlignment="1">
      <alignment horizontal="center" vertical="center" wrapText="1"/>
    </xf>
    <xf numFmtId="43" fontId="54" fillId="27" borderId="179" xfId="22" applyNumberFormat="1" applyFont="1" applyFill="1" applyBorder="1" applyAlignment="1">
      <alignment horizontal="center" vertical="center" wrapText="1"/>
    </xf>
    <xf numFmtId="0" fontId="54" fillId="7" borderId="180" xfId="22" applyFont="1" applyFill="1" applyBorder="1" applyAlignment="1">
      <alignment horizontal="center" vertical="center" wrapText="1"/>
    </xf>
    <xf numFmtId="0" fontId="54" fillId="7" borderId="182" xfId="22" applyFont="1" applyFill="1" applyBorder="1" applyAlignment="1">
      <alignment horizontal="center" vertical="center" wrapText="1"/>
    </xf>
    <xf numFmtId="43" fontId="54" fillId="7" borderId="182" xfId="22" applyNumberFormat="1" applyFont="1" applyFill="1" applyBorder="1" applyAlignment="1">
      <alignment horizontal="center" vertical="center" wrapText="1"/>
    </xf>
    <xf numFmtId="0" fontId="54" fillId="7" borderId="181" xfId="22" applyFont="1" applyFill="1" applyBorder="1" applyAlignment="1">
      <alignment horizontal="center" vertical="center" wrapText="1"/>
    </xf>
    <xf numFmtId="43" fontId="54" fillId="0" borderId="179" xfId="22" applyNumberFormat="1" applyFont="1" applyBorder="1" applyAlignment="1">
      <alignment horizontal="center" vertical="center" wrapText="1"/>
    </xf>
    <xf numFmtId="0" fontId="54" fillId="0" borderId="182" xfId="22" applyFont="1" applyBorder="1" applyAlignment="1">
      <alignment horizontal="center" vertical="center" wrapText="1"/>
    </xf>
    <xf numFmtId="43" fontId="54" fillId="0" borderId="182" xfId="22" applyNumberFormat="1" applyFont="1" applyBorder="1" applyAlignment="1">
      <alignment horizontal="center" vertical="center" wrapText="1"/>
    </xf>
    <xf numFmtId="43" fontId="54" fillId="5" borderId="0" xfId="22" applyNumberFormat="1" applyFont="1" applyFill="1" applyAlignment="1">
      <alignment horizontal="center" vertical="center" wrapText="1"/>
    </xf>
    <xf numFmtId="0" fontId="281" fillId="0" borderId="183" xfId="10" applyFont="1" applyBorder="1" applyAlignment="1">
      <alignment horizontal="center" vertical="center"/>
    </xf>
    <xf numFmtId="14" fontId="20" fillId="3" borderId="0" xfId="22" applyNumberFormat="1" applyFont="1" applyFill="1" applyAlignment="1">
      <alignment horizontal="center" vertical="center" wrapText="1"/>
    </xf>
    <xf numFmtId="0" fontId="20" fillId="3" borderId="0" xfId="22" applyFont="1" applyFill="1" applyAlignment="1">
      <alignment horizontal="center" vertical="center" wrapText="1"/>
    </xf>
    <xf numFmtId="43" fontId="54" fillId="28" borderId="0" xfId="23" applyFont="1" applyFill="1" applyAlignment="1">
      <alignment horizontal="center" vertical="center" wrapText="1"/>
    </xf>
    <xf numFmtId="43" fontId="54" fillId="5" borderId="0" xfId="23" applyFont="1" applyFill="1" applyBorder="1" applyAlignment="1">
      <alignment horizontal="center" vertical="center" wrapText="1"/>
    </xf>
    <xf numFmtId="10" fontId="54" fillId="29" borderId="77" xfId="22" applyNumberFormat="1" applyFont="1" applyFill="1" applyBorder="1" applyAlignment="1">
      <alignment horizontal="center" vertical="center" wrapText="1"/>
    </xf>
    <xf numFmtId="0" fontId="54" fillId="29" borderId="77" xfId="22" applyFont="1" applyFill="1" applyBorder="1" applyAlignment="1">
      <alignment horizontal="center" vertical="center" wrapText="1"/>
    </xf>
    <xf numFmtId="43" fontId="54" fillId="29" borderId="77" xfId="22" applyNumberFormat="1" applyFont="1" applyFill="1" applyBorder="1" applyAlignment="1">
      <alignment horizontal="center" vertical="center" wrapText="1"/>
    </xf>
    <xf numFmtId="14" fontId="54" fillId="29" borderId="77" xfId="22" applyNumberFormat="1" applyFont="1" applyFill="1" applyBorder="1" applyAlignment="1">
      <alignment horizontal="center" vertical="center" wrapText="1"/>
    </xf>
    <xf numFmtId="43" fontId="54" fillId="29" borderId="77" xfId="23" applyFont="1" applyFill="1" applyBorder="1" applyAlignment="1">
      <alignment horizontal="center" vertical="center" wrapText="1"/>
    </xf>
    <xf numFmtId="10" fontId="54" fillId="7" borderId="179" xfId="22" applyNumberFormat="1" applyFont="1" applyFill="1" applyBorder="1" applyAlignment="1">
      <alignment horizontal="center" vertical="center" wrapText="1"/>
    </xf>
    <xf numFmtId="14" fontId="54" fillId="7" borderId="184" xfId="22" applyNumberFormat="1" applyFont="1" applyFill="1" applyBorder="1" applyAlignment="1">
      <alignment horizontal="center" vertical="center" wrapText="1"/>
    </xf>
    <xf numFmtId="14" fontId="54" fillId="7" borderId="181" xfId="22" applyNumberFormat="1" applyFont="1" applyFill="1" applyBorder="1" applyAlignment="1">
      <alignment horizontal="center" vertical="center" wrapText="1"/>
    </xf>
    <xf numFmtId="14" fontId="54" fillId="7" borderId="185" xfId="22" applyNumberFormat="1" applyFont="1" applyFill="1" applyBorder="1" applyAlignment="1">
      <alignment horizontal="center" vertical="center" wrapText="1"/>
    </xf>
    <xf numFmtId="43" fontId="54" fillId="7" borderId="184" xfId="23" applyFont="1" applyFill="1" applyBorder="1" applyAlignment="1">
      <alignment horizontal="center" vertical="center" wrapText="1"/>
    </xf>
    <xf numFmtId="43" fontId="96" fillId="0" borderId="0" xfId="10" applyNumberFormat="1">
      <alignment vertical="center"/>
    </xf>
    <xf numFmtId="10" fontId="54" fillId="5" borderId="179" xfId="22" applyNumberFormat="1" applyFont="1" applyFill="1" applyBorder="1" applyAlignment="1">
      <alignment horizontal="center" vertical="center" wrapText="1"/>
    </xf>
    <xf numFmtId="0" fontId="54" fillId="5" borderId="179" xfId="22" applyFont="1" applyFill="1" applyBorder="1" applyAlignment="1">
      <alignment horizontal="center" vertical="center" wrapText="1"/>
    </xf>
    <xf numFmtId="43" fontId="54" fillId="5" borderId="179" xfId="23" applyFont="1" applyFill="1" applyBorder="1" applyAlignment="1">
      <alignment horizontal="center" vertical="center" wrapText="1"/>
    </xf>
    <xf numFmtId="14" fontId="54" fillId="5" borderId="179" xfId="22" applyNumberFormat="1" applyFont="1" applyFill="1" applyBorder="1" applyAlignment="1">
      <alignment horizontal="center" vertical="center" wrapText="1"/>
    </xf>
    <xf numFmtId="43" fontId="54" fillId="5" borderId="179" xfId="22" applyNumberFormat="1" applyFont="1" applyFill="1" applyBorder="1" applyAlignment="1">
      <alignment horizontal="center" vertical="center" wrapText="1"/>
    </xf>
    <xf numFmtId="14" fontId="54" fillId="0" borderId="185" xfId="22" applyNumberFormat="1" applyFont="1" applyBorder="1" applyAlignment="1">
      <alignment horizontal="center" vertical="center" wrapText="1"/>
    </xf>
    <xf numFmtId="0" fontId="20" fillId="0" borderId="180" xfId="22" applyFont="1" applyBorder="1" applyAlignment="1">
      <alignment horizontal="center" vertical="center" wrapText="1"/>
    </xf>
    <xf numFmtId="14" fontId="54" fillId="7" borderId="186" xfId="22" applyNumberFormat="1" applyFont="1" applyFill="1" applyBorder="1" applyAlignment="1">
      <alignment horizontal="center" vertical="center" wrapText="1"/>
    </xf>
    <xf numFmtId="14" fontId="54" fillId="7" borderId="179" xfId="22" applyNumberFormat="1" applyFont="1" applyFill="1" applyBorder="1" applyAlignment="1">
      <alignment horizontal="center" vertical="center" wrapText="1"/>
    </xf>
    <xf numFmtId="14" fontId="54" fillId="0" borderId="187" xfId="22" applyNumberFormat="1" applyFont="1" applyBorder="1" applyAlignment="1">
      <alignment horizontal="center" vertical="center" wrapText="1"/>
    </xf>
    <xf numFmtId="0" fontId="20" fillId="0" borderId="182" xfId="22" applyFont="1" applyBorder="1" applyAlignment="1">
      <alignment horizontal="center" vertical="center" wrapText="1"/>
    </xf>
    <xf numFmtId="43" fontId="54" fillId="3" borderId="179" xfId="23" applyFont="1" applyFill="1" applyBorder="1" applyAlignment="1">
      <alignment horizontal="center" vertical="center" wrapText="1"/>
    </xf>
    <xf numFmtId="14" fontId="54" fillId="7" borderId="179" xfId="22" applyNumberFormat="1" applyFont="1" applyFill="1" applyBorder="1" applyAlignment="1">
      <alignment horizontal="center" vertical="center" wrapText="1"/>
    </xf>
    <xf numFmtId="0" fontId="20" fillId="0" borderId="181" xfId="22" applyFont="1" applyBorder="1" applyAlignment="1">
      <alignment horizontal="center" vertical="center" wrapText="1"/>
    </xf>
    <xf numFmtId="14" fontId="54" fillId="0" borderId="188" xfId="22" applyNumberFormat="1" applyFont="1" applyBorder="1" applyAlignment="1">
      <alignment horizontal="center" vertical="center" wrapText="1"/>
    </xf>
    <xf numFmtId="14" fontId="54" fillId="0" borderId="180" xfId="22" applyNumberFormat="1" applyFont="1" applyBorder="1" applyAlignment="1">
      <alignment horizontal="center" vertical="center" wrapText="1"/>
    </xf>
    <xf numFmtId="14" fontId="54" fillId="0" borderId="189" xfId="22" applyNumberFormat="1" applyFont="1" applyBorder="1" applyAlignment="1">
      <alignment horizontal="center" vertical="center" wrapText="1"/>
    </xf>
    <xf numFmtId="14" fontId="54" fillId="0" borderId="190" xfId="22" applyNumberFormat="1" applyFont="1" applyBorder="1" applyAlignment="1">
      <alignment horizontal="center" vertical="center" wrapText="1"/>
    </xf>
    <xf numFmtId="14" fontId="54" fillId="0" borderId="180" xfId="22" applyNumberFormat="1" applyFont="1" applyBorder="1" applyAlignment="1">
      <alignment horizontal="center" vertical="center" wrapText="1"/>
    </xf>
    <xf numFmtId="14" fontId="54" fillId="0" borderId="189" xfId="22" applyNumberFormat="1" applyFont="1" applyBorder="1" applyAlignment="1">
      <alignment horizontal="center" vertical="center" wrapText="1"/>
    </xf>
    <xf numFmtId="0" fontId="54" fillId="0" borderId="180" xfId="22" applyFont="1" applyBorder="1" applyAlignment="1">
      <alignment horizontal="center" vertical="center" wrapText="1"/>
    </xf>
    <xf numFmtId="14" fontId="54" fillId="0" borderId="179" xfId="22" applyNumberFormat="1" applyFont="1" applyBorder="1" applyAlignment="1">
      <alignment horizontal="center" vertical="center" wrapText="1"/>
    </xf>
    <xf numFmtId="14" fontId="54" fillId="0" borderId="191" xfId="22" applyNumberFormat="1" applyFont="1" applyBorder="1" applyAlignment="1">
      <alignment horizontal="center" vertical="center" wrapText="1"/>
    </xf>
    <xf numFmtId="14" fontId="54" fillId="0" borderId="181" xfId="22" applyNumberFormat="1" applyFont="1" applyBorder="1" applyAlignment="1">
      <alignment horizontal="center" vertical="center" wrapText="1"/>
    </xf>
    <xf numFmtId="14" fontId="54" fillId="0" borderId="185" xfId="22" applyNumberFormat="1" applyFont="1" applyBorder="1" applyAlignment="1">
      <alignment horizontal="center" vertical="center" wrapText="1"/>
    </xf>
    <xf numFmtId="14" fontId="54" fillId="7" borderId="186" xfId="22" applyNumberFormat="1" applyFont="1" applyFill="1" applyBorder="1" applyAlignment="1">
      <alignment horizontal="center" vertical="center" wrapText="1"/>
    </xf>
    <xf numFmtId="14" fontId="54" fillId="7" borderId="187" xfId="22" applyNumberFormat="1" applyFont="1" applyFill="1" applyBorder="1" applyAlignment="1">
      <alignment horizontal="center" vertical="center" wrapText="1"/>
    </xf>
    <xf numFmtId="10" fontId="54" fillId="0" borderId="179" xfId="22" applyNumberFormat="1" applyFont="1" applyBorder="1" applyAlignment="1">
      <alignment horizontal="center" vertical="center" wrapText="1"/>
    </xf>
    <xf numFmtId="0" fontId="20" fillId="0" borderId="179" xfId="22" applyFont="1" applyBorder="1" applyAlignment="1">
      <alignment horizontal="center" vertical="center" wrapText="1"/>
    </xf>
    <xf numFmtId="43" fontId="54" fillId="0" borderId="179" xfId="23" applyFont="1" applyFill="1" applyBorder="1" applyAlignment="1">
      <alignment horizontal="center" vertical="center" wrapText="1"/>
    </xf>
    <xf numFmtId="14" fontId="54" fillId="0" borderId="182" xfId="22" applyNumberFormat="1" applyFont="1" applyBorder="1" applyAlignment="1">
      <alignment horizontal="center" vertical="center" wrapText="1"/>
    </xf>
    <xf numFmtId="14" fontId="282" fillId="7" borderId="186" xfId="22" applyNumberFormat="1" applyFont="1" applyFill="1" applyBorder="1" applyAlignment="1">
      <alignment horizontal="center" vertical="center" wrapText="1"/>
    </xf>
    <xf numFmtId="14" fontId="282" fillId="7" borderId="179" xfId="22" applyNumberFormat="1" applyFont="1" applyFill="1" applyBorder="1" applyAlignment="1">
      <alignment horizontal="center" vertical="center" wrapText="1"/>
    </xf>
    <xf numFmtId="14" fontId="54" fillId="7" borderId="187" xfId="22" applyNumberFormat="1" applyFont="1" applyFill="1" applyBorder="1" applyAlignment="1">
      <alignment horizontal="center" vertical="center" wrapText="1"/>
    </xf>
    <xf numFmtId="0" fontId="54" fillId="7" borderId="186" xfId="23" applyNumberFormat="1" applyFont="1" applyFill="1" applyBorder="1" applyAlignment="1">
      <alignment horizontal="center" vertical="center" wrapText="1"/>
    </xf>
    <xf numFmtId="14" fontId="54" fillId="7" borderId="180" xfId="22" applyNumberFormat="1" applyFont="1" applyFill="1" applyBorder="1" applyAlignment="1">
      <alignment horizontal="center" vertical="center" wrapText="1"/>
    </xf>
    <xf numFmtId="0" fontId="20" fillId="5" borderId="179" xfId="22" applyFont="1" applyFill="1" applyBorder="1" applyAlignment="1">
      <alignment horizontal="center" vertical="center" wrapText="1"/>
    </xf>
    <xf numFmtId="14" fontId="54" fillId="7" borderId="182" xfId="22" applyNumberFormat="1" applyFont="1" applyFill="1" applyBorder="1" applyAlignment="1">
      <alignment horizontal="center" vertical="center" wrapText="1"/>
    </xf>
    <xf numFmtId="0" fontId="54" fillId="3" borderId="179" xfId="10" applyFont="1" applyFill="1" applyBorder="1" applyAlignment="1">
      <alignment horizontal="center" vertical="center" wrapText="1"/>
    </xf>
    <xf numFmtId="43" fontId="54" fillId="3" borderId="179" xfId="10" applyNumberFormat="1" applyFont="1" applyFill="1" applyBorder="1" applyAlignment="1">
      <alignment horizontal="center" vertical="center" wrapText="1"/>
    </xf>
    <xf numFmtId="43" fontId="54" fillId="3" borderId="179" xfId="22" applyNumberFormat="1" applyFont="1" applyFill="1" applyBorder="1" applyAlignment="1">
      <alignment horizontal="center" vertical="center" wrapText="1"/>
    </xf>
    <xf numFmtId="14" fontId="54" fillId="7" borderId="181" xfId="22" applyNumberFormat="1" applyFont="1" applyFill="1" applyBorder="1" applyAlignment="1">
      <alignment horizontal="center" vertical="center" wrapText="1"/>
    </xf>
    <xf numFmtId="0" fontId="54" fillId="0" borderId="186" xfId="23" applyNumberFormat="1" applyFont="1" applyFill="1" applyBorder="1" applyAlignment="1">
      <alignment horizontal="center" vertical="center" wrapText="1"/>
    </xf>
    <xf numFmtId="0" fontId="54" fillId="3" borderId="179" xfId="22" applyFont="1" applyFill="1" applyBorder="1" applyAlignment="1">
      <alignment horizontal="center" vertical="center" wrapText="1"/>
    </xf>
    <xf numFmtId="0" fontId="54" fillId="5" borderId="186" xfId="23" applyNumberFormat="1" applyFont="1" applyFill="1" applyBorder="1" applyAlignment="1">
      <alignment horizontal="center" vertical="center" wrapText="1"/>
    </xf>
    <xf numFmtId="0" fontId="54" fillId="3" borderId="179" xfId="22" applyFont="1" applyFill="1" applyBorder="1" applyAlignment="1">
      <alignment horizontal="center" vertical="center" wrapText="1"/>
    </xf>
    <xf numFmtId="43" fontId="54" fillId="3" borderId="179" xfId="22" applyNumberFormat="1" applyFont="1" applyFill="1" applyBorder="1" applyAlignment="1">
      <alignment horizontal="center" vertical="center" wrapText="1"/>
    </xf>
    <xf numFmtId="14" fontId="54" fillId="7" borderId="190" xfId="22" applyNumberFormat="1" applyFont="1" applyFill="1" applyBorder="1" applyAlignment="1">
      <alignment horizontal="center" vertical="center" wrapText="1"/>
    </xf>
    <xf numFmtId="0" fontId="54" fillId="3" borderId="180" xfId="22" applyFont="1" applyFill="1" applyBorder="1" applyAlignment="1">
      <alignment horizontal="center" vertical="center" wrapText="1"/>
    </xf>
    <xf numFmtId="14" fontId="54" fillId="7" borderId="189" xfId="22" applyNumberFormat="1" applyFont="1" applyFill="1" applyBorder="1" applyAlignment="1">
      <alignment horizontal="center" vertical="center" wrapText="1"/>
    </xf>
    <xf numFmtId="0" fontId="54" fillId="5" borderId="190" xfId="23" applyNumberFormat="1" applyFont="1" applyFill="1" applyBorder="1" applyAlignment="1">
      <alignment horizontal="center" vertical="center" wrapText="1"/>
    </xf>
    <xf numFmtId="0" fontId="20" fillId="7" borderId="180" xfId="22" applyFont="1" applyFill="1" applyBorder="1" applyAlignment="1">
      <alignment horizontal="center" vertical="center" wrapText="1"/>
    </xf>
    <xf numFmtId="43" fontId="54" fillId="3" borderId="181" xfId="22" applyNumberFormat="1" applyFont="1" applyFill="1" applyBorder="1" applyAlignment="1">
      <alignment horizontal="center" vertical="center" wrapText="1"/>
    </xf>
    <xf numFmtId="14" fontId="54" fillId="7" borderId="192" xfId="22" applyNumberFormat="1" applyFont="1" applyFill="1" applyBorder="1" applyAlignment="1">
      <alignment horizontal="center" vertical="center" wrapText="1"/>
    </xf>
    <xf numFmtId="0" fontId="54" fillId="3" borderId="182" xfId="22" applyFont="1" applyFill="1" applyBorder="1" applyAlignment="1">
      <alignment horizontal="center" vertical="center" wrapText="1"/>
    </xf>
    <xf numFmtId="14" fontId="54" fillId="7" borderId="193" xfId="22" applyNumberFormat="1" applyFont="1" applyFill="1" applyBorder="1" applyAlignment="1">
      <alignment horizontal="center" vertical="center" wrapText="1"/>
    </xf>
    <xf numFmtId="0" fontId="54" fillId="5" borderId="192" xfId="23" applyNumberFormat="1" applyFont="1" applyFill="1" applyBorder="1" applyAlignment="1">
      <alignment horizontal="center" vertical="center" wrapText="1"/>
    </xf>
    <xf numFmtId="0" fontId="20" fillId="7" borderId="182" xfId="22" applyFont="1" applyFill="1" applyBorder="1" applyAlignment="1">
      <alignment horizontal="center" vertical="center" wrapText="1"/>
    </xf>
    <xf numFmtId="14" fontId="54" fillId="7" borderId="191" xfId="22" applyNumberFormat="1" applyFont="1" applyFill="1" applyBorder="1" applyAlignment="1">
      <alignment horizontal="center" vertical="center" wrapText="1"/>
    </xf>
    <xf numFmtId="0" fontId="54" fillId="3" borderId="181" xfId="22" applyFont="1" applyFill="1" applyBorder="1" applyAlignment="1">
      <alignment horizontal="center" vertical="center" wrapText="1"/>
    </xf>
    <xf numFmtId="14" fontId="54" fillId="7" borderId="185" xfId="22" applyNumberFormat="1" applyFont="1" applyFill="1" applyBorder="1" applyAlignment="1">
      <alignment horizontal="center" vertical="center" wrapText="1"/>
    </xf>
    <xf numFmtId="0" fontId="54" fillId="5" borderId="191" xfId="23" applyNumberFormat="1" applyFont="1" applyFill="1" applyBorder="1" applyAlignment="1">
      <alignment horizontal="center" vertical="center" wrapText="1"/>
    </xf>
    <xf numFmtId="0" fontId="20" fillId="7" borderId="181" xfId="22" applyFont="1" applyFill="1" applyBorder="1" applyAlignment="1">
      <alignment horizontal="center" vertical="center" wrapText="1"/>
    </xf>
    <xf numFmtId="14" fontId="54" fillId="0" borderId="186" xfId="22" applyNumberFormat="1" applyFont="1" applyBorder="1" applyAlignment="1">
      <alignment horizontal="center" vertical="center" wrapText="1"/>
    </xf>
    <xf numFmtId="14" fontId="54" fillId="0" borderId="187" xfId="22" applyNumberFormat="1" applyFont="1" applyBorder="1" applyAlignment="1">
      <alignment horizontal="center" vertical="center" wrapText="1"/>
    </xf>
    <xf numFmtId="0" fontId="54" fillId="0" borderId="188" xfId="22" applyFont="1" applyBorder="1" applyAlignment="1">
      <alignment horizontal="center" vertical="center" wrapText="1"/>
    </xf>
    <xf numFmtId="0" fontId="283" fillId="0" borderId="179" xfId="22" applyFont="1" applyBorder="1" applyAlignment="1">
      <alignment horizontal="center" vertical="center" wrapText="1"/>
    </xf>
    <xf numFmtId="176" fontId="54" fillId="0" borderId="180" xfId="22" applyNumberFormat="1" applyFont="1" applyBorder="1" applyAlignment="1">
      <alignment horizontal="center" vertical="center" wrapText="1"/>
    </xf>
    <xf numFmtId="0" fontId="54" fillId="0" borderId="190" xfId="23" applyNumberFormat="1" applyFont="1" applyFill="1" applyBorder="1" applyAlignment="1">
      <alignment horizontal="center" vertical="center" wrapText="1"/>
    </xf>
    <xf numFmtId="176" fontId="54" fillId="0" borderId="182" xfId="22" applyNumberFormat="1" applyFont="1" applyBorder="1" applyAlignment="1">
      <alignment horizontal="center" vertical="center" wrapText="1"/>
    </xf>
    <xf numFmtId="14" fontId="54" fillId="0" borderId="193" xfId="22" applyNumberFormat="1" applyFont="1" applyBorder="1" applyAlignment="1">
      <alignment horizontal="center" vertical="center" wrapText="1"/>
    </xf>
    <xf numFmtId="0" fontId="54" fillId="0" borderId="192" xfId="23" applyNumberFormat="1" applyFont="1" applyFill="1" applyBorder="1" applyAlignment="1">
      <alignment horizontal="center" vertical="center" wrapText="1"/>
    </xf>
    <xf numFmtId="43" fontId="20" fillId="0" borderId="179" xfId="23" applyFont="1" applyFill="1" applyBorder="1" applyAlignment="1">
      <alignment horizontal="center" vertical="center" wrapText="1"/>
    </xf>
    <xf numFmtId="0" fontId="54" fillId="0" borderId="191" xfId="23" applyNumberFormat="1" applyFont="1" applyFill="1" applyBorder="1" applyAlignment="1">
      <alignment horizontal="center" vertical="center" wrapText="1"/>
    </xf>
    <xf numFmtId="0" fontId="54" fillId="0" borderId="194" xfId="22" applyFont="1" applyBorder="1" applyAlignment="1">
      <alignment horizontal="center" vertical="center" wrapText="1"/>
    </xf>
    <xf numFmtId="185" fontId="54" fillId="3" borderId="180" xfId="22" applyNumberFormat="1" applyFont="1" applyFill="1" applyBorder="1" applyAlignment="1">
      <alignment horizontal="center" vertical="center" wrapText="1"/>
    </xf>
    <xf numFmtId="185" fontId="54" fillId="3" borderId="181" xfId="22" applyNumberFormat="1" applyFont="1" applyFill="1" applyBorder="1" applyAlignment="1">
      <alignment horizontal="center" vertical="center" wrapText="1"/>
    </xf>
    <xf numFmtId="0" fontId="54" fillId="5" borderId="190" xfId="22" applyFont="1" applyFill="1" applyBorder="1" applyAlignment="1">
      <alignment horizontal="center" vertical="center" wrapText="1"/>
    </xf>
    <xf numFmtId="0" fontId="54" fillId="5" borderId="192" xfId="22" applyFont="1" applyFill="1" applyBorder="1" applyAlignment="1">
      <alignment horizontal="center" vertical="center" wrapText="1"/>
    </xf>
    <xf numFmtId="0" fontId="54" fillId="5" borderId="191" xfId="22" applyFont="1" applyFill="1" applyBorder="1" applyAlignment="1">
      <alignment horizontal="center" vertical="center" wrapText="1"/>
    </xf>
    <xf numFmtId="0" fontId="54" fillId="0" borderId="195" xfId="22" applyFont="1" applyBorder="1" applyAlignment="1">
      <alignment horizontal="center" vertical="center" wrapText="1"/>
    </xf>
    <xf numFmtId="0" fontId="54" fillId="0" borderId="196" xfId="22" applyFont="1" applyBorder="1" applyAlignment="1">
      <alignment horizontal="center" vertical="center" wrapText="1"/>
    </xf>
    <xf numFmtId="14" fontId="54" fillId="0" borderId="186" xfId="22" applyNumberFormat="1" applyFont="1" applyBorder="1" applyAlignment="1">
      <alignment horizontal="center" vertical="center" wrapText="1"/>
    </xf>
    <xf numFmtId="14" fontId="54" fillId="0" borderId="179" xfId="22" applyNumberFormat="1" applyFont="1" applyBorder="1" applyAlignment="1">
      <alignment horizontal="center" vertical="center" wrapText="1"/>
    </xf>
    <xf numFmtId="0" fontId="54" fillId="0" borderId="179" xfId="22" applyFont="1" applyBorder="1" applyAlignment="1">
      <alignment horizontal="center" vertical="center" wrapText="1"/>
    </xf>
    <xf numFmtId="43" fontId="54" fillId="3" borderId="180" xfId="22" applyNumberFormat="1" applyFont="1" applyFill="1" applyBorder="1" applyAlignment="1">
      <alignment horizontal="center" vertical="center" wrapText="1"/>
    </xf>
    <xf numFmtId="0" fontId="54" fillId="0" borderId="197" xfId="22" applyFont="1" applyBorder="1" applyAlignment="1">
      <alignment horizontal="center" vertical="center" wrapText="1"/>
    </xf>
    <xf numFmtId="43" fontId="54" fillId="3" borderId="182" xfId="22" applyNumberFormat="1" applyFont="1" applyFill="1" applyBorder="1" applyAlignment="1">
      <alignment horizontal="center" vertical="center" wrapText="1"/>
    </xf>
    <xf numFmtId="49" fontId="54" fillId="3" borderId="180" xfId="22" applyNumberFormat="1" applyFont="1" applyFill="1" applyBorder="1" applyAlignment="1">
      <alignment horizontal="center" vertical="center" wrapText="1"/>
    </xf>
    <xf numFmtId="0" fontId="20" fillId="0" borderId="180" xfId="22" applyFont="1" applyBorder="1" applyAlignment="1">
      <alignment horizontal="center" vertical="center" wrapText="1"/>
    </xf>
    <xf numFmtId="49" fontId="54" fillId="3" borderId="180" xfId="22" applyNumberFormat="1" applyFont="1" applyFill="1" applyBorder="1" applyAlignment="1">
      <alignment horizontal="center" vertical="center" wrapText="1"/>
    </xf>
    <xf numFmtId="49" fontId="54" fillId="3" borderId="181" xfId="22" applyNumberFormat="1" applyFont="1" applyFill="1" applyBorder="1" applyAlignment="1">
      <alignment horizontal="center" vertical="center" wrapText="1"/>
    </xf>
    <xf numFmtId="43" fontId="54" fillId="3" borderId="181" xfId="22" applyNumberFormat="1" applyFont="1" applyFill="1" applyBorder="1" applyAlignment="1">
      <alignment horizontal="center" vertical="center" wrapText="1"/>
    </xf>
    <xf numFmtId="14" fontId="54" fillId="7" borderId="198" xfId="22" applyNumberFormat="1" applyFont="1" applyFill="1" applyBorder="1" applyAlignment="1">
      <alignment horizontal="center" vertical="center" wrapText="1"/>
    </xf>
    <xf numFmtId="0" fontId="54" fillId="0" borderId="188" xfId="23" applyNumberFormat="1" applyFont="1" applyFill="1" applyBorder="1" applyAlignment="1">
      <alignment horizontal="center" vertical="center" wrapText="1"/>
    </xf>
    <xf numFmtId="0" fontId="54" fillId="7" borderId="180" xfId="22" applyFont="1" applyFill="1" applyBorder="1" applyAlignment="1">
      <alignment horizontal="center" vertical="center" wrapText="1"/>
    </xf>
    <xf numFmtId="10" fontId="54" fillId="3" borderId="179" xfId="10" applyNumberFormat="1" applyFont="1" applyFill="1" applyBorder="1" applyAlignment="1">
      <alignment horizontal="center" vertical="center" wrapText="1"/>
    </xf>
    <xf numFmtId="14" fontId="54" fillId="3" borderId="179" xfId="10" applyNumberFormat="1" applyFont="1" applyFill="1" applyBorder="1" applyAlignment="1">
      <alignment horizontal="center" vertical="center" wrapText="1"/>
    </xf>
    <xf numFmtId="14" fontId="54" fillId="3" borderId="186" xfId="22" applyNumberFormat="1" applyFont="1" applyFill="1" applyBorder="1" applyAlignment="1">
      <alignment horizontal="center" vertical="center" wrapText="1"/>
    </xf>
    <xf numFmtId="14" fontId="54" fillId="3" borderId="179" xfId="22" applyNumberFormat="1" applyFont="1" applyFill="1" applyBorder="1" applyAlignment="1">
      <alignment horizontal="center" vertical="center" wrapText="1"/>
    </xf>
    <xf numFmtId="0" fontId="54" fillId="3" borderId="180" xfId="10" applyFont="1" applyFill="1" applyBorder="1" applyAlignment="1">
      <alignment horizontal="center" vertical="center" wrapText="1"/>
    </xf>
    <xf numFmtId="14" fontId="54" fillId="3" borderId="187" xfId="10" applyNumberFormat="1" applyFont="1" applyFill="1" applyBorder="1" applyAlignment="1">
      <alignment horizontal="center" vertical="center" wrapText="1"/>
    </xf>
    <xf numFmtId="10" fontId="54" fillId="5" borderId="179" xfId="10" applyNumberFormat="1" applyFont="1" applyFill="1" applyBorder="1" applyAlignment="1">
      <alignment horizontal="center" vertical="center" wrapText="1"/>
    </xf>
    <xf numFmtId="0" fontId="54" fillId="5" borderId="179" xfId="10" applyFont="1" applyFill="1" applyBorder="1" applyAlignment="1">
      <alignment horizontal="center" vertical="center" wrapText="1"/>
    </xf>
    <xf numFmtId="14" fontId="54" fillId="5" borderId="179" xfId="10" applyNumberFormat="1" applyFont="1" applyFill="1" applyBorder="1" applyAlignment="1">
      <alignment horizontal="center" vertical="center" wrapText="1"/>
    </xf>
    <xf numFmtId="43" fontId="54" fillId="5" borderId="179" xfId="10" applyNumberFormat="1" applyFont="1" applyFill="1" applyBorder="1" applyAlignment="1">
      <alignment horizontal="center" vertical="center" wrapText="1"/>
    </xf>
    <xf numFmtId="0" fontId="54" fillId="0" borderId="179" xfId="10" applyFont="1" applyBorder="1" applyAlignment="1">
      <alignment horizontal="center" vertical="center" wrapText="1"/>
    </xf>
    <xf numFmtId="14" fontId="54" fillId="0" borderId="179" xfId="10" applyNumberFormat="1" applyFont="1" applyBorder="1" applyAlignment="1">
      <alignment horizontal="center" vertical="center" wrapText="1"/>
    </xf>
    <xf numFmtId="43" fontId="54" fillId="0" borderId="179" xfId="10" applyNumberFormat="1" applyFont="1" applyBorder="1" applyAlignment="1">
      <alignment horizontal="center" vertical="center" wrapText="1"/>
    </xf>
    <xf numFmtId="14" fontId="54" fillId="3" borderId="186" xfId="22" applyNumberFormat="1" applyFont="1" applyFill="1" applyBorder="1" applyAlignment="1">
      <alignment horizontal="center" vertical="center" wrapText="1"/>
    </xf>
    <xf numFmtId="14" fontId="54" fillId="3" borderId="179" xfId="22" applyNumberFormat="1" applyFont="1" applyFill="1" applyBorder="1" applyAlignment="1">
      <alignment horizontal="center" vertical="center" wrapText="1"/>
    </xf>
    <xf numFmtId="14" fontId="54" fillId="3" borderId="179" xfId="10" applyNumberFormat="1" applyFont="1" applyFill="1" applyBorder="1" applyAlignment="1">
      <alignment horizontal="center" vertical="center" wrapText="1"/>
    </xf>
    <xf numFmtId="0" fontId="54" fillId="3" borderId="180" xfId="10" applyFont="1" applyFill="1" applyBorder="1" applyAlignment="1">
      <alignment horizontal="center" vertical="center" wrapText="1"/>
    </xf>
    <xf numFmtId="14" fontId="54" fillId="3" borderId="187" xfId="10" applyNumberFormat="1" applyFont="1" applyFill="1" applyBorder="1" applyAlignment="1">
      <alignment horizontal="center" vertical="center" wrapText="1"/>
    </xf>
    <xf numFmtId="0" fontId="54" fillId="3" borderId="182" xfId="10" applyFont="1" applyFill="1" applyBorder="1" applyAlignment="1">
      <alignment horizontal="center" vertical="center" wrapText="1"/>
    </xf>
    <xf numFmtId="0" fontId="54" fillId="3" borderId="181" xfId="10" applyFont="1" applyFill="1" applyBorder="1" applyAlignment="1">
      <alignment horizontal="center" vertical="center" wrapText="1"/>
    </xf>
    <xf numFmtId="14" fontId="54" fillId="3" borderId="187" xfId="22" applyNumberFormat="1" applyFont="1" applyFill="1" applyBorder="1" applyAlignment="1">
      <alignment horizontal="center" vertical="center" wrapText="1"/>
    </xf>
    <xf numFmtId="0" fontId="54" fillId="30" borderId="190" xfId="23" applyNumberFormat="1" applyFont="1" applyFill="1" applyBorder="1" applyAlignment="1">
      <alignment horizontal="center" vertical="center" wrapText="1"/>
    </xf>
    <xf numFmtId="0" fontId="54" fillId="30" borderId="192" xfId="23" applyNumberFormat="1" applyFont="1" applyFill="1" applyBorder="1" applyAlignment="1">
      <alignment horizontal="center" vertical="center" wrapText="1"/>
    </xf>
    <xf numFmtId="10" fontId="54" fillId="3" borderId="179" xfId="22" applyNumberFormat="1" applyFont="1" applyFill="1" applyBorder="1" applyAlignment="1">
      <alignment horizontal="center" vertical="center" wrapText="1"/>
    </xf>
    <xf numFmtId="14" fontId="54" fillId="3" borderId="187" xfId="22" applyNumberFormat="1" applyFont="1" applyFill="1" applyBorder="1" applyAlignment="1">
      <alignment horizontal="center" vertical="center" wrapText="1"/>
    </xf>
    <xf numFmtId="14" fontId="54" fillId="8" borderId="179" xfId="22" applyNumberFormat="1" applyFont="1" applyFill="1" applyBorder="1" applyAlignment="1">
      <alignment horizontal="center" vertical="center" wrapText="1"/>
    </xf>
    <xf numFmtId="0" fontId="54" fillId="30" borderId="191" xfId="23" applyNumberFormat="1" applyFont="1" applyFill="1" applyBorder="1" applyAlignment="1">
      <alignment horizontal="center" vertical="center" wrapText="1"/>
    </xf>
    <xf numFmtId="14" fontId="54" fillId="3" borderId="179" xfId="22" applyNumberFormat="1" applyFont="1" applyFill="1" applyBorder="1" applyAlignment="1">
      <alignment vertical="center" wrapText="1"/>
    </xf>
    <xf numFmtId="0" fontId="54" fillId="3" borderId="186" xfId="22" applyFont="1" applyFill="1" applyBorder="1" applyAlignment="1">
      <alignment horizontal="center" vertical="center" wrapText="1"/>
    </xf>
    <xf numFmtId="0" fontId="54" fillId="3" borderId="186" xfId="22" applyFont="1" applyFill="1" applyBorder="1" applyAlignment="1">
      <alignment horizontal="center" vertical="center" wrapText="1"/>
    </xf>
    <xf numFmtId="14" fontId="48" fillId="3" borderId="186" xfId="22" applyNumberFormat="1" applyFont="1" applyFill="1" applyBorder="1" applyAlignment="1">
      <alignment horizontal="center" vertical="center" wrapText="1"/>
    </xf>
    <xf numFmtId="14" fontId="48" fillId="3" borderId="179" xfId="22" applyNumberFormat="1" applyFont="1" applyFill="1" applyBorder="1" applyAlignment="1">
      <alignment horizontal="center" vertical="center" wrapText="1"/>
    </xf>
    <xf numFmtId="179" fontId="54" fillId="3" borderId="179" xfId="22" applyNumberFormat="1" applyFont="1" applyFill="1" applyBorder="1" applyAlignment="1">
      <alignment horizontal="center" vertical="center" wrapText="1"/>
    </xf>
    <xf numFmtId="14" fontId="54" fillId="0" borderId="187" xfId="22" applyNumberFormat="1" applyFont="1" applyBorder="1" applyAlignment="1">
      <alignment vertical="center" wrapText="1"/>
    </xf>
    <xf numFmtId="14" fontId="48" fillId="0" borderId="186" xfId="22" applyNumberFormat="1" applyFont="1" applyBorder="1" applyAlignment="1">
      <alignment horizontal="center" vertical="center" wrapText="1"/>
    </xf>
    <xf numFmtId="14" fontId="48" fillId="0" borderId="179" xfId="22" applyNumberFormat="1" applyFont="1" applyBorder="1" applyAlignment="1">
      <alignment horizontal="center" vertical="center" wrapText="1"/>
    </xf>
    <xf numFmtId="0" fontId="282" fillId="0" borderId="180" xfId="22" applyFont="1" applyBorder="1" applyAlignment="1">
      <alignment horizontal="center" vertical="center" wrapText="1"/>
    </xf>
    <xf numFmtId="0" fontId="282" fillId="0" borderId="182" xfId="22" applyFont="1" applyBorder="1" applyAlignment="1">
      <alignment horizontal="center" vertical="center" wrapText="1"/>
    </xf>
    <xf numFmtId="14" fontId="48" fillId="0" borderId="186" xfId="22" applyNumberFormat="1" applyFont="1" applyBorder="1" applyAlignment="1">
      <alignment horizontal="center" vertical="center" wrapText="1"/>
    </xf>
    <xf numFmtId="14" fontId="48" fillId="0" borderId="179" xfId="22" applyNumberFormat="1" applyFont="1" applyBorder="1" applyAlignment="1">
      <alignment horizontal="center" vertical="center" wrapText="1"/>
    </xf>
    <xf numFmtId="0" fontId="282" fillId="0" borderId="181" xfId="22" applyFont="1" applyBorder="1" applyAlignment="1">
      <alignment horizontal="center" vertical="center" wrapText="1"/>
    </xf>
    <xf numFmtId="0" fontId="54" fillId="0" borderId="186" xfId="22" applyFont="1" applyBorder="1" applyAlignment="1">
      <alignment horizontal="center" vertical="center" wrapText="1"/>
    </xf>
    <xf numFmtId="0" fontId="54" fillId="0" borderId="186" xfId="22" applyFont="1" applyBorder="1" applyAlignment="1">
      <alignment horizontal="center" vertical="center" wrapText="1"/>
    </xf>
    <xf numFmtId="0" fontId="54" fillId="0" borderId="180" xfId="22" applyFont="1" applyBorder="1" applyAlignment="1">
      <alignment horizontal="center" vertical="center"/>
    </xf>
    <xf numFmtId="0" fontId="54" fillId="0" borderId="182" xfId="22" applyFont="1" applyBorder="1" applyAlignment="1">
      <alignment horizontal="center" vertical="center"/>
    </xf>
    <xf numFmtId="14" fontId="54" fillId="0" borderId="181" xfId="22" applyNumberFormat="1" applyFont="1" applyBorder="1" applyAlignment="1">
      <alignment horizontal="center" vertical="center"/>
    </xf>
    <xf numFmtId="0" fontId="54" fillId="0" borderId="181" xfId="22" applyFont="1" applyBorder="1" applyAlignment="1">
      <alignment horizontal="center" vertical="center"/>
    </xf>
    <xf numFmtId="0" fontId="54" fillId="0" borderId="187" xfId="22" applyFont="1" applyBorder="1" applyAlignment="1">
      <alignment horizontal="center" vertical="center" wrapText="1"/>
    </xf>
    <xf numFmtId="10" fontId="54" fillId="5" borderId="179" xfId="24" applyNumberFormat="1" applyFont="1" applyFill="1" applyBorder="1" applyAlignment="1">
      <alignment horizontal="center" vertical="center" wrapText="1"/>
    </xf>
    <xf numFmtId="43" fontId="20" fillId="5" borderId="179" xfId="22" applyNumberFormat="1" applyFont="1" applyFill="1" applyBorder="1" applyAlignment="1">
      <alignment horizontal="center" vertical="center" wrapText="1"/>
    </xf>
    <xf numFmtId="0" fontId="54" fillId="0" borderId="190" xfId="22" applyFont="1" applyBorder="1" applyAlignment="1">
      <alignment horizontal="center" vertical="center" wrapText="1"/>
    </xf>
    <xf numFmtId="10" fontId="54" fillId="0" borderId="179" xfId="24" applyNumberFormat="1" applyFont="1" applyFill="1" applyBorder="1" applyAlignment="1">
      <alignment horizontal="center" vertical="center" wrapText="1"/>
    </xf>
    <xf numFmtId="43" fontId="20" fillId="0" borderId="179" xfId="22" applyNumberFormat="1" applyFont="1" applyBorder="1" applyAlignment="1">
      <alignment horizontal="center" vertical="center" wrapText="1"/>
    </xf>
    <xf numFmtId="0" fontId="54" fillId="0" borderId="192" xfId="22" applyFont="1" applyBorder="1" applyAlignment="1">
      <alignment horizontal="center" vertical="center" wrapText="1"/>
    </xf>
    <xf numFmtId="0" fontId="54" fillId="0" borderId="191" xfId="22" applyFont="1" applyBorder="1" applyAlignment="1">
      <alignment horizontal="center" vertical="center" wrapText="1"/>
    </xf>
    <xf numFmtId="43" fontId="54" fillId="0" borderId="181" xfId="22" applyNumberFormat="1" applyFont="1" applyBorder="1" applyAlignment="1">
      <alignment horizontal="center" vertical="center" wrapText="1"/>
    </xf>
    <xf numFmtId="14" fontId="54" fillId="3" borderId="180" xfId="22" applyNumberFormat="1" applyFont="1" applyFill="1" applyBorder="1" applyAlignment="1">
      <alignment horizontal="center" vertical="center" wrapText="1"/>
    </xf>
    <xf numFmtId="14" fontId="54" fillId="3" borderId="189" xfId="22" applyNumberFormat="1" applyFont="1" applyFill="1" applyBorder="1" applyAlignment="1">
      <alignment horizontal="center" vertical="center" wrapText="1"/>
    </xf>
    <xf numFmtId="185" fontId="54" fillId="3" borderId="180" xfId="23" applyNumberFormat="1" applyFont="1" applyFill="1" applyBorder="1" applyAlignment="1">
      <alignment horizontal="center" vertical="center" wrapText="1"/>
    </xf>
    <xf numFmtId="0" fontId="54" fillId="3" borderId="190" xfId="22" applyFont="1" applyFill="1" applyBorder="1" applyAlignment="1">
      <alignment horizontal="center" vertical="center" wrapText="1"/>
    </xf>
    <xf numFmtId="14" fontId="54" fillId="3" borderId="182" xfId="22" applyNumberFormat="1" applyFont="1" applyFill="1" applyBorder="1" applyAlignment="1">
      <alignment horizontal="center" vertical="center" wrapText="1"/>
    </xf>
    <xf numFmtId="14" fontId="54" fillId="3" borderId="193" xfId="22" applyNumberFormat="1" applyFont="1" applyFill="1" applyBorder="1" applyAlignment="1">
      <alignment horizontal="center" vertical="center" wrapText="1"/>
    </xf>
    <xf numFmtId="185" fontId="54" fillId="3" borderId="182" xfId="23" applyNumberFormat="1" applyFont="1" applyFill="1" applyBorder="1" applyAlignment="1">
      <alignment horizontal="center" vertical="center" wrapText="1"/>
    </xf>
    <xf numFmtId="0" fontId="54" fillId="3" borderId="192" xfId="22" applyFont="1" applyFill="1" applyBorder="1" applyAlignment="1">
      <alignment horizontal="center" vertical="center" wrapText="1"/>
    </xf>
    <xf numFmtId="43" fontId="20" fillId="5" borderId="179" xfId="23" applyFont="1" applyFill="1" applyBorder="1" applyAlignment="1">
      <alignment horizontal="center" vertical="center" wrapText="1"/>
    </xf>
    <xf numFmtId="14" fontId="54" fillId="3" borderId="181" xfId="22" applyNumberFormat="1" applyFont="1" applyFill="1" applyBorder="1" applyAlignment="1">
      <alignment horizontal="center" vertical="center" wrapText="1"/>
    </xf>
    <xf numFmtId="14" fontId="54" fillId="3" borderId="185" xfId="22" applyNumberFormat="1" applyFont="1" applyFill="1" applyBorder="1" applyAlignment="1">
      <alignment horizontal="center" vertical="center" wrapText="1"/>
    </xf>
    <xf numFmtId="185" fontId="54" fillId="3" borderId="181" xfId="23" applyNumberFormat="1" applyFont="1" applyFill="1" applyBorder="1" applyAlignment="1">
      <alignment horizontal="center" vertical="center" wrapText="1"/>
    </xf>
    <xf numFmtId="0" fontId="54" fillId="3" borderId="191" xfId="22" applyFont="1" applyFill="1" applyBorder="1" applyAlignment="1">
      <alignment horizontal="center" vertical="center" wrapText="1"/>
    </xf>
    <xf numFmtId="43" fontId="54" fillId="0" borderId="198" xfId="23" applyFont="1" applyFill="1" applyBorder="1" applyAlignment="1">
      <alignment horizontal="center" vertical="center" wrapText="1"/>
    </xf>
    <xf numFmtId="43" fontId="54" fillId="0" borderId="199" xfId="23" applyFont="1" applyFill="1" applyBorder="1" applyAlignment="1">
      <alignment horizontal="center" vertical="center" wrapText="1"/>
    </xf>
    <xf numFmtId="10" fontId="20" fillId="5" borderId="179" xfId="22" applyNumberFormat="1" applyFont="1" applyFill="1" applyBorder="1" applyAlignment="1">
      <alignment horizontal="center" vertical="center" wrapText="1"/>
    </xf>
    <xf numFmtId="14" fontId="54" fillId="0" borderId="179" xfId="23" applyNumberFormat="1" applyFont="1" applyFill="1" applyBorder="1" applyAlignment="1">
      <alignment horizontal="center" vertical="center" wrapText="1"/>
    </xf>
    <xf numFmtId="14" fontId="54" fillId="0" borderId="179" xfId="23" applyNumberFormat="1" applyFont="1" applyFill="1" applyBorder="1" applyAlignment="1">
      <alignment horizontal="center" vertical="center" wrapText="1"/>
    </xf>
    <xf numFmtId="14" fontId="20" fillId="0" borderId="181" xfId="22" applyNumberFormat="1" applyFont="1" applyBorder="1" applyAlignment="1">
      <alignment horizontal="center" vertical="center" wrapText="1"/>
    </xf>
    <xf numFmtId="14" fontId="54" fillId="0" borderId="184" xfId="22" applyNumberFormat="1" applyFont="1" applyBorder="1" applyAlignment="1">
      <alignment horizontal="center" vertical="center" wrapText="1"/>
    </xf>
    <xf numFmtId="14" fontId="54" fillId="0" borderId="181" xfId="22" applyNumberFormat="1" applyFont="1" applyBorder="1" applyAlignment="1">
      <alignment horizontal="center" vertical="center" wrapText="1"/>
    </xf>
    <xf numFmtId="0" fontId="54" fillId="0" borderId="181" xfId="22" applyFont="1" applyBorder="1" applyAlignment="1">
      <alignment horizontal="center" vertical="center" wrapText="1"/>
    </xf>
    <xf numFmtId="0" fontId="54" fillId="9" borderId="180" xfId="22" applyFont="1" applyFill="1" applyBorder="1" applyAlignment="1">
      <alignment horizontal="center" vertical="center" wrapText="1"/>
    </xf>
    <xf numFmtId="0" fontId="54" fillId="9" borderId="182" xfId="22" applyFont="1" applyFill="1" applyBorder="1" applyAlignment="1">
      <alignment horizontal="center" vertical="center" wrapText="1"/>
    </xf>
    <xf numFmtId="0" fontId="54" fillId="9" borderId="181" xfId="22" applyFont="1" applyFill="1" applyBorder="1" applyAlignment="1">
      <alignment horizontal="center" vertical="center" wrapText="1"/>
    </xf>
    <xf numFmtId="0" fontId="54" fillId="0" borderId="194" xfId="22" applyFont="1" applyBorder="1" applyAlignment="1">
      <alignment horizontal="center" vertical="center" wrapText="1"/>
    </xf>
    <xf numFmtId="0" fontId="54" fillId="0" borderId="200" xfId="22" applyFont="1" applyBorder="1" applyAlignment="1">
      <alignment horizontal="center" vertical="center" wrapText="1"/>
    </xf>
    <xf numFmtId="0" fontId="54" fillId="0" borderId="201" xfId="22" applyFont="1" applyBorder="1" applyAlignment="1">
      <alignment horizontal="center" vertical="center" wrapText="1"/>
    </xf>
    <xf numFmtId="14" fontId="54" fillId="0" borderId="186" xfId="10" applyNumberFormat="1" applyFont="1" applyBorder="1" applyAlignment="1">
      <alignment horizontal="center" vertical="center" wrapText="1"/>
    </xf>
    <xf numFmtId="14" fontId="54" fillId="0" borderId="187" xfId="10" applyNumberFormat="1" applyFont="1" applyBorder="1" applyAlignment="1">
      <alignment horizontal="center" vertical="center" wrapText="1"/>
    </xf>
    <xf numFmtId="10" fontId="54" fillId="0" borderId="179" xfId="10" applyNumberFormat="1" applyFont="1" applyBorder="1" applyAlignment="1">
      <alignment horizontal="center" vertical="center" wrapText="1"/>
    </xf>
    <xf numFmtId="43" fontId="54" fillId="3" borderId="180" xfId="22" applyNumberFormat="1" applyFont="1" applyFill="1" applyBorder="1" applyAlignment="1">
      <alignment horizontal="center" vertical="center" wrapText="1"/>
    </xf>
    <xf numFmtId="0" fontId="54" fillId="7" borderId="186" xfId="22" applyFont="1" applyFill="1" applyBorder="1" applyAlignment="1">
      <alignment horizontal="center" vertical="center" wrapText="1"/>
    </xf>
    <xf numFmtId="0" fontId="54" fillId="3" borderId="181" xfId="22" applyFont="1" applyFill="1" applyBorder="1" applyAlignment="1">
      <alignment horizontal="center" vertical="center" wrapText="1"/>
    </xf>
    <xf numFmtId="0" fontId="54" fillId="0" borderId="189" xfId="22" applyFont="1" applyBorder="1" applyAlignment="1">
      <alignment horizontal="center" vertical="center" wrapText="1"/>
    </xf>
    <xf numFmtId="0" fontId="54" fillId="0" borderId="193" xfId="22" applyFont="1" applyBorder="1" applyAlignment="1">
      <alignment horizontal="center" vertical="center" wrapText="1"/>
    </xf>
    <xf numFmtId="0" fontId="54" fillId="31" borderId="179" xfId="22" applyFont="1" applyFill="1" applyBorder="1" applyAlignment="1">
      <alignment horizontal="center" vertical="center" wrapText="1"/>
    </xf>
    <xf numFmtId="43" fontId="54" fillId="31" borderId="179" xfId="22" applyNumberFormat="1" applyFont="1" applyFill="1" applyBorder="1" applyAlignment="1">
      <alignment horizontal="center" vertical="center" wrapText="1"/>
    </xf>
    <xf numFmtId="14" fontId="54" fillId="3" borderId="180" xfId="22" applyNumberFormat="1" applyFont="1" applyFill="1" applyBorder="1" applyAlignment="1">
      <alignment horizontal="center" vertical="center" wrapText="1"/>
    </xf>
    <xf numFmtId="14" fontId="20" fillId="0" borderId="180" xfId="22" applyNumberFormat="1" applyFont="1" applyBorder="1" applyAlignment="1">
      <alignment horizontal="center" vertical="center" wrapText="1"/>
    </xf>
    <xf numFmtId="14" fontId="20" fillId="0" borderId="182" xfId="22" applyNumberFormat="1" applyFont="1" applyBorder="1" applyAlignment="1">
      <alignment horizontal="center" vertical="center" wrapText="1"/>
    </xf>
    <xf numFmtId="14" fontId="54" fillId="3" borderId="198" xfId="22" applyNumberFormat="1" applyFont="1" applyFill="1" applyBorder="1" applyAlignment="1">
      <alignment horizontal="center" vertical="center" wrapText="1"/>
    </xf>
    <xf numFmtId="0" fontId="54" fillId="7" borderId="195" xfId="22" applyFont="1" applyFill="1" applyBorder="1" applyAlignment="1">
      <alignment horizontal="center" vertical="center" wrapText="1"/>
    </xf>
    <xf numFmtId="0" fontId="54" fillId="7" borderId="196" xfId="22" applyFont="1" applyFill="1" applyBorder="1" applyAlignment="1">
      <alignment horizontal="center" vertical="center" wrapText="1"/>
    </xf>
    <xf numFmtId="10" fontId="54" fillId="31" borderId="179" xfId="22" applyNumberFormat="1" applyFont="1" applyFill="1" applyBorder="1" applyAlignment="1">
      <alignment horizontal="center" vertical="center" wrapText="1"/>
    </xf>
    <xf numFmtId="0" fontId="54" fillId="7" borderId="197" xfId="22" applyFont="1" applyFill="1" applyBorder="1" applyAlignment="1">
      <alignment horizontal="center" vertical="center" wrapText="1"/>
    </xf>
    <xf numFmtId="43" fontId="20" fillId="0" borderId="181" xfId="22" applyNumberFormat="1" applyFont="1" applyBorder="1" applyAlignment="1">
      <alignment horizontal="center" vertical="center" wrapText="1"/>
    </xf>
    <xf numFmtId="14" fontId="54" fillId="3" borderId="190" xfId="22" applyNumberFormat="1" applyFont="1" applyFill="1" applyBorder="1" applyAlignment="1">
      <alignment horizontal="center" vertical="center" wrapText="1"/>
    </xf>
    <xf numFmtId="14" fontId="54" fillId="3" borderId="192" xfId="22" applyNumberFormat="1" applyFont="1" applyFill="1" applyBorder="1" applyAlignment="1">
      <alignment horizontal="center" vertical="center" wrapText="1"/>
    </xf>
    <xf numFmtId="0" fontId="20" fillId="0" borderId="182" xfId="22" applyFont="1" applyBorder="1" applyAlignment="1">
      <alignment horizontal="center" vertical="center" wrapText="1"/>
    </xf>
    <xf numFmtId="14" fontId="54" fillId="3" borderId="191" xfId="22" applyNumberFormat="1" applyFont="1" applyFill="1" applyBorder="1" applyAlignment="1">
      <alignment horizontal="center" vertical="center" wrapText="1"/>
    </xf>
    <xf numFmtId="43" fontId="54" fillId="0" borderId="179" xfId="22" applyNumberFormat="1" applyFont="1" applyBorder="1" applyAlignment="1">
      <alignment vertical="center" wrapText="1"/>
    </xf>
    <xf numFmtId="43" fontId="20" fillId="3" borderId="179" xfId="22" applyNumberFormat="1" applyFont="1" applyFill="1" applyBorder="1" applyAlignment="1">
      <alignment horizontal="center" vertical="center" wrapText="1"/>
    </xf>
    <xf numFmtId="43" fontId="54" fillId="5" borderId="179" xfId="22" applyNumberFormat="1" applyFont="1" applyFill="1" applyBorder="1" applyAlignment="1">
      <alignment vertical="center" wrapText="1"/>
    </xf>
    <xf numFmtId="43" fontId="54" fillId="3" borderId="179" xfId="22" applyNumberFormat="1" applyFont="1" applyFill="1" applyBorder="1" applyAlignment="1">
      <alignment vertical="center" wrapText="1"/>
    </xf>
    <xf numFmtId="43" fontId="54" fillId="5" borderId="198" xfId="22" applyNumberFormat="1" applyFont="1" applyFill="1" applyBorder="1" applyAlignment="1">
      <alignment horizontal="center" vertical="center" wrapText="1"/>
    </xf>
    <xf numFmtId="43" fontId="54" fillId="5" borderId="199" xfId="22" applyNumberFormat="1" applyFont="1" applyFill="1" applyBorder="1" applyAlignment="1">
      <alignment horizontal="center" vertical="center" wrapText="1"/>
    </xf>
    <xf numFmtId="43" fontId="54" fillId="5" borderId="186" xfId="22" applyNumberFormat="1" applyFont="1" applyFill="1" applyBorder="1" applyAlignment="1">
      <alignment horizontal="center" vertical="center" wrapText="1"/>
    </xf>
    <xf numFmtId="185" fontId="54" fillId="3" borderId="179" xfId="23" applyNumberFormat="1" applyFont="1" applyFill="1" applyBorder="1" applyAlignment="1">
      <alignment horizontal="center" vertical="center" wrapText="1"/>
    </xf>
    <xf numFmtId="43" fontId="54" fillId="3" borderId="179" xfId="10" applyNumberFormat="1" applyFont="1" applyFill="1" applyBorder="1" applyAlignment="1">
      <alignment horizontal="center" vertical="center" wrapText="1"/>
    </xf>
    <xf numFmtId="0" fontId="20" fillId="5" borderId="179" xfId="10" applyFont="1" applyFill="1" applyBorder="1" applyAlignment="1">
      <alignment horizontal="center" vertical="center" wrapText="1"/>
    </xf>
    <xf numFmtId="43" fontId="54" fillId="5" borderId="179" xfId="10" applyNumberFormat="1" applyFont="1" applyFill="1" applyBorder="1" applyAlignment="1">
      <alignment horizontal="center" vertical="center" wrapText="1"/>
    </xf>
    <xf numFmtId="14" fontId="54" fillId="3" borderId="186" xfId="10" applyNumberFormat="1" applyFont="1" applyFill="1" applyBorder="1" applyAlignment="1">
      <alignment horizontal="center" vertical="center" wrapText="1"/>
    </xf>
    <xf numFmtId="10" fontId="55" fillId="0" borderId="179" xfId="22" applyNumberFormat="1" applyFont="1" applyBorder="1" applyAlignment="1">
      <alignment horizontal="center" vertical="center" wrapText="1"/>
    </xf>
    <xf numFmtId="49" fontId="55" fillId="0" borderId="179" xfId="22" applyNumberFormat="1" applyFont="1" applyBorder="1" applyAlignment="1">
      <alignment horizontal="center" vertical="center" wrapText="1"/>
    </xf>
    <xf numFmtId="14" fontId="55" fillId="0" borderId="179" xfId="22" applyNumberFormat="1" applyFont="1" applyBorder="1" applyAlignment="1">
      <alignment horizontal="center" vertical="center" wrapText="1"/>
    </xf>
    <xf numFmtId="43" fontId="55" fillId="0" borderId="179" xfId="22" applyNumberFormat="1" applyFont="1" applyBorder="1" applyAlignment="1">
      <alignment horizontal="center" vertical="center" wrapText="1"/>
    </xf>
    <xf numFmtId="14" fontId="54" fillId="0" borderId="192" xfId="22" applyNumberFormat="1" applyFont="1" applyBorder="1" applyAlignment="1">
      <alignment horizontal="center" vertical="center" wrapText="1"/>
    </xf>
    <xf numFmtId="43" fontId="54" fillId="7" borderId="179" xfId="22" applyNumberFormat="1" applyFont="1" applyFill="1" applyBorder="1" applyAlignment="1">
      <alignment vertical="center" wrapText="1"/>
    </xf>
    <xf numFmtId="10" fontId="55" fillId="5" borderId="179" xfId="22" applyNumberFormat="1" applyFont="1" applyFill="1" applyBorder="1" applyAlignment="1">
      <alignment horizontal="center" vertical="center" wrapText="1"/>
    </xf>
    <xf numFmtId="49" fontId="55" fillId="5" borderId="179" xfId="22" applyNumberFormat="1" applyFont="1" applyFill="1" applyBorder="1" applyAlignment="1">
      <alignment horizontal="center" vertical="center" wrapText="1"/>
    </xf>
    <xf numFmtId="14" fontId="55" fillId="5" borderId="179" xfId="22" applyNumberFormat="1" applyFont="1" applyFill="1" applyBorder="1" applyAlignment="1">
      <alignment horizontal="center" vertical="center" wrapText="1"/>
    </xf>
    <xf numFmtId="43" fontId="55" fillId="5" borderId="179" xfId="22" applyNumberFormat="1" applyFont="1" applyFill="1" applyBorder="1" applyAlignment="1">
      <alignment horizontal="center" vertical="center" wrapText="1"/>
    </xf>
    <xf numFmtId="0" fontId="55" fillId="0" borderId="179" xfId="22" applyFont="1" applyBorder="1" applyAlignment="1">
      <alignment horizontal="center" vertical="center" wrapText="1"/>
    </xf>
    <xf numFmtId="0" fontId="54" fillId="0" borderId="187" xfId="22" applyFont="1" applyBorder="1" applyAlignment="1">
      <alignment horizontal="center" vertical="center" wrapText="1"/>
    </xf>
    <xf numFmtId="0" fontId="54" fillId="7" borderId="181" xfId="22" applyFont="1" applyFill="1" applyBorder="1" applyAlignment="1">
      <alignment horizontal="center" vertical="center" wrapText="1"/>
    </xf>
    <xf numFmtId="0" fontId="54" fillId="7" borderId="190" xfId="23" applyNumberFormat="1" applyFont="1" applyFill="1" applyBorder="1" applyAlignment="1">
      <alignment horizontal="center" vertical="center" wrapText="1"/>
    </xf>
    <xf numFmtId="0" fontId="54" fillId="7" borderId="182" xfId="22" applyFont="1" applyFill="1" applyBorder="1" applyAlignment="1">
      <alignment horizontal="center" vertical="center" wrapText="1"/>
    </xf>
    <xf numFmtId="0" fontId="54" fillId="7" borderId="192" xfId="23" applyNumberFormat="1" applyFont="1" applyFill="1" applyBorder="1" applyAlignment="1">
      <alignment horizontal="center" vertical="center" wrapText="1"/>
    </xf>
    <xf numFmtId="0" fontId="54" fillId="7" borderId="191" xfId="23" applyNumberFormat="1" applyFont="1" applyFill="1" applyBorder="1" applyAlignment="1">
      <alignment horizontal="center" vertical="center" wrapText="1"/>
    </xf>
    <xf numFmtId="49" fontId="54" fillId="7" borderId="179" xfId="22" applyNumberFormat="1" applyFont="1" applyFill="1" applyBorder="1" applyAlignment="1">
      <alignment horizontal="center" vertical="center" wrapText="1"/>
    </xf>
    <xf numFmtId="49" fontId="54" fillId="7" borderId="187" xfId="22" applyNumberFormat="1" applyFont="1" applyFill="1" applyBorder="1" applyAlignment="1">
      <alignment horizontal="center" vertical="center" wrapText="1"/>
    </xf>
    <xf numFmtId="0" fontId="54" fillId="7" borderId="186" xfId="23" applyNumberFormat="1" applyFont="1" applyFill="1" applyBorder="1" applyAlignment="1">
      <alignment horizontal="center" vertical="center" wrapText="1"/>
    </xf>
    <xf numFmtId="14" fontId="48" fillId="3" borderId="186" xfId="22" applyNumberFormat="1" applyFont="1" applyFill="1" applyBorder="1" applyAlignment="1">
      <alignment horizontal="center" vertical="center" wrapText="1"/>
    </xf>
    <xf numFmtId="43" fontId="54" fillId="0" borderId="198" xfId="22" applyNumberFormat="1" applyFont="1" applyBorder="1" applyAlignment="1">
      <alignment horizontal="center" vertical="center" wrapText="1"/>
    </xf>
    <xf numFmtId="43" fontId="54" fillId="0" borderId="199" xfId="22" applyNumberFormat="1" applyFont="1" applyBorder="1" applyAlignment="1">
      <alignment horizontal="center" vertical="center" wrapText="1"/>
    </xf>
    <xf numFmtId="43" fontId="20" fillId="0" borderId="186" xfId="22" applyNumberFormat="1" applyFont="1" applyBorder="1" applyAlignment="1">
      <alignment horizontal="center" vertical="center" wrapText="1"/>
    </xf>
    <xf numFmtId="43" fontId="54" fillId="0" borderId="186" xfId="22" applyNumberFormat="1" applyFont="1" applyBorder="1" applyAlignment="1">
      <alignment horizontal="center" vertical="center" wrapText="1"/>
    </xf>
    <xf numFmtId="14" fontId="20" fillId="5" borderId="179" xfId="22" applyNumberFormat="1" applyFont="1" applyFill="1" applyBorder="1" applyAlignment="1">
      <alignment horizontal="center" vertical="center" wrapText="1"/>
    </xf>
    <xf numFmtId="14" fontId="282" fillId="3" borderId="187" xfId="22" applyNumberFormat="1" applyFont="1" applyFill="1" applyBorder="1" applyAlignment="1">
      <alignment horizontal="center" vertical="center" wrapText="1"/>
    </xf>
    <xf numFmtId="14" fontId="282" fillId="3" borderId="187" xfId="22" applyNumberFormat="1" applyFont="1" applyFill="1" applyBorder="1" applyAlignment="1">
      <alignment horizontal="center" vertical="center" wrapText="1"/>
    </xf>
    <xf numFmtId="10" fontId="54" fillId="3" borderId="179" xfId="22" applyNumberFormat="1" applyFont="1" applyFill="1" applyBorder="1" applyAlignment="1">
      <alignment horizontal="center" vertical="center" wrapText="1"/>
    </xf>
    <xf numFmtId="0" fontId="54" fillId="3" borderId="180" xfId="22" applyFont="1" applyFill="1" applyBorder="1" applyAlignment="1">
      <alignment vertical="center" wrapText="1"/>
    </xf>
    <xf numFmtId="0" fontId="54" fillId="3" borderId="182" xfId="22" applyFont="1" applyFill="1" applyBorder="1" applyAlignment="1">
      <alignment vertical="center" wrapText="1"/>
    </xf>
    <xf numFmtId="14" fontId="54" fillId="3" borderId="182" xfId="22" applyNumberFormat="1" applyFont="1" applyFill="1" applyBorder="1" applyAlignment="1">
      <alignment vertical="center" wrapText="1"/>
    </xf>
    <xf numFmtId="0" fontId="54" fillId="3" borderId="181" xfId="22" applyFont="1" applyFill="1" applyBorder="1" applyAlignment="1">
      <alignment vertical="center" wrapText="1"/>
    </xf>
    <xf numFmtId="9" fontId="54" fillId="3" borderId="179" xfId="24" applyFont="1" applyFill="1" applyBorder="1" applyAlignment="1">
      <alignment horizontal="center" vertical="center" wrapText="1"/>
    </xf>
    <xf numFmtId="0" fontId="54" fillId="3" borderId="180" xfId="23" applyNumberFormat="1" applyFont="1" applyFill="1" applyBorder="1" applyAlignment="1">
      <alignment horizontal="center" vertical="center" wrapText="1"/>
    </xf>
    <xf numFmtId="0" fontId="54" fillId="3" borderId="182" xfId="23" applyNumberFormat="1" applyFont="1" applyFill="1" applyBorder="1" applyAlignment="1">
      <alignment horizontal="center" vertical="center" wrapText="1"/>
    </xf>
    <xf numFmtId="0" fontId="54" fillId="3" borderId="181" xfId="23" applyNumberFormat="1" applyFont="1" applyFill="1" applyBorder="1" applyAlignment="1">
      <alignment horizontal="center" vertical="center" wrapText="1"/>
    </xf>
    <xf numFmtId="0" fontId="54" fillId="3" borderId="179" xfId="23" applyNumberFormat="1" applyFont="1" applyFill="1" applyBorder="1" applyAlignment="1">
      <alignment horizontal="center" vertical="center" wrapText="1"/>
    </xf>
    <xf numFmtId="9" fontId="54" fillId="5" borderId="179" xfId="24" applyFont="1" applyFill="1" applyBorder="1" applyAlignment="1">
      <alignment horizontal="center" vertical="center" wrapText="1"/>
    </xf>
    <xf numFmtId="0" fontId="54" fillId="3" borderId="0" xfId="22" applyFont="1" applyFill="1">
      <alignment vertical="center"/>
    </xf>
    <xf numFmtId="0" fontId="55" fillId="3" borderId="179" xfId="22" applyFont="1" applyFill="1" applyBorder="1" applyAlignment="1">
      <alignment horizontal="center" vertical="center" wrapText="1"/>
    </xf>
    <xf numFmtId="43" fontId="55" fillId="3" borderId="179" xfId="22" applyNumberFormat="1" applyFont="1" applyFill="1" applyBorder="1" applyAlignment="1">
      <alignment horizontal="center" vertical="center" wrapText="1"/>
    </xf>
    <xf numFmtId="10" fontId="55" fillId="3" borderId="179" xfId="22" applyNumberFormat="1" applyFont="1" applyFill="1" applyBorder="1" applyAlignment="1">
      <alignment horizontal="center" vertical="center" wrapText="1"/>
    </xf>
    <xf numFmtId="0" fontId="55" fillId="3" borderId="179" xfId="22" applyFont="1" applyFill="1" applyBorder="1" applyAlignment="1">
      <alignment horizontal="center" vertical="center" wrapText="1"/>
    </xf>
    <xf numFmtId="14" fontId="55" fillId="3" borderId="179" xfId="22" applyNumberFormat="1" applyFont="1" applyFill="1" applyBorder="1" applyAlignment="1">
      <alignment horizontal="center" vertical="center" wrapText="1"/>
    </xf>
    <xf numFmtId="14" fontId="55" fillId="3" borderId="186" xfId="22" applyNumberFormat="1" applyFont="1" applyFill="1" applyBorder="1" applyAlignment="1">
      <alignment horizontal="center" vertical="center" wrapText="1"/>
    </xf>
    <xf numFmtId="14" fontId="55" fillId="3" borderId="179" xfId="22" applyNumberFormat="1" applyFont="1" applyFill="1" applyBorder="1" applyAlignment="1">
      <alignment horizontal="center" vertical="center" wrapText="1"/>
    </xf>
    <xf numFmtId="14" fontId="55" fillId="8" borderId="179" xfId="22" applyNumberFormat="1" applyFont="1" applyFill="1" applyBorder="1" applyAlignment="1">
      <alignment horizontal="center" vertical="center" wrapText="1"/>
    </xf>
    <xf numFmtId="14" fontId="55" fillId="3" borderId="187" xfId="22" applyNumberFormat="1" applyFont="1" applyFill="1" applyBorder="1" applyAlignment="1">
      <alignment horizontal="center" vertical="center" wrapText="1"/>
    </xf>
    <xf numFmtId="0" fontId="55" fillId="2" borderId="186" xfId="22" applyFont="1" applyFill="1" applyBorder="1" applyAlignment="1">
      <alignment horizontal="center" vertical="center" wrapText="1"/>
    </xf>
    <xf numFmtId="14" fontId="81" fillId="3" borderId="179" xfId="22" applyNumberFormat="1" applyFont="1" applyFill="1" applyBorder="1" applyAlignment="1">
      <alignment horizontal="center" vertical="center" wrapText="1"/>
    </xf>
    <xf numFmtId="0" fontId="55" fillId="3" borderId="202" xfId="22" applyFont="1" applyFill="1" applyBorder="1" applyAlignment="1">
      <alignment horizontal="center" vertical="center" wrapText="1"/>
    </xf>
    <xf numFmtId="14" fontId="55" fillId="3" borderId="203" xfId="22" applyNumberFormat="1" applyFont="1" applyFill="1" applyBorder="1" applyAlignment="1">
      <alignment horizontal="center" vertical="center" wrapText="1"/>
    </xf>
    <xf numFmtId="14" fontId="55" fillId="3" borderId="202" xfId="22" applyNumberFormat="1" applyFont="1" applyFill="1" applyBorder="1" applyAlignment="1">
      <alignment horizontal="center" vertical="center" wrapText="1"/>
    </xf>
    <xf numFmtId="14" fontId="55" fillId="3" borderId="204" xfId="22" applyNumberFormat="1" applyFont="1" applyFill="1" applyBorder="1" applyAlignment="1">
      <alignment horizontal="center" vertical="center" wrapText="1"/>
    </xf>
    <xf numFmtId="0" fontId="55" fillId="3" borderId="203" xfId="22" applyFont="1" applyFill="1" applyBorder="1" applyAlignment="1">
      <alignment horizontal="center" vertical="center" wrapText="1"/>
    </xf>
    <xf numFmtId="0" fontId="20" fillId="7" borderId="179" xfId="22" applyFont="1" applyFill="1" applyBorder="1" applyAlignment="1">
      <alignment horizontal="center" vertical="center" wrapText="1"/>
    </xf>
    <xf numFmtId="0" fontId="96" fillId="8" borderId="0" xfId="10" applyFill="1">
      <alignment vertical="center"/>
    </xf>
  </cellXfs>
  <cellStyles count="25">
    <cellStyle name="Comma 3" xfId="20" xr:uid="{BF5B55DB-3DFA-4F33-A8EF-DD5BA1B0AA83}"/>
    <cellStyle name="Normal 2" xfId="19" xr:uid="{B060F108-2DC9-443C-9C31-B7F7B98670D9}"/>
    <cellStyle name="百分比" xfId="17" builtinId="5"/>
    <cellStyle name="百分比 2" xfId="14" xr:uid="{00000000-0005-0000-0000-000001000000}"/>
    <cellStyle name="百分比 3" xfId="24" xr:uid="{5AEEEEEE-9446-4795-A7BF-05A1665D5362}"/>
    <cellStyle name="常规" xfId="0" builtinId="0"/>
    <cellStyle name="常规 10" xfId="21" xr:uid="{FBCF2DD6-C81C-46B5-9EDD-065A75C751F3}"/>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4 2" xfId="22" xr:uid="{56E105A0-7DC9-4882-9182-7E68BE0D9077}"/>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3" xr:uid="{C5183511-0E0A-4414-88B5-D6382FA64BD4}"/>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342900</xdr:colOff>
      <xdr:row>0</xdr:row>
      <xdr:rowOff>0</xdr:rowOff>
    </xdr:from>
    <xdr:to>
      <xdr:col>13</xdr:col>
      <xdr:colOff>552127</xdr:colOff>
      <xdr:row>19</xdr:row>
      <xdr:rowOff>123402</xdr:rowOff>
    </xdr:to>
    <xdr:pic>
      <xdr:nvPicPr>
        <xdr:cNvPr id="98" name="图片 97">
          <a:extLst>
            <a:ext uri="{FF2B5EF4-FFF2-40B4-BE49-F238E27FC236}">
              <a16:creationId xmlns:a16="http://schemas.microsoft.com/office/drawing/2014/main" id="{78885984-D342-F636-6357-F2C0079E877D}"/>
            </a:ext>
          </a:extLst>
        </xdr:cNvPr>
        <xdr:cNvPicPr>
          <a:picLocks noChangeAspect="1"/>
        </xdr:cNvPicPr>
      </xdr:nvPicPr>
      <xdr:blipFill>
        <a:blip xmlns:r="http://schemas.openxmlformats.org/officeDocument/2006/relationships" r:embed="rId1"/>
        <a:stretch>
          <a:fillRect/>
        </a:stretch>
      </xdr:blipFill>
      <xdr:spPr>
        <a:xfrm>
          <a:off x="9753600" y="0"/>
          <a:ext cx="2580952" cy="3380952"/>
        </a:xfrm>
        <a:prstGeom prst="rect">
          <a:avLst/>
        </a:prstGeom>
      </xdr:spPr>
    </xdr:pic>
    <xdr:clientData/>
  </xdr:twoCellAnchor>
  <xdr:twoCellAnchor editAs="oneCell">
    <xdr:from>
      <xdr:col>0</xdr:col>
      <xdr:colOff>0</xdr:colOff>
      <xdr:row>0</xdr:row>
      <xdr:rowOff>0</xdr:rowOff>
    </xdr:from>
    <xdr:to>
      <xdr:col>10</xdr:col>
      <xdr:colOff>608378</xdr:colOff>
      <xdr:row>19</xdr:row>
      <xdr:rowOff>104355</xdr:rowOff>
    </xdr:to>
    <xdr:pic>
      <xdr:nvPicPr>
        <xdr:cNvPr id="2" name="图片 1">
          <a:extLst>
            <a:ext uri="{FF2B5EF4-FFF2-40B4-BE49-F238E27FC236}">
              <a16:creationId xmlns:a16="http://schemas.microsoft.com/office/drawing/2014/main" id="{60AF3A44-05F5-CE5C-1467-A924AA10B628}"/>
            </a:ext>
          </a:extLst>
        </xdr:cNvPr>
        <xdr:cNvPicPr>
          <a:picLocks noChangeAspect="1"/>
        </xdr:cNvPicPr>
      </xdr:nvPicPr>
      <xdr:blipFill>
        <a:blip xmlns:r="http://schemas.openxmlformats.org/officeDocument/2006/relationships" r:embed="rId2"/>
        <a:stretch>
          <a:fillRect/>
        </a:stretch>
      </xdr:blipFill>
      <xdr:spPr>
        <a:xfrm>
          <a:off x="0" y="0"/>
          <a:ext cx="9771428" cy="3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0</xdr:col>
      <xdr:colOff>28575</xdr:colOff>
      <xdr:row>0</xdr:row>
      <xdr:rowOff>15875</xdr:rowOff>
    </xdr:to>
    <xdr:pic>
      <xdr:nvPicPr>
        <xdr:cNvPr id="2" name="图片 1">
          <a:extLst>
            <a:ext uri="{FF2B5EF4-FFF2-40B4-BE49-F238E27FC236}">
              <a16:creationId xmlns:a16="http://schemas.microsoft.com/office/drawing/2014/main" id="{4B41113E-633E-4A11-8BF9-09D11C264CC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0"/>
          <a:ext cx="15875" cy="15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6397;&#38451;&#21306;&#26329;&#20809;&#35199;&#37324;&#30002;5&#21495;&#38498;3&#26635;&#21150;&#20844;&#27004;\&#26397;&#38451;&#21306;&#26329;&#20809;&#35199;&#37324;&#30002;5&#21495;&#38498;3&#26635;&#21150;&#20844;&#27004;.xlsx" TargetMode="External"/><Relationship Id="rId1" Type="http://schemas.openxmlformats.org/officeDocument/2006/relationships/externalLinkPath" Target="&#26397;&#38451;&#21306;&#26329;&#20809;&#35199;&#37324;&#30002;5&#21495;&#38498;3&#26635;&#21150;&#20844;&#2700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4037;&#20316;\&#26397;&#38451;&#21306;&#26329;&#20809;&#35199;&#37324;&#30002;5&#21495;&#38498;3&#26635;&#21150;&#20844;&#27004;\&#36164;&#26009;\&#36130;&#21153;&#20449;&#24687;\2025&#24180;6&#26376;&#21488;&#36134;.xlsx" TargetMode="External"/><Relationship Id="rId1" Type="http://schemas.openxmlformats.org/officeDocument/2006/relationships/externalLinkPath" Target="&#36164;&#26009;/&#36130;&#21153;&#20449;&#24687;/2025&#24180;6&#26376;&#21488;&#3613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16号楼A座面积"/>
      <sheetName val="21号楼F座面积明细"/>
      <sheetName val="22号楼H座面积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收益法 (元)"/>
      <sheetName val="收益法-酒店模型"/>
      <sheetName val="收益法（汇总）"/>
      <sheetName val="比较法-住宅"/>
      <sheetName val="比较法-商业"/>
      <sheetName val="典型户型修正"/>
      <sheetName val="大宗案例"/>
      <sheetName val="华樾北京"/>
      <sheetName val="保利大都汇"/>
      <sheetName val="悦荣中心"/>
      <sheetName val="A座租户台账"/>
      <sheetName val="F座租户台账"/>
      <sheetName val="H座租户台账"/>
      <sheetName val="19-24年经营情况"/>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A24" t="str">
            <v>16号楼A座</v>
          </cell>
          <cell r="B24">
            <v>34499.08</v>
          </cell>
          <cell r="S24">
            <v>134950</v>
          </cell>
        </row>
        <row r="25">
          <cell r="B25">
            <v>23945.380000000005</v>
          </cell>
          <cell r="S25">
            <v>94603</v>
          </cell>
        </row>
        <row r="26">
          <cell r="B26">
            <v>25057.829999999994</v>
          </cell>
          <cell r="S26">
            <v>98998</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_出租明细"/>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_x0000__x0000__x0000__x0000__x0000__x0000__x0000__x0000_"/>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估价对象为北京市房地产，为所有。根据《国有土地使用证》[]，估价对象（分摊）出让国有建设用地使用权面积为0平方米，建筑面积为36389.27平方米。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估价对象为北京市房地产,属开发建设的，该项目尚在开发建设中。根据《国有土地使用证》[]，估价对象（分摊）出让国有建设用地使用权面积为0平方米，规划建筑面积为36389.27平方米。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2025年8月20日（评估专业人员实地查勘之日）</v>
      </c>
    </row>
    <row r="13" spans="1:2">
      <c r="A13" s="1119" t="s">
        <v>529</v>
      </c>
      <c r="B13" s="1120"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122799</v>
      </c>
    </row>
    <row r="21" spans="1:2">
      <c r="A21" s="1119" t="s">
        <v>537</v>
      </c>
      <c r="B21" s="1120">
        <f ca="1">'预评函-2'!D7</f>
        <v>33746</v>
      </c>
    </row>
    <row r="22" spans="1:2">
      <c r="A22" s="1119" t="s">
        <v>538</v>
      </c>
      <c r="B22" s="1120" t="str">
        <f ca="1">'预评函-2'!D6</f>
        <v>壹拾贰亿贰仟柒佰玖拾玖万元整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122799</v>
      </c>
    </row>
    <row r="31" spans="1:2">
      <c r="A31" s="1119" t="s">
        <v>576</v>
      </c>
      <c r="B31" s="1120">
        <f ca="1">'预评函-2'!D15</f>
        <v>33746</v>
      </c>
    </row>
    <row r="32" spans="1:2">
      <c r="A32" s="1119" t="s">
        <v>543</v>
      </c>
      <c r="B32" s="1120" t="str">
        <f ca="1">'预评函-2'!D14</f>
        <v>壹拾贰亿贰仟柒佰玖拾玖万元整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36389.269999999997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98853</v>
      </c>
    </row>
    <row r="48" spans="1:2">
      <c r="A48" s="1119" t="s">
        <v>549</v>
      </c>
      <c r="B48" s="1120">
        <f ca="1">'预评函-3'!E4</f>
        <v>27165</v>
      </c>
    </row>
    <row r="49" spans="1:2">
      <c r="A49" s="1119" t="s">
        <v>550</v>
      </c>
      <c r="B49" s="1120" t="str">
        <f ca="1">'预评函-3'!D5</f>
        <v>玖亿捌仟捌佰伍拾叁万元整</v>
      </c>
    </row>
    <row r="50" spans="1:2">
      <c r="A50" s="1119" t="s">
        <v>574</v>
      </c>
      <c r="B50" s="1120" t="str">
        <f>'预评函-3'!F2</f>
        <v>在建建筑物价值</v>
      </c>
    </row>
    <row r="51" spans="1:2">
      <c r="A51" s="1119" t="s">
        <v>551</v>
      </c>
      <c r="B51" s="1120">
        <f ca="1">'预评函-3'!F4</f>
        <v>23946</v>
      </c>
    </row>
    <row r="52" spans="1:2">
      <c r="A52" s="1119" t="s">
        <v>552</v>
      </c>
      <c r="B52" s="1120">
        <f ca="1">'预评函-3'!G4</f>
        <v>6581</v>
      </c>
    </row>
    <row r="53" spans="1:2">
      <c r="A53" s="1119" t="s">
        <v>580</v>
      </c>
      <c r="B53" s="1120" t="str">
        <f ca="1">'预评函-3'!F5</f>
        <v>贰亿叁仟玖佰肆拾陆万元整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6" sqref="E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973</v>
      </c>
      <c r="C1" s="1438" t="s">
        <v>314</v>
      </c>
      <c r="D1" s="1439" t="s">
        <v>3337</v>
      </c>
      <c r="E1" s="1438" t="s">
        <v>974</v>
      </c>
      <c r="F1" s="1438" t="s">
        <v>975</v>
      </c>
      <c r="G1" s="1438" t="s">
        <v>976</v>
      </c>
      <c r="H1" s="1438" t="s">
        <v>977</v>
      </c>
      <c r="I1" s="1438" t="s">
        <v>978</v>
      </c>
      <c r="J1" s="1438" t="s">
        <v>979</v>
      </c>
      <c r="K1" s="1438" t="s">
        <v>980</v>
      </c>
      <c r="L1" s="1438" t="s">
        <v>981</v>
      </c>
      <c r="M1" s="1438" t="s">
        <v>982</v>
      </c>
      <c r="N1" s="1438" t="s">
        <v>983</v>
      </c>
      <c r="O1" s="1438" t="s">
        <v>984</v>
      </c>
      <c r="P1" s="1439" t="s">
        <v>309</v>
      </c>
      <c r="Q1" s="1439" t="s">
        <v>447</v>
      </c>
      <c r="R1" s="1438" t="s">
        <v>441</v>
      </c>
      <c r="S1" s="1438" t="s">
        <v>985</v>
      </c>
      <c r="T1" s="1439" t="s">
        <v>986</v>
      </c>
      <c r="U1" s="1438" t="s">
        <v>987</v>
      </c>
      <c r="V1" s="1438" t="s">
        <v>988</v>
      </c>
      <c r="W1" s="1438" t="s">
        <v>311</v>
      </c>
      <c r="X1" s="1438" t="s">
        <v>669</v>
      </c>
      <c r="Y1" s="1438" t="s">
        <v>21</v>
      </c>
      <c r="Z1" s="1438" t="s">
        <v>3393</v>
      </c>
      <c r="AA1" s="1438" t="s">
        <v>3392</v>
      </c>
      <c r="AB1" s="1438" t="s">
        <v>3</v>
      </c>
    </row>
    <row r="2" spans="1:28">
      <c r="A2" s="1441" t="s">
        <v>19</v>
      </c>
      <c r="B2" s="1441" t="s">
        <v>989</v>
      </c>
      <c r="C2" s="1442" t="s">
        <v>315</v>
      </c>
      <c r="D2" s="1443" t="s">
        <v>990</v>
      </c>
      <c r="E2" s="1443" t="s">
        <v>991</v>
      </c>
      <c r="F2" s="1443" t="s">
        <v>992</v>
      </c>
      <c r="G2" s="1443">
        <v>20</v>
      </c>
      <c r="H2" s="1443" t="s">
        <v>992</v>
      </c>
      <c r="I2" s="1443" t="s">
        <v>3323</v>
      </c>
      <c r="J2" s="1443" t="s">
        <v>993</v>
      </c>
      <c r="K2" s="1443" t="s">
        <v>994</v>
      </c>
      <c r="L2" s="1443" t="s">
        <v>994</v>
      </c>
      <c r="M2" s="1443" t="s">
        <v>994</v>
      </c>
      <c r="N2" s="1443" t="s">
        <v>994</v>
      </c>
      <c r="O2" s="1443" t="s">
        <v>994</v>
      </c>
      <c r="P2" s="1443" t="s">
        <v>994</v>
      </c>
      <c r="Q2" s="1443" t="s">
        <v>994</v>
      </c>
      <c r="R2" s="1443" t="s">
        <v>443</v>
      </c>
      <c r="S2" s="1443" t="s">
        <v>994</v>
      </c>
      <c r="T2" s="1443" t="s">
        <v>995</v>
      </c>
      <c r="U2" s="1443" t="s">
        <v>994</v>
      </c>
      <c r="V2" s="1443" t="s">
        <v>996</v>
      </c>
      <c r="W2" s="1443" t="s">
        <v>994</v>
      </c>
      <c r="X2" s="1445" t="s">
        <v>2426</v>
      </c>
      <c r="Y2" s="1445" t="s">
        <v>3400</v>
      </c>
      <c r="Z2" s="1445" t="s">
        <v>2439</v>
      </c>
      <c r="AA2" s="1445" t="s">
        <v>3401</v>
      </c>
      <c r="AB2" s="1445" t="s">
        <v>2466</v>
      </c>
    </row>
    <row r="3" spans="1:28">
      <c r="A3" s="1441" t="s">
        <v>997</v>
      </c>
      <c r="B3" s="1444" t="s">
        <v>448</v>
      </c>
      <c r="C3" s="1442" t="s">
        <v>316</v>
      </c>
      <c r="D3" s="1443" t="s">
        <v>998</v>
      </c>
      <c r="E3" s="1443" t="s">
        <v>13</v>
      </c>
      <c r="F3" s="1443" t="s">
        <v>999</v>
      </c>
      <c r="G3" s="1443">
        <v>40</v>
      </c>
      <c r="H3" s="1443" t="s">
        <v>999</v>
      </c>
      <c r="I3" s="1443" t="s">
        <v>3324</v>
      </c>
      <c r="J3" s="1443" t="s">
        <v>1000</v>
      </c>
      <c r="K3" s="1443" t="s">
        <v>1001</v>
      </c>
      <c r="L3" s="1443" t="s">
        <v>1001</v>
      </c>
      <c r="M3" s="1443" t="s">
        <v>1001</v>
      </c>
      <c r="N3" s="1443" t="s">
        <v>1001</v>
      </c>
      <c r="O3" s="1443" t="s">
        <v>1001</v>
      </c>
      <c r="P3" s="1443" t="s">
        <v>1001</v>
      </c>
      <c r="Q3" s="1443" t="s">
        <v>1001</v>
      </c>
      <c r="R3" s="1443" t="s">
        <v>442</v>
      </c>
      <c r="S3" s="1443" t="s">
        <v>1001</v>
      </c>
      <c r="T3" s="1443" t="s">
        <v>1002</v>
      </c>
      <c r="U3" s="1443" t="s">
        <v>1001</v>
      </c>
      <c r="V3" s="1443" t="s">
        <v>1003</v>
      </c>
      <c r="W3" s="1443" t="s">
        <v>1001</v>
      </c>
      <c r="X3" s="1445" t="s">
        <v>2428</v>
      </c>
      <c r="Z3" s="1445" t="s">
        <v>2441</v>
      </c>
      <c r="AB3" s="1445" t="s">
        <v>2468</v>
      </c>
    </row>
    <row r="4" spans="1:28">
      <c r="A4" s="1441" t="s">
        <v>1004</v>
      </c>
      <c r="B4" s="1441" t="s">
        <v>1005</v>
      </c>
      <c r="C4" s="1442" t="s">
        <v>317</v>
      </c>
      <c r="D4" s="1443" t="s">
        <v>389</v>
      </c>
      <c r="E4" s="1443" t="s">
        <v>1006</v>
      </c>
      <c r="F4" s="1443" t="s">
        <v>1007</v>
      </c>
      <c r="G4" s="1443">
        <v>50</v>
      </c>
      <c r="H4" s="1443" t="s">
        <v>1007</v>
      </c>
      <c r="I4" s="1443" t="s">
        <v>3325</v>
      </c>
      <c r="K4" s="1443" t="s">
        <v>1008</v>
      </c>
      <c r="L4" s="1443" t="s">
        <v>1008</v>
      </c>
      <c r="M4" s="1443" t="s">
        <v>1008</v>
      </c>
      <c r="N4" s="1443" t="s">
        <v>1008</v>
      </c>
      <c r="O4" s="1443" t="s">
        <v>1008</v>
      </c>
      <c r="P4" s="1443" t="s">
        <v>1008</v>
      </c>
      <c r="Q4" s="1443" t="s">
        <v>1008</v>
      </c>
      <c r="R4" s="1443" t="s">
        <v>444</v>
      </c>
      <c r="S4" s="1443" t="s">
        <v>1008</v>
      </c>
      <c r="T4" s="1443" t="s">
        <v>1009</v>
      </c>
      <c r="U4" s="1443" t="s">
        <v>1008</v>
      </c>
      <c r="W4" s="1443" t="s">
        <v>1008</v>
      </c>
      <c r="X4" s="1445" t="s">
        <v>2430</v>
      </c>
      <c r="Z4" s="1445" t="s">
        <v>2443</v>
      </c>
      <c r="AB4" s="1445" t="s">
        <v>2470</v>
      </c>
    </row>
    <row r="5" spans="1:28">
      <c r="A5" s="1441" t="s">
        <v>1010</v>
      </c>
      <c r="B5" s="1441" t="s">
        <v>1011</v>
      </c>
      <c r="C5" s="1442" t="s">
        <v>318</v>
      </c>
      <c r="F5" s="1443" t="s">
        <v>1012</v>
      </c>
      <c r="G5" s="1443">
        <v>70</v>
      </c>
      <c r="H5" s="1443" t="s">
        <v>1013</v>
      </c>
      <c r="I5" s="1443" t="s">
        <v>3326</v>
      </c>
      <c r="K5" s="1443" t="s">
        <v>1014</v>
      </c>
      <c r="L5" s="1443" t="s">
        <v>1014</v>
      </c>
      <c r="M5" s="1443" t="s">
        <v>1014</v>
      </c>
      <c r="N5" s="1443" t="s">
        <v>1014</v>
      </c>
      <c r="O5" s="1443" t="s">
        <v>1014</v>
      </c>
      <c r="P5" s="1443" t="s">
        <v>1014</v>
      </c>
      <c r="Q5" s="1443" t="s">
        <v>1014</v>
      </c>
      <c r="R5" s="1443" t="s">
        <v>445</v>
      </c>
      <c r="S5" s="1443" t="s">
        <v>1014</v>
      </c>
      <c r="T5" s="1443" t="s">
        <v>1015</v>
      </c>
      <c r="U5" s="1443" t="s">
        <v>1014</v>
      </c>
      <c r="W5" s="1443" t="s">
        <v>1014</v>
      </c>
      <c r="X5" s="1445" t="s">
        <v>2432</v>
      </c>
      <c r="Z5" s="1445" t="s">
        <v>2445</v>
      </c>
      <c r="AB5" s="1445" t="s">
        <v>3402</v>
      </c>
    </row>
    <row r="6" spans="1:28">
      <c r="A6" s="1441" t="s">
        <v>1016</v>
      </c>
      <c r="B6" s="1444" t="s">
        <v>449</v>
      </c>
      <c r="C6" s="1446" t="s">
        <v>24</v>
      </c>
      <c r="F6" s="1443" t="s">
        <v>1013</v>
      </c>
      <c r="H6" s="1443" t="s">
        <v>1017</v>
      </c>
      <c r="I6" s="1443" t="s">
        <v>3327</v>
      </c>
      <c r="K6" s="1443" t="s">
        <v>1018</v>
      </c>
      <c r="L6" s="1443" t="s">
        <v>1018</v>
      </c>
      <c r="M6" s="1443" t="s">
        <v>1018</v>
      </c>
      <c r="N6" s="1443" t="s">
        <v>1018</v>
      </c>
      <c r="O6" s="1443" t="s">
        <v>1018</v>
      </c>
      <c r="P6" s="1443" t="s">
        <v>1018</v>
      </c>
      <c r="Q6" s="1443" t="s">
        <v>1018</v>
      </c>
      <c r="R6" s="1443" t="s">
        <v>446</v>
      </c>
      <c r="S6" s="1443" t="s">
        <v>1018</v>
      </c>
      <c r="T6" s="1443"/>
      <c r="U6" s="1443" t="s">
        <v>1018</v>
      </c>
      <c r="W6" s="1443" t="s">
        <v>1018</v>
      </c>
      <c r="X6" s="1445" t="s">
        <v>2434</v>
      </c>
      <c r="Z6" s="1445" t="s">
        <v>2447</v>
      </c>
      <c r="AB6" s="1445" t="s">
        <v>2473</v>
      </c>
    </row>
    <row r="7" spans="1:28">
      <c r="A7" s="1441" t="s">
        <v>1019</v>
      </c>
      <c r="B7" s="1444" t="s">
        <v>450</v>
      </c>
      <c r="C7" s="1442" t="s">
        <v>25</v>
      </c>
      <c r="F7" s="1443" t="s">
        <v>1020</v>
      </c>
      <c r="H7" s="1443" t="s">
        <v>1021</v>
      </c>
      <c r="I7" s="1443" t="s">
        <v>3328</v>
      </c>
      <c r="X7" s="1445" t="s">
        <v>2436</v>
      </c>
      <c r="Z7" s="1445" t="s">
        <v>2449</v>
      </c>
      <c r="AB7" s="1445" t="s">
        <v>2475</v>
      </c>
    </row>
    <row r="8" spans="1:28">
      <c r="A8" s="1441" t="s">
        <v>1022</v>
      </c>
      <c r="B8" s="1441" t="s">
        <v>1023</v>
      </c>
      <c r="C8" s="1442" t="s">
        <v>319</v>
      </c>
      <c r="F8" s="1443" t="s">
        <v>1024</v>
      </c>
      <c r="H8" s="1443" t="s">
        <v>2564</v>
      </c>
      <c r="I8" s="1443" t="s">
        <v>3329</v>
      </c>
      <c r="X8" s="1445" t="s">
        <v>3403</v>
      </c>
      <c r="Z8" s="1445" t="s">
        <v>2451</v>
      </c>
      <c r="AB8" s="1445" t="s">
        <v>2477</v>
      </c>
    </row>
    <row r="9" spans="1:28">
      <c r="A9" s="1441" t="s">
        <v>1025</v>
      </c>
      <c r="B9" s="1441" t="s">
        <v>1026</v>
      </c>
      <c r="C9" s="1442" t="s">
        <v>320</v>
      </c>
      <c r="F9" s="1443" t="s">
        <v>1027</v>
      </c>
      <c r="H9" s="1443"/>
      <c r="I9" s="1445" t="s">
        <v>3330</v>
      </c>
      <c r="X9" s="1445" t="s">
        <v>3404</v>
      </c>
      <c r="Z9" s="1445" t="s">
        <v>2453</v>
      </c>
      <c r="AB9" s="1445" t="s">
        <v>2479</v>
      </c>
    </row>
    <row r="10" spans="1:28">
      <c r="A10" s="1441" t="s">
        <v>1028</v>
      </c>
      <c r="B10" s="1441" t="s">
        <v>1029</v>
      </c>
      <c r="C10" s="1442" t="s">
        <v>321</v>
      </c>
      <c r="F10" s="1443" t="s">
        <v>2565</v>
      </c>
      <c r="I10" s="1445" t="s">
        <v>3331</v>
      </c>
      <c r="Z10" s="1445" t="s">
        <v>2455</v>
      </c>
      <c r="AB10" s="1445" t="s">
        <v>2481</v>
      </c>
    </row>
    <row r="11" spans="1:28">
      <c r="A11" s="1441" t="s">
        <v>1030</v>
      </c>
      <c r="B11" s="1441" t="s">
        <v>1031</v>
      </c>
      <c r="C11" s="1442" t="s">
        <v>322</v>
      </c>
      <c r="F11" s="1443" t="s">
        <v>13</v>
      </c>
      <c r="I11" s="1445" t="s">
        <v>3332</v>
      </c>
      <c r="Z11" s="1445" t="s">
        <v>2457</v>
      </c>
      <c r="AB11" s="1445" t="s">
        <v>2483</v>
      </c>
    </row>
    <row r="12" spans="1:28">
      <c r="A12" s="1441" t="s">
        <v>1032</v>
      </c>
      <c r="B12" s="1441" t="s">
        <v>1033</v>
      </c>
      <c r="C12" s="1442" t="s">
        <v>323</v>
      </c>
      <c r="I12" s="1445" t="s">
        <v>3333</v>
      </c>
      <c r="Z12" s="1445" t="s">
        <v>2459</v>
      </c>
      <c r="AB12" s="1445" t="s">
        <v>2485</v>
      </c>
    </row>
    <row r="13" spans="1:28">
      <c r="A13" s="1441" t="s">
        <v>1034</v>
      </c>
      <c r="B13" s="1441" t="s">
        <v>1035</v>
      </c>
      <c r="C13" s="1442" t="s">
        <v>324</v>
      </c>
      <c r="I13" s="1445" t="s">
        <v>3334</v>
      </c>
      <c r="Z13" s="1445" t="s">
        <v>2461</v>
      </c>
    </row>
    <row r="14" spans="1:28">
      <c r="A14" s="1441" t="s">
        <v>1036</v>
      </c>
      <c r="B14" s="1441" t="s">
        <v>1037</v>
      </c>
      <c r="C14" s="1443" t="s">
        <v>13</v>
      </c>
      <c r="I14" s="1445" t="s">
        <v>3335</v>
      </c>
      <c r="Z14" s="1445" t="s">
        <v>2463</v>
      </c>
    </row>
    <row r="15" spans="1:28">
      <c r="A15" s="1441" t="s">
        <v>1038</v>
      </c>
      <c r="B15" s="1441" t="s">
        <v>1039</v>
      </c>
      <c r="C15" s="1442"/>
      <c r="I15" s="1445" t="s">
        <v>3336</v>
      </c>
    </row>
    <row r="16" spans="1:28">
      <c r="A16" s="1441" t="s">
        <v>1040</v>
      </c>
      <c r="B16" s="1441" t="s">
        <v>312</v>
      </c>
      <c r="C16" s="1442"/>
    </row>
    <row r="17" spans="1:3">
      <c r="A17" s="1441" t="s">
        <v>1041</v>
      </c>
      <c r="B17" s="1441" t="s">
        <v>2280</v>
      </c>
      <c r="C17" s="1442"/>
    </row>
    <row r="18" spans="1:3">
      <c r="A18" s="1441" t="s">
        <v>1042</v>
      </c>
      <c r="B18" s="1441" t="s">
        <v>2420</v>
      </c>
      <c r="C18" s="1442"/>
    </row>
    <row r="19" spans="1:3">
      <c r="A19" s="1441" t="s">
        <v>1043</v>
      </c>
      <c r="B19" s="1441" t="s">
        <v>313</v>
      </c>
      <c r="C19" s="1442"/>
    </row>
    <row r="20" spans="1:3">
      <c r="A20" s="1441" t="s">
        <v>1044</v>
      </c>
      <c r="B20" s="1441" t="s">
        <v>313</v>
      </c>
      <c r="C20" s="1442"/>
    </row>
    <row r="21" spans="1:3">
      <c r="A21" s="1441" t="s">
        <v>1045</v>
      </c>
      <c r="B21" s="1441" t="s">
        <v>313</v>
      </c>
      <c r="C21" s="1442"/>
    </row>
    <row r="22" spans="1:3">
      <c r="A22" s="1441" t="s">
        <v>1046</v>
      </c>
      <c r="B22" s="1441" t="s">
        <v>313</v>
      </c>
      <c r="C22" s="1442"/>
    </row>
    <row r="23" spans="1:3">
      <c r="A23" s="1441" t="s">
        <v>1047</v>
      </c>
      <c r="B23" s="1441" t="s">
        <v>313</v>
      </c>
      <c r="C23" s="1442"/>
    </row>
    <row r="24" spans="1:3">
      <c r="A24" s="1441" t="s">
        <v>1048</v>
      </c>
      <c r="B24" s="1441" t="s">
        <v>313</v>
      </c>
      <c r="C24" s="1442"/>
    </row>
    <row r="25" spans="1:3">
      <c r="A25" s="1441" t="s">
        <v>1049</v>
      </c>
      <c r="B25" s="1441" t="s">
        <v>313</v>
      </c>
      <c r="C25" s="1442"/>
    </row>
    <row r="26" spans="1:3">
      <c r="A26" s="1441" t="s">
        <v>1050</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7" t="s">
        <v>385</v>
      </c>
      <c r="C54" s="1445" t="s">
        <v>583</v>
      </c>
    </row>
    <row r="55" spans="1:4">
      <c r="A55" s="3228"/>
      <c r="B55" s="1447" t="s">
        <v>386</v>
      </c>
      <c r="C55" s="1445" t="s">
        <v>584</v>
      </c>
    </row>
    <row r="56" spans="1:4">
      <c r="A56" s="3228"/>
      <c r="B56" s="1447" t="s">
        <v>387</v>
      </c>
      <c r="C56" s="1445" t="s">
        <v>588</v>
      </c>
    </row>
    <row r="57" spans="1:4">
      <c r="A57" s="322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2487</v>
      </c>
      <c r="B1" s="2757"/>
      <c r="C1" s="2757"/>
      <c r="D1" s="2757"/>
      <c r="E1" s="2757"/>
      <c r="F1" s="2758"/>
      <c r="I1" s="3135" t="s">
        <v>2580</v>
      </c>
      <c r="J1" s="2783"/>
      <c r="K1" s="2783"/>
      <c r="L1" s="2783"/>
      <c r="M1" s="2783"/>
      <c r="N1" s="2968"/>
      <c r="O1" s="2968"/>
      <c r="P1" s="2968"/>
      <c r="Q1" s="2968"/>
      <c r="R1" s="2968"/>
    </row>
    <row r="2" spans="1:18">
      <c r="A2" s="2760"/>
      <c r="B2" s="2761"/>
      <c r="C2" s="2761"/>
      <c r="D2" s="2761"/>
      <c r="E2" s="2761"/>
      <c r="F2" s="2762"/>
      <c r="I2" s="3229" t="s">
        <v>2567</v>
      </c>
      <c r="J2" s="3229"/>
      <c r="K2" s="3229"/>
      <c r="L2" s="3229"/>
      <c r="M2" s="3229"/>
      <c r="N2" s="3229"/>
      <c r="O2" s="3229"/>
      <c r="P2" s="3229"/>
      <c r="Q2" s="3229"/>
      <c r="R2" s="3229"/>
    </row>
    <row r="3" spans="1:18">
      <c r="A3" s="2763" t="s">
        <v>2488</v>
      </c>
      <c r="B3" s="2764">
        <f>项目基本情况!D3</f>
        <v>45889</v>
      </c>
      <c r="C3" s="2766"/>
      <c r="D3" s="2766"/>
      <c r="E3" s="2766"/>
      <c r="F3" s="2762"/>
      <c r="I3" s="2778"/>
      <c r="J3" s="2778" t="s">
        <v>2571</v>
      </c>
      <c r="K3" s="2778" t="s">
        <v>2572</v>
      </c>
      <c r="L3" s="2778" t="s">
        <v>2573</v>
      </c>
      <c r="M3" s="2778" t="s">
        <v>2574</v>
      </c>
      <c r="N3" s="3136" t="s">
        <v>2575</v>
      </c>
      <c r="O3" s="3136" t="s">
        <v>2576</v>
      </c>
      <c r="P3" s="3136" t="s">
        <v>2577</v>
      </c>
      <c r="Q3" s="3136" t="s">
        <v>2578</v>
      </c>
      <c r="R3" s="3136" t="s">
        <v>2579</v>
      </c>
    </row>
    <row r="4" spans="1:18">
      <c r="A4" s="2763" t="s">
        <v>2489</v>
      </c>
      <c r="B4" s="2766" t="s">
        <v>2490</v>
      </c>
      <c r="C4" s="2766" t="s">
        <v>2491</v>
      </c>
      <c r="D4" s="2766" t="s">
        <v>2492</v>
      </c>
      <c r="E4" s="2766" t="s">
        <v>2493</v>
      </c>
      <c r="F4" s="2762"/>
      <c r="I4" s="2778" t="s">
        <v>2568</v>
      </c>
      <c r="J4" s="2778">
        <v>80</v>
      </c>
      <c r="K4" s="2778">
        <v>70</v>
      </c>
      <c r="L4" s="2778">
        <v>20</v>
      </c>
      <c r="M4" s="2778">
        <v>30</v>
      </c>
      <c r="N4" s="2766">
        <v>45</v>
      </c>
      <c r="O4" s="2766">
        <v>60</v>
      </c>
      <c r="P4" s="2766">
        <v>50</v>
      </c>
      <c r="Q4" s="2766">
        <v>20</v>
      </c>
      <c r="R4" s="2766">
        <v>375</v>
      </c>
    </row>
    <row r="5" spans="1:18">
      <c r="A5" s="2767">
        <v>40</v>
      </c>
      <c r="B5" s="2764">
        <v>46375</v>
      </c>
      <c r="C5" s="2766">
        <f>ROUNDDOWN(MIN((B5-B3)/365,A5),2)</f>
        <v>1.33</v>
      </c>
      <c r="D5" s="2768">
        <f>IF(ISERROR(ROUND(POWER(1+E5,A5-C5)*(POWER(1+E5,C5)-1)/(POWER(1+E5,A5)-1),3)),0,ROUND(POWER(1+E5,A5-C5)*(POWER(1+E5,C5)-1)/(POWER(1+E5,A5)-1),4))</f>
        <v>6.4199999999999993E-2</v>
      </c>
      <c r="E5" s="2769">
        <v>0.04</v>
      </c>
      <c r="F5" s="2762"/>
      <c r="I5" s="2778" t="s">
        <v>2569</v>
      </c>
      <c r="J5" s="2778">
        <v>70</v>
      </c>
      <c r="K5" s="2778">
        <v>60</v>
      </c>
      <c r="L5" s="2778">
        <v>15</v>
      </c>
      <c r="M5" s="2778">
        <v>25</v>
      </c>
      <c r="N5" s="2766">
        <v>40</v>
      </c>
      <c r="O5" s="2766">
        <v>50</v>
      </c>
      <c r="P5" s="2766">
        <v>40</v>
      </c>
      <c r="Q5" s="2766">
        <v>15</v>
      </c>
      <c r="R5" s="2766">
        <v>315</v>
      </c>
    </row>
    <row r="6" spans="1:18">
      <c r="A6" s="2767">
        <v>50</v>
      </c>
      <c r="B6" s="2764">
        <v>50028</v>
      </c>
      <c r="C6" s="2766">
        <f>ROUNDDOWN(MIN((B6-B3)/365,A6),2)</f>
        <v>11.33</v>
      </c>
      <c r="D6" s="2768">
        <f>IF(ISERROR(ROUND(POWER(1+E6,A6-C6)*(POWER(1+E6,C6)-1)/(POWER(1+E6,A6)-1),3)),0,ROUND(POWER(1+E6,A6-C6)*(POWER(1+E6,C6)-1)/(POWER(1+E6,A6)-1),4))</f>
        <v>0.41749999999999998</v>
      </c>
      <c r="E6" s="2769">
        <v>0.04</v>
      </c>
      <c r="F6" s="2762"/>
      <c r="I6" s="2778" t="s">
        <v>2570</v>
      </c>
      <c r="J6" s="2778">
        <v>60</v>
      </c>
      <c r="K6" s="2778">
        <v>50</v>
      </c>
      <c r="L6" s="2778">
        <v>10</v>
      </c>
      <c r="M6" s="2778">
        <v>20</v>
      </c>
      <c r="N6" s="2766">
        <v>35</v>
      </c>
      <c r="O6" s="2766">
        <v>40</v>
      </c>
      <c r="P6" s="2766">
        <v>30</v>
      </c>
      <c r="Q6" s="2766">
        <v>10</v>
      </c>
      <c r="R6" s="2766">
        <v>255</v>
      </c>
    </row>
    <row r="7" spans="1:18">
      <c r="A7" s="2767">
        <v>70</v>
      </c>
      <c r="B7" s="2764">
        <v>57333</v>
      </c>
      <c r="C7" s="2766">
        <f>ROUNDDOWN(MIN((B7-B3)/365,A7),2)</f>
        <v>31.35</v>
      </c>
      <c r="D7" s="2768">
        <f>IF(ISERROR(ROUND(POWER(1+E7,A7-C7)*(POWER(1+E7,C7)-1)/(POWER(1+E7,A7)-1),3)),0,ROUND(POWER(1+E7,A7-C7)*(POWER(1+E7,C7)-1)/(POWER(1+E7,A7)-1),4))</f>
        <v>0.75609999999999999</v>
      </c>
      <c r="E7" s="2769">
        <v>0.04</v>
      </c>
      <c r="F7" s="2762"/>
    </row>
    <row r="8" spans="1:18">
      <c r="A8" s="2760"/>
      <c r="B8" s="2761"/>
      <c r="C8" s="2761"/>
      <c r="D8" s="2761"/>
      <c r="E8" s="2761"/>
      <c r="F8" s="2762"/>
    </row>
    <row r="9" spans="1:18">
      <c r="A9" s="2763" t="s">
        <v>2494</v>
      </c>
      <c r="B9" s="2766"/>
      <c r="C9" s="2766"/>
      <c r="D9" s="2766"/>
      <c r="E9" s="2766"/>
      <c r="F9" s="2770"/>
    </row>
    <row r="10" spans="1:18">
      <c r="A10" s="2763" t="s">
        <v>2495</v>
      </c>
      <c r="B10" s="2766"/>
      <c r="C10" s="2766"/>
      <c r="D10" s="2766" t="s">
        <v>2493</v>
      </c>
      <c r="E10" s="2766"/>
      <c r="F10" s="2770" t="s">
        <v>2492</v>
      </c>
    </row>
    <row r="11" spans="1:18">
      <c r="A11" s="2763" t="s">
        <v>2496</v>
      </c>
      <c r="B11" s="2771">
        <v>70</v>
      </c>
      <c r="C11" s="2766" t="s">
        <v>2497</v>
      </c>
      <c r="D11" s="2771">
        <v>4.4999999999999998E-2</v>
      </c>
      <c r="E11" s="2766" t="s">
        <v>2498</v>
      </c>
      <c r="F11" s="2772">
        <f>ROUND(1-(1/(POWER(1+D11,B11))),4)</f>
        <v>0.95409999999999995</v>
      </c>
    </row>
    <row r="12" spans="1:18">
      <c r="A12" s="2763" t="s">
        <v>2499</v>
      </c>
      <c r="B12" s="2771">
        <v>40</v>
      </c>
      <c r="C12" s="2766" t="s">
        <v>2500</v>
      </c>
      <c r="D12" s="2771">
        <v>4.4999999999999998E-2</v>
      </c>
      <c r="E12" s="2766" t="s">
        <v>2501</v>
      </c>
      <c r="F12" s="2772">
        <f>ROUND(1-(1/(POWER(1+D12,B12))),4)</f>
        <v>0.82809999999999995</v>
      </c>
    </row>
    <row r="13" spans="1:18">
      <c r="A13" s="2763" t="s">
        <v>2502</v>
      </c>
      <c r="B13" s="2766"/>
      <c r="C13" s="2766"/>
      <c r="D13" s="2761"/>
      <c r="E13" s="2761"/>
      <c r="F13" s="2762"/>
    </row>
    <row r="14" spans="1:18">
      <c r="A14" s="2763" t="s">
        <v>2503</v>
      </c>
      <c r="B14" s="2771">
        <v>5000</v>
      </c>
      <c r="C14" s="2765"/>
      <c r="D14" s="2761"/>
      <c r="E14" s="2761"/>
      <c r="F14" s="2762"/>
    </row>
    <row r="15" spans="1:18">
      <c r="A15" s="2763" t="s">
        <v>2504</v>
      </c>
      <c r="B15" s="2766">
        <f>ROUND(B14*F12/F11,2)</f>
        <v>4339.6899999999996</v>
      </c>
      <c r="C15" s="2766">
        <f>ROUND(F12/F11,4)</f>
        <v>0.8679</v>
      </c>
      <c r="D15" s="2761"/>
      <c r="E15" s="2761"/>
      <c r="F15" s="2762"/>
    </row>
    <row r="16" spans="1:18">
      <c r="A16" s="2763" t="s">
        <v>2505</v>
      </c>
      <c r="B16" s="2766"/>
      <c r="C16" s="2766"/>
      <c r="D16" s="2761"/>
      <c r="E16" s="2761"/>
      <c r="F16" s="2762"/>
    </row>
    <row r="17" spans="1:14">
      <c r="A17" s="2763" t="s">
        <v>2504</v>
      </c>
      <c r="B17" s="2771">
        <v>4810</v>
      </c>
      <c r="C17" s="2765"/>
      <c r="D17" s="2761"/>
      <c r="E17" s="2761"/>
      <c r="F17" s="2762"/>
    </row>
    <row r="18" spans="1:14" ht="14.25" thickBot="1">
      <c r="A18" s="2773" t="s">
        <v>2503</v>
      </c>
      <c r="B18" s="2774">
        <f>ROUND(B17*F11/F12,2)</f>
        <v>5541.87</v>
      </c>
      <c r="C18" s="2774">
        <f>ROUND(F11/F12,4)</f>
        <v>1.1521999999999999</v>
      </c>
      <c r="D18" s="2775"/>
      <c r="E18" s="2775"/>
      <c r="F18" s="2776"/>
    </row>
    <row r="19" spans="1:14" ht="14.25" thickBot="1"/>
    <row r="20" spans="1:14" s="2809" customFormat="1" ht="14.25" thickTop="1">
      <c r="A20" s="2806" t="s">
        <v>2506</v>
      </c>
      <c r="B20" s="2807"/>
      <c r="C20" s="2807"/>
      <c r="D20" s="2807"/>
      <c r="E20" s="2807"/>
      <c r="F20" s="2807"/>
      <c r="G20" s="2808"/>
      <c r="I20" s="2810" t="s">
        <v>2551</v>
      </c>
      <c r="J20" s="2810" t="s">
        <v>2556</v>
      </c>
      <c r="K20" s="2810"/>
      <c r="L20" s="2810"/>
      <c r="M20" s="2810"/>
    </row>
    <row r="21" spans="1:14">
      <c r="A21" s="2777"/>
      <c r="B21" s="2778" t="s">
        <v>2507</v>
      </c>
      <c r="C21" s="2778" t="s">
        <v>2508</v>
      </c>
      <c r="D21" s="2778" t="s">
        <v>2509</v>
      </c>
      <c r="E21" s="2778" t="s">
        <v>2510</v>
      </c>
      <c r="F21" s="2778" t="s">
        <v>2511</v>
      </c>
      <c r="G21" s="2779" t="s">
        <v>2512</v>
      </c>
      <c r="I21" s="2800">
        <v>5</v>
      </c>
      <c r="J21" s="2800">
        <v>54.2</v>
      </c>
    </row>
    <row r="22" spans="1:14">
      <c r="A22" s="2777" t="s">
        <v>2513</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2514</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2554</v>
      </c>
      <c r="N23" s="3153" t="s">
        <v>2555</v>
      </c>
    </row>
    <row r="24" spans="1:14">
      <c r="A24" s="2777" t="s">
        <v>2515</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2553</v>
      </c>
      <c r="N24" s="3153">
        <v>10</v>
      </c>
    </row>
    <row r="25" spans="1:14">
      <c r="A25" s="2777" t="s">
        <v>2516</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2557</v>
      </c>
      <c r="N25" s="3153">
        <v>8</v>
      </c>
    </row>
    <row r="26" spans="1:14">
      <c r="A26" s="2782"/>
      <c r="B26" s="2783"/>
      <c r="C26" s="2783"/>
      <c r="D26" s="2783"/>
      <c r="E26" s="2783"/>
      <c r="F26" s="2783"/>
      <c r="G26" s="2784"/>
      <c r="I26" s="2800">
        <v>30</v>
      </c>
      <c r="J26" s="2800">
        <v>90.5</v>
      </c>
      <c r="K26" s="2800">
        <f t="shared" si="2"/>
        <v>4.2000000000000028</v>
      </c>
      <c r="L26" s="2800" t="s">
        <v>2558</v>
      </c>
      <c r="N26" s="3153">
        <v>5</v>
      </c>
    </row>
    <row r="27" spans="1:14">
      <c r="A27" s="2782" t="s">
        <v>2517</v>
      </c>
      <c r="B27" s="2783"/>
      <c r="C27" s="2783"/>
      <c r="D27" s="2783"/>
      <c r="E27" s="2783"/>
      <c r="F27" s="2783"/>
      <c r="G27" s="2784"/>
      <c r="I27" s="2800">
        <v>35</v>
      </c>
      <c r="J27" s="2800">
        <v>93.8</v>
      </c>
      <c r="K27" s="2800">
        <f t="shared" si="2"/>
        <v>3.2999999999999972</v>
      </c>
      <c r="L27" s="2800" t="s">
        <v>2559</v>
      </c>
      <c r="N27" s="3153">
        <v>3</v>
      </c>
    </row>
    <row r="28" spans="1:14">
      <c r="A28" s="2782" t="s">
        <v>2518</v>
      </c>
      <c r="B28" s="2783"/>
      <c r="C28" s="2783"/>
      <c r="D28" s="2783"/>
      <c r="E28" s="2783"/>
      <c r="F28" s="2783"/>
      <c r="G28" s="2784"/>
      <c r="I28" s="2800">
        <v>40</v>
      </c>
      <c r="J28" s="2800">
        <v>96.4</v>
      </c>
      <c r="K28" s="2800">
        <f t="shared" si="2"/>
        <v>2.6000000000000085</v>
      </c>
      <c r="L28" s="2800" t="s">
        <v>2560</v>
      </c>
      <c r="N28" s="3153">
        <v>2</v>
      </c>
    </row>
    <row r="29" spans="1:14">
      <c r="A29" s="2782" t="s">
        <v>2519</v>
      </c>
      <c r="B29" s="2783"/>
      <c r="C29" s="2783"/>
      <c r="D29" s="2783"/>
      <c r="E29" s="2783"/>
      <c r="F29" s="2783"/>
      <c r="G29" s="2784"/>
      <c r="I29" s="2800">
        <v>45</v>
      </c>
      <c r="J29" s="2800">
        <v>98.4</v>
      </c>
      <c r="K29" s="2800">
        <f t="shared" si="2"/>
        <v>2</v>
      </c>
    </row>
    <row r="30" spans="1:14">
      <c r="A30" s="2782" t="s">
        <v>2520</v>
      </c>
      <c r="B30" s="2783"/>
      <c r="C30" s="2783"/>
      <c r="D30" s="2783"/>
      <c r="E30" s="2783"/>
      <c r="F30" s="2783"/>
      <c r="G30" s="2784"/>
      <c r="I30" s="2800">
        <v>50</v>
      </c>
      <c r="J30" s="2800">
        <v>100</v>
      </c>
      <c r="K30" s="2800">
        <f t="shared" si="2"/>
        <v>1.5999999999999943</v>
      </c>
    </row>
    <row r="31" spans="1:14">
      <c r="A31" s="2782" t="s">
        <v>2521</v>
      </c>
      <c r="B31" s="2783"/>
      <c r="C31" s="2783"/>
      <c r="D31" s="2783"/>
      <c r="E31" s="2783"/>
      <c r="F31" s="2783"/>
      <c r="G31" s="2784"/>
      <c r="I31" s="2800" t="s">
        <v>2552</v>
      </c>
    </row>
    <row r="32" spans="1:14">
      <c r="A32" s="2782" t="s">
        <v>2522</v>
      </c>
      <c r="B32" s="2783"/>
      <c r="C32" s="2783"/>
      <c r="D32" s="2783"/>
      <c r="E32" s="2783"/>
      <c r="F32" s="2783"/>
      <c r="G32" s="2784"/>
    </row>
    <row r="33" spans="1:14">
      <c r="A33" s="2782" t="s">
        <v>2523</v>
      </c>
      <c r="B33" s="2783"/>
      <c r="C33" s="2783"/>
      <c r="D33" s="2783"/>
      <c r="E33" s="2783"/>
      <c r="F33" s="2783"/>
      <c r="G33" s="2784"/>
      <c r="I33" s="2800" t="s">
        <v>2551</v>
      </c>
      <c r="J33" s="2800" t="s">
        <v>2561</v>
      </c>
    </row>
    <row r="34" spans="1:14">
      <c r="A34" s="2782" t="s">
        <v>2524</v>
      </c>
      <c r="B34" s="2783"/>
      <c r="C34" s="2783"/>
      <c r="D34" s="2783"/>
      <c r="E34" s="2783"/>
      <c r="F34" s="2783"/>
      <c r="G34" s="2784"/>
      <c r="I34" s="2800">
        <v>5</v>
      </c>
      <c r="J34" s="2800">
        <v>55.1</v>
      </c>
    </row>
    <row r="35" spans="1:14">
      <c r="A35" s="2782" t="s">
        <v>2525</v>
      </c>
      <c r="B35" s="2783"/>
      <c r="C35" s="2783"/>
      <c r="D35" s="2783"/>
      <c r="E35" s="2783"/>
      <c r="F35" s="2783"/>
      <c r="G35" s="2784"/>
      <c r="I35" s="2800">
        <v>10</v>
      </c>
      <c r="J35" s="2800">
        <v>67</v>
      </c>
      <c r="K35" s="2800">
        <f>J35-J34</f>
        <v>11.899999999999999</v>
      </c>
    </row>
    <row r="36" spans="1:14">
      <c r="A36" s="2782" t="s">
        <v>2526</v>
      </c>
      <c r="B36" s="2783"/>
      <c r="C36" s="2783"/>
      <c r="D36" s="2783"/>
      <c r="E36" s="2783"/>
      <c r="F36" s="2783"/>
      <c r="G36" s="2784"/>
      <c r="I36" s="2800">
        <v>15</v>
      </c>
      <c r="J36" s="2800">
        <v>76.3</v>
      </c>
      <c r="K36" s="2800">
        <f t="shared" ref="K36:K41" si="3">J36-J35</f>
        <v>9.2999999999999972</v>
      </c>
      <c r="L36" s="2800" t="s">
        <v>2554</v>
      </c>
      <c r="N36" s="3153" t="s">
        <v>2555</v>
      </c>
    </row>
    <row r="37" spans="1:14">
      <c r="A37" s="2782" t="s">
        <v>2527</v>
      </c>
      <c r="B37" s="2783"/>
      <c r="C37" s="2783"/>
      <c r="D37" s="2783"/>
      <c r="E37" s="2783"/>
      <c r="F37" s="2783"/>
      <c r="G37" s="2784"/>
      <c r="I37" s="2800">
        <v>20</v>
      </c>
      <c r="J37" s="2800">
        <v>83.6</v>
      </c>
      <c r="K37" s="2800">
        <f t="shared" si="3"/>
        <v>7.2999999999999972</v>
      </c>
      <c r="L37" s="2800" t="s">
        <v>2553</v>
      </c>
      <c r="N37" s="3153">
        <v>10</v>
      </c>
    </row>
    <row r="38" spans="1:14">
      <c r="A38" s="2782" t="s">
        <v>2528</v>
      </c>
      <c r="B38" s="2783"/>
      <c r="C38" s="2783"/>
      <c r="D38" s="2783"/>
      <c r="E38" s="2783"/>
      <c r="F38" s="2783"/>
      <c r="G38" s="2784"/>
      <c r="I38" s="2800">
        <v>25</v>
      </c>
      <c r="J38" s="2800">
        <v>89.3</v>
      </c>
      <c r="K38" s="2800">
        <f t="shared" si="3"/>
        <v>5.7000000000000028</v>
      </c>
      <c r="L38" s="2800" t="s">
        <v>2557</v>
      </c>
      <c r="N38" s="3153">
        <v>8</v>
      </c>
    </row>
    <row r="39" spans="1:14">
      <c r="A39" s="2782"/>
      <c r="B39" s="2783"/>
      <c r="C39" s="2783"/>
      <c r="D39" s="2783"/>
      <c r="E39" s="2783"/>
      <c r="F39" s="2783"/>
      <c r="G39" s="2784"/>
      <c r="I39" s="2800">
        <v>30</v>
      </c>
      <c r="J39" s="2800">
        <v>93.8</v>
      </c>
      <c r="K39" s="2800">
        <f t="shared" si="3"/>
        <v>4.5</v>
      </c>
      <c r="L39" s="2800" t="s">
        <v>2558</v>
      </c>
      <c r="N39" s="3153">
        <v>6</v>
      </c>
    </row>
    <row r="40" spans="1:14">
      <c r="A40" s="2785" t="s">
        <v>2529</v>
      </c>
      <c r="B40" s="2786"/>
      <c r="C40" s="2786"/>
      <c r="D40" s="2786"/>
      <c r="E40" s="2786"/>
      <c r="F40" s="2786"/>
      <c r="G40" s="2787"/>
      <c r="I40" s="2800">
        <v>35</v>
      </c>
      <c r="J40" s="2800">
        <v>97.2</v>
      </c>
      <c r="K40" s="2800">
        <f t="shared" si="3"/>
        <v>3.4000000000000057</v>
      </c>
      <c r="L40" s="2800" t="s">
        <v>2559</v>
      </c>
      <c r="N40" s="3153">
        <v>3</v>
      </c>
    </row>
    <row r="41" spans="1:14">
      <c r="A41" s="2788" t="s">
        <v>2530</v>
      </c>
      <c r="B41" s="2789" t="s">
        <v>2531</v>
      </c>
      <c r="C41" s="2790" t="s">
        <v>2532</v>
      </c>
      <c r="D41" s="2790" t="s">
        <v>2533</v>
      </c>
      <c r="E41" s="2791"/>
      <c r="F41" s="2792"/>
      <c r="G41" s="2793"/>
      <c r="I41" s="2800">
        <v>40</v>
      </c>
      <c r="J41" s="2800">
        <v>100</v>
      </c>
      <c r="K41" s="2800">
        <f t="shared" si="3"/>
        <v>2.7999999999999972</v>
      </c>
    </row>
    <row r="42" spans="1:14">
      <c r="A42" s="2788" t="s">
        <v>2534</v>
      </c>
      <c r="B42" s="2789" t="s">
        <v>2535</v>
      </c>
      <c r="C42" s="2790" t="s">
        <v>2536</v>
      </c>
      <c r="D42" s="2794" t="s">
        <v>2537</v>
      </c>
      <c r="E42" s="2786" t="s">
        <v>2538</v>
      </c>
      <c r="F42" s="2786"/>
      <c r="G42" s="2787"/>
    </row>
    <row r="43" spans="1:14">
      <c r="A43" s="2788" t="s">
        <v>2539</v>
      </c>
      <c r="B43" s="2789" t="s">
        <v>2540</v>
      </c>
      <c r="C43" s="2790" t="s">
        <v>2541</v>
      </c>
      <c r="D43" s="2790" t="s">
        <v>2542</v>
      </c>
      <c r="E43" s="2791" t="s">
        <v>2543</v>
      </c>
      <c r="F43" s="2792"/>
      <c r="G43" s="2793"/>
      <c r="I43" s="2800" t="s">
        <v>2551</v>
      </c>
      <c r="J43" s="2800" t="s">
        <v>2562</v>
      </c>
    </row>
    <row r="44" spans="1:14">
      <c r="A44" s="2788" t="s">
        <v>2544</v>
      </c>
      <c r="B44" s="2789" t="s">
        <v>2545</v>
      </c>
      <c r="C44" s="2790" t="s">
        <v>2546</v>
      </c>
      <c r="D44" s="2794">
        <v>0.5</v>
      </c>
      <c r="E44" s="2791" t="s">
        <v>2547</v>
      </c>
      <c r="F44" s="2792"/>
      <c r="G44" s="2793"/>
      <c r="I44" s="2800">
        <v>30</v>
      </c>
      <c r="J44" s="2800">
        <v>81.7</v>
      </c>
    </row>
    <row r="45" spans="1:14" ht="14.25" thickBot="1">
      <c r="A45" s="2795" t="s">
        <v>2548</v>
      </c>
      <c r="B45" s="2796" t="s">
        <v>2535</v>
      </c>
      <c r="C45" s="2797" t="s">
        <v>2535</v>
      </c>
      <c r="D45" s="2797" t="s">
        <v>2549</v>
      </c>
      <c r="E45" s="2798" t="s">
        <v>2550</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3373</v>
      </c>
    </row>
    <row r="50" spans="1:4">
      <c r="A50" s="3145" t="s">
        <v>3374</v>
      </c>
      <c r="B50" s="3145" t="s">
        <v>3375</v>
      </c>
      <c r="C50" s="3145" t="s">
        <v>3376</v>
      </c>
      <c r="D50" s="3145" t="s">
        <v>3377</v>
      </c>
    </row>
    <row r="51" spans="1:4">
      <c r="A51" s="3145" t="s">
        <v>3378</v>
      </c>
      <c r="B51" s="2765">
        <f>B52+B53</f>
        <v>15000</v>
      </c>
      <c r="C51" s="3146">
        <f>D51/B51</f>
        <v>2666.6666666666665</v>
      </c>
      <c r="D51" s="2765">
        <f>D52+D53</f>
        <v>40000000</v>
      </c>
    </row>
    <row r="52" spans="1:4">
      <c r="A52" s="3147" t="s">
        <v>3379</v>
      </c>
      <c r="B52" s="3148">
        <v>10000</v>
      </c>
      <c r="C52" s="3148">
        <v>1500</v>
      </c>
      <c r="D52" s="3149">
        <f>C52*B52</f>
        <v>15000000</v>
      </c>
    </row>
    <row r="53" spans="1:4">
      <c r="A53" s="3147" t="s">
        <v>3380</v>
      </c>
      <c r="B53" s="3148">
        <v>5000</v>
      </c>
      <c r="C53" s="3148">
        <v>5000</v>
      </c>
      <c r="D53" s="3149">
        <f>C53*B53</f>
        <v>25000000</v>
      </c>
    </row>
    <row r="54" spans="1:4">
      <c r="A54" s="3145" t="s">
        <v>3381</v>
      </c>
      <c r="B54" s="2765">
        <f>B51</f>
        <v>15000</v>
      </c>
      <c r="C54" s="2771">
        <v>700</v>
      </c>
      <c r="D54" s="2765">
        <f t="shared" ref="D54:D55" si="5">C54*B54</f>
        <v>10500000</v>
      </c>
    </row>
    <row r="55" spans="1:4">
      <c r="A55" s="3145" t="s">
        <v>3382</v>
      </c>
      <c r="B55" s="2765">
        <f>B51</f>
        <v>15000</v>
      </c>
      <c r="C55" s="2771">
        <v>1500</v>
      </c>
      <c r="D55" s="2765">
        <f t="shared" si="5"/>
        <v>22500000</v>
      </c>
    </row>
    <row r="56" spans="1:4">
      <c r="A56" s="3145" t="s">
        <v>3383</v>
      </c>
      <c r="B56" s="2765">
        <f>B51</f>
        <v>15000</v>
      </c>
      <c r="C56" s="3150">
        <f>C51+C54+C55</f>
        <v>4866.6666666666661</v>
      </c>
      <c r="D56" s="2765">
        <f>D51+D54+D55</f>
        <v>73000000</v>
      </c>
    </row>
    <row r="58" spans="1:4">
      <c r="A58" s="3145" t="s">
        <v>3384</v>
      </c>
      <c r="B58" s="3151">
        <v>0.05</v>
      </c>
      <c r="C58" s="2765">
        <f>C56*(1+B58)</f>
        <v>5110</v>
      </c>
      <c r="D58" s="2765">
        <f>D56*B58</f>
        <v>3650000</v>
      </c>
    </row>
    <row r="60" spans="1:4">
      <c r="A60" s="3145" t="s">
        <v>3385</v>
      </c>
      <c r="B60" s="2771">
        <v>3500</v>
      </c>
      <c r="C60" s="2771">
        <f>C53</f>
        <v>5000</v>
      </c>
      <c r="D60" s="2765">
        <f>C60*B60</f>
        <v>17500000</v>
      </c>
    </row>
    <row r="62" spans="1:4">
      <c r="A62" s="3145" t="s">
        <v>3386</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2164</v>
      </c>
      <c r="B1" s="3237" t="str">
        <f>IF(B10="北京市","北京市",C10)&amp;F10&amp;IF(结果表!G1="在建","出让国有建设用地使用权及在建建筑物",IF(结果表!G1="土地","出让国有建设用地使用权",))&amp;B9&amp;"预评估"</f>
        <v>北京市房地产抵押价值预评估</v>
      </c>
      <c r="C1" s="3238"/>
      <c r="D1" s="3238"/>
      <c r="E1" s="3238"/>
      <c r="F1" s="3238"/>
      <c r="G1" s="3238"/>
      <c r="H1" s="3238"/>
      <c r="I1" s="323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2165</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2166</v>
      </c>
      <c r="B3" s="2185">
        <v>45889</v>
      </c>
      <c r="C3" s="2186" t="s">
        <v>2167</v>
      </c>
      <c r="D3" s="2185">
        <v>45889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2168</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2169</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2170</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2171</v>
      </c>
      <c r="B7" s="2198"/>
      <c r="C7" s="2196"/>
      <c r="D7" s="2197"/>
      <c r="E7" s="2441"/>
      <c r="F7" s="2442"/>
      <c r="G7" s="2442"/>
      <c r="H7" s="2442"/>
      <c r="I7" s="2442"/>
      <c r="J7" s="2245"/>
      <c r="K7" s="2402"/>
      <c r="L7" s="2399"/>
      <c r="M7" s="2399"/>
      <c r="N7" s="2245"/>
      <c r="O7" s="1670"/>
      <c r="P7" s="2245"/>
      <c r="Q7" s="2245"/>
      <c r="R7" s="2245"/>
    </row>
    <row r="8" spans="1:30">
      <c r="A8" s="2199" t="s">
        <v>2172</v>
      </c>
      <c r="B8" s="2200" t="s">
        <v>3405</v>
      </c>
      <c r="C8" s="2201"/>
      <c r="D8" s="3240" t="s">
        <v>2173</v>
      </c>
      <c r="E8" s="2202" t="s">
        <v>3406</v>
      </c>
      <c r="F8" s="2203"/>
      <c r="G8" s="2442"/>
      <c r="H8" s="2442"/>
      <c r="I8" s="2442"/>
      <c r="J8" s="2245"/>
      <c r="K8" s="2400"/>
      <c r="L8" s="2399"/>
      <c r="M8" s="2399"/>
      <c r="N8" s="2245"/>
      <c r="O8" s="1670"/>
      <c r="P8" s="2245"/>
      <c r="Q8" s="2245"/>
      <c r="R8" s="2245"/>
    </row>
    <row r="9" spans="1:30" ht="13.5" thickBot="1">
      <c r="A9" s="2204" t="s">
        <v>2174</v>
      </c>
      <c r="B9" s="2205" t="s">
        <v>3406</v>
      </c>
      <c r="C9" s="2206"/>
      <c r="D9" s="3241"/>
      <c r="E9" s="2205" t="s">
        <v>43</v>
      </c>
      <c r="F9" s="2207"/>
      <c r="G9" s="2443"/>
      <c r="H9" s="2443"/>
      <c r="I9" s="2443"/>
      <c r="J9" s="2245"/>
      <c r="K9" s="2402"/>
      <c r="L9" s="2399"/>
      <c r="M9" s="2399"/>
      <c r="N9" s="2245"/>
      <c r="O9" s="1670"/>
      <c r="P9" s="2245"/>
      <c r="Q9" s="2245"/>
      <c r="R9" s="2245"/>
    </row>
    <row r="10" spans="1:30" ht="13.5" thickTop="1">
      <c r="A10" s="2208" t="s">
        <v>2175</v>
      </c>
      <c r="B10" s="2209" t="s">
        <v>3407</v>
      </c>
      <c r="C10" s="2210"/>
      <c r="D10" s="2193"/>
      <c r="E10" s="2211" t="s">
        <v>2176</v>
      </c>
      <c r="F10" s="2444"/>
      <c r="G10" s="2445"/>
      <c r="H10" s="2446"/>
      <c r="I10" s="2447"/>
      <c r="J10" s="2245"/>
      <c r="K10" s="2402"/>
      <c r="L10" s="2399"/>
      <c r="M10" s="2399"/>
      <c r="N10" s="2245"/>
      <c r="O10" s="1670"/>
      <c r="P10" s="2245"/>
      <c r="Q10" s="2245"/>
      <c r="R10" s="2245"/>
    </row>
    <row r="11" spans="1:30">
      <c r="A11" s="2212" t="s">
        <v>2177</v>
      </c>
      <c r="B11" s="2213" t="s">
        <v>3408</v>
      </c>
      <c r="C11" s="2214"/>
      <c r="D11" s="2215"/>
      <c r="E11" s="2182"/>
      <c r="F11" s="2182"/>
      <c r="G11" s="2182"/>
      <c r="H11" s="2182"/>
      <c r="I11" s="2182"/>
      <c r="J11" s="2802"/>
      <c r="K11" s="2399"/>
      <c r="L11" s="2399"/>
      <c r="M11" s="2399"/>
      <c r="N11" s="2245"/>
      <c r="O11" s="1670"/>
      <c r="P11" s="2245"/>
      <c r="Q11" s="2245"/>
      <c r="R11" s="2245"/>
    </row>
    <row r="12" spans="1:30">
      <c r="A12" s="2216" t="s">
        <v>2178</v>
      </c>
      <c r="B12" s="315" t="s">
        <v>2179</v>
      </c>
      <c r="C12" s="2217" t="s">
        <v>2180</v>
      </c>
      <c r="D12" s="2217" t="s">
        <v>2181</v>
      </c>
      <c r="E12" s="2217" t="s">
        <v>2182</v>
      </c>
      <c r="F12" s="2217" t="s">
        <v>2183</v>
      </c>
      <c r="G12" s="2217" t="s">
        <v>2184</v>
      </c>
      <c r="H12" s="2217" t="s">
        <v>2185</v>
      </c>
      <c r="I12" s="2801" t="s">
        <v>2563</v>
      </c>
      <c r="J12" s="2803"/>
      <c r="K12" s="2399"/>
      <c r="L12" s="2399"/>
      <c r="M12" s="2245"/>
      <c r="N12" s="1670"/>
      <c r="O12" s="2245"/>
      <c r="P12" s="2245"/>
      <c r="Q12" s="2245"/>
      <c r="AD12" s="1618"/>
    </row>
    <row r="13" spans="1:30">
      <c r="A13" s="3122" t="s">
        <v>3319</v>
      </c>
      <c r="B13" s="2218" t="s">
        <v>2186</v>
      </c>
      <c r="C13" s="803"/>
      <c r="D13" s="803">
        <v>52838</v>
      </c>
      <c r="E13" s="803">
        <v>56490</v>
      </c>
      <c r="F13" s="803">
        <v>56490</v>
      </c>
      <c r="G13" s="803">
        <v>56490</v>
      </c>
      <c r="H13" s="803"/>
      <c r="I13" s="803"/>
      <c r="J13" s="2803"/>
      <c r="K13" s="2399"/>
      <c r="L13" s="2399"/>
      <c r="M13" s="2245"/>
      <c r="N13" s="1670"/>
      <c r="O13" s="2245"/>
      <c r="P13" s="2245"/>
      <c r="Q13" s="2245"/>
      <c r="AD13" s="1618"/>
    </row>
    <row r="14" spans="1:30">
      <c r="A14" s="1018"/>
      <c r="B14" s="2218" t="s">
        <v>2187</v>
      </c>
      <c r="C14" s="2219"/>
      <c r="D14" s="2219">
        <v>40</v>
      </c>
      <c r="E14" s="2219">
        <v>50</v>
      </c>
      <c r="F14" s="2219">
        <v>50</v>
      </c>
      <c r="G14" s="2219">
        <v>50</v>
      </c>
      <c r="H14" s="2219"/>
      <c r="I14" s="2219"/>
      <c r="J14" s="2804"/>
      <c r="K14" s="2399"/>
      <c r="L14" s="2399"/>
      <c r="M14" s="2245"/>
      <c r="N14" s="1670"/>
      <c r="O14" s="2245"/>
      <c r="P14" s="2245"/>
      <c r="Q14" s="2245"/>
      <c r="AD14" s="1618"/>
    </row>
    <row r="15" spans="1:30">
      <c r="A15" s="312"/>
      <c r="B15" s="2220" t="s">
        <v>2188</v>
      </c>
      <c r="C15" s="2221" t="str">
        <f>IF(A13="出让",IF(C13="","",ROUNDDOWN(MIN((C13-$D$3)/365,C14),2)),C14)</f>
        <v/>
      </c>
      <c r="D15" s="2221">
        <f>IF(A13="出让",IF(D13="","",ROUNDDOWN(MIN((D13-$D$3)/365,D14),2)),D14)</f>
        <v>19.03</v>
      </c>
      <c r="E15" s="2221">
        <f>IF(A13="出让",IF(E13="","",ROUNDDOWN(MIN((E13-$D$3)/365,E14),2)),E14)</f>
        <v>29.04</v>
      </c>
      <c r="F15" s="2221">
        <f>IF(A13="出让",IF(F13="","",ROUNDDOWN(MIN((F13-$D$3)/365,F14),2)),F14)</f>
        <v>29.04</v>
      </c>
      <c r="G15" s="2221">
        <f>IF(A13="出让",IF(G13="","",ROUNDDOWN(MIN((G13-$D$3)/365,G14),2)),G14)</f>
        <v>29.04</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2189</v>
      </c>
      <c r="B16" s="3247"/>
      <c r="C16" s="3248"/>
      <c r="D16" s="3249"/>
      <c r="E16" s="2222" t="s">
        <v>2190</v>
      </c>
      <c r="F16" s="3250"/>
      <c r="G16" s="3251"/>
      <c r="H16" s="3251"/>
      <c r="I16" s="3252"/>
      <c r="J16" s="2245"/>
      <c r="K16" s="2403"/>
      <c r="L16" s="1670"/>
      <c r="M16" s="1670"/>
      <c r="N16" s="2245"/>
      <c r="O16" s="1670"/>
      <c r="P16" s="2245"/>
      <c r="Q16" s="2245"/>
      <c r="R16" s="2245"/>
    </row>
    <row r="17" spans="1:28">
      <c r="A17" s="305" t="s">
        <v>2191</v>
      </c>
      <c r="B17" s="294" t="s">
        <v>2192</v>
      </c>
      <c r="C17" s="8">
        <f>'数据-汇总表'!E3</f>
        <v>36389.269999999997</v>
      </c>
      <c r="D17" s="1256" t="s">
        <v>2193</v>
      </c>
      <c r="E17" s="3253" t="s">
        <v>2194</v>
      </c>
      <c r="F17" s="3254"/>
      <c r="G17" s="3254"/>
      <c r="H17" s="3254"/>
      <c r="I17" s="3255"/>
      <c r="J17" s="2245"/>
      <c r="K17" s="2404"/>
      <c r="L17" s="1670"/>
      <c r="M17" s="1670"/>
      <c r="N17" s="2245"/>
      <c r="O17" s="1670"/>
      <c r="P17" s="2245"/>
      <c r="Q17" s="2245"/>
      <c r="R17" s="2245"/>
      <c r="S17" s="2245"/>
      <c r="T17" s="2245"/>
      <c r="U17" s="2245"/>
      <c r="V17" s="2245"/>
    </row>
    <row r="18" spans="1:28" ht="24.75" thickBot="1">
      <c r="A18" s="2223" t="s">
        <v>2195</v>
      </c>
      <c r="B18" s="1027" t="s">
        <v>2196</v>
      </c>
      <c r="C18" s="2224">
        <f>'数据-汇总表'!D3</f>
        <v>0</v>
      </c>
      <c r="D18" s="1029" t="s">
        <v>2197</v>
      </c>
      <c r="E18" s="3256" t="s">
        <v>2198</v>
      </c>
      <c r="F18" s="3257"/>
      <c r="G18" s="3257"/>
      <c r="H18" s="3257"/>
      <c r="I18" s="3258"/>
      <c r="J18" s="2245"/>
      <c r="K18" s="2404"/>
      <c r="L18" s="1670"/>
      <c r="M18" s="1670"/>
      <c r="N18" s="2245"/>
      <c r="O18" s="1670"/>
      <c r="P18" s="2245"/>
      <c r="Q18" s="2245"/>
      <c r="R18" s="2245"/>
      <c r="S18" s="2245"/>
      <c r="T18" s="2245"/>
      <c r="U18" s="2245"/>
      <c r="V18" s="2245"/>
    </row>
    <row r="19" spans="1:28" ht="37.5" thickTop="1" thickBot="1">
      <c r="A19" s="319" t="s">
        <v>1051</v>
      </c>
      <c r="B19" s="299" t="s">
        <v>2199</v>
      </c>
      <c r="C19" s="1455"/>
      <c r="D19" s="1456" t="s">
        <v>2200</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2201</v>
      </c>
      <c r="B20" s="3243" t="s">
        <v>2202</v>
      </c>
      <c r="C20" s="3244"/>
      <c r="D20" s="3245" t="s">
        <v>2203</v>
      </c>
      <c r="E20" s="3246"/>
      <c r="F20" s="2430" t="s">
        <v>1052</v>
      </c>
      <c r="G20" s="2442"/>
      <c r="H20" s="2442"/>
      <c r="I20" s="2442"/>
      <c r="J20" s="2245"/>
      <c r="K20" s="3242"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2205</v>
      </c>
      <c r="C21" s="2296" t="s">
        <v>1053</v>
      </c>
      <c r="D21" s="1460" t="s">
        <v>2206</v>
      </c>
      <c r="E21" s="2419" t="s">
        <v>1053</v>
      </c>
      <c r="F21" s="2431"/>
      <c r="G21" s="2442"/>
      <c r="H21" s="2442"/>
      <c r="I21" s="2442"/>
      <c r="J21" s="2245"/>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2207</v>
      </c>
      <c r="C22" s="2296" t="s">
        <v>1054</v>
      </c>
      <c r="D22" s="2442"/>
      <c r="E22" s="2442"/>
      <c r="F22" s="2442"/>
      <c r="G22" s="2442"/>
      <c r="H22" s="2442"/>
      <c r="I22" s="2442"/>
      <c r="J22" s="2245"/>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2208</v>
      </c>
      <c r="B23" s="2293" t="s">
        <v>2209</v>
      </c>
      <c r="C23" s="2422"/>
      <c r="D23" s="2423" t="s">
        <v>2209</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1055</v>
      </c>
      <c r="C24" s="2271"/>
      <c r="D24" s="2421" t="s">
        <v>1055</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1056</v>
      </c>
      <c r="C25" s="2271"/>
      <c r="D25" s="2421" t="s">
        <v>1056</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1057</v>
      </c>
      <c r="C26" s="2428"/>
      <c r="D26" s="2426" t="s">
        <v>1057</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1" t="s">
        <v>2210</v>
      </c>
      <c r="B27" s="312" t="s">
        <v>2211</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1"/>
      <c r="B28" s="294" t="s">
        <v>2212</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1"/>
      <c r="B29" s="294" t="s">
        <v>2213</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2"/>
      <c r="B30" s="294" t="s">
        <v>2214</v>
      </c>
      <c r="C30" s="3233"/>
      <c r="D30" s="3234"/>
      <c r="E30" s="2442"/>
      <c r="F30" s="2442"/>
      <c r="G30" s="2442"/>
      <c r="H30" s="2442"/>
      <c r="I30" s="2442"/>
      <c r="J30" s="2245"/>
      <c r="K30" s="2402"/>
      <c r="L30" s="2399"/>
      <c r="M30" s="2399"/>
      <c r="N30" s="2245"/>
      <c r="O30" s="1670"/>
      <c r="P30" s="2245"/>
      <c r="Q30" s="2245"/>
      <c r="R30" s="2245"/>
      <c r="S30" s="2245"/>
      <c r="T30" s="2245"/>
      <c r="U30" s="2245"/>
      <c r="V30" s="2245"/>
    </row>
    <row r="31" spans="1:28">
      <c r="A31" s="3235" t="s">
        <v>2215</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2216</v>
      </c>
      <c r="B34" s="1870"/>
      <c r="C34" s="1870"/>
      <c r="D34" s="1870"/>
      <c r="E34" s="1870"/>
      <c r="F34" s="1870"/>
      <c r="G34" s="1870"/>
      <c r="H34" s="1870"/>
      <c r="I34" s="2442"/>
      <c r="J34" s="2245"/>
      <c r="K34" s="8">
        <f>COUNTIF(B34:H34,"——")</f>
        <v>0</v>
      </c>
      <c r="L34" s="315" t="s">
        <v>2217</v>
      </c>
      <c r="M34" s="315" t="s">
        <v>2218</v>
      </c>
      <c r="N34" s="315" t="s">
        <v>2219</v>
      </c>
      <c r="O34" s="315" t="s">
        <v>2220</v>
      </c>
      <c r="P34" s="315" t="s">
        <v>2221</v>
      </c>
      <c r="Q34" s="315" t="s">
        <v>2222</v>
      </c>
      <c r="R34" s="315" t="s">
        <v>2223</v>
      </c>
      <c r="S34" s="3230" t="s">
        <v>2224</v>
      </c>
      <c r="T34" s="315" t="str">
        <f>NUMBERSTRING(7-K34,1)&amp;"通"</f>
        <v>七通</v>
      </c>
      <c r="U34" s="2245"/>
      <c r="V34" s="2245"/>
    </row>
    <row r="35" spans="1:30">
      <c r="A35" s="2236"/>
      <c r="B35" s="3230" t="s">
        <v>2225</v>
      </c>
      <c r="C35" s="3230"/>
      <c r="D35" s="3230"/>
      <c r="E35" s="323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5"/>
      <c r="V35" s="2245"/>
    </row>
    <row r="36" spans="1:30">
      <c r="A36" s="2183"/>
      <c r="B36" s="8" t="s">
        <v>2181</v>
      </c>
      <c r="C36" s="8" t="s">
        <v>2182</v>
      </c>
      <c r="D36" s="8" t="s">
        <v>2180</v>
      </c>
      <c r="E36" s="8" t="s">
        <v>2185</v>
      </c>
      <c r="F36" s="2801" t="s">
        <v>2566</v>
      </c>
      <c r="G36" s="2442"/>
      <c r="H36" s="2442"/>
      <c r="I36" s="2442"/>
      <c r="J36" s="2245"/>
      <c r="K36" s="2402"/>
      <c r="L36" s="2399"/>
      <c r="M36" s="2399"/>
      <c r="N36" s="2245"/>
      <c r="O36" s="1670"/>
      <c r="P36" s="2245"/>
      <c r="Q36" s="2245"/>
      <c r="R36" s="2245"/>
      <c r="S36" s="2245"/>
      <c r="T36" s="2245"/>
      <c r="U36" s="2245"/>
      <c r="V36" s="2245"/>
    </row>
    <row r="37" spans="1:30">
      <c r="A37" s="2415" t="s">
        <v>2226</v>
      </c>
      <c r="B37" s="2237" t="s">
        <v>184</v>
      </c>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2227</v>
      </c>
      <c r="B38" s="2238" t="s">
        <v>230</v>
      </c>
      <c r="C38" s="2238" t="s">
        <v>251</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2228</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2229</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2230</v>
      </c>
      <c r="B42" s="8" t="s">
        <v>2231</v>
      </c>
      <c r="C42" s="8" t="s">
        <v>2232</v>
      </c>
      <c r="D42" s="8" t="s">
        <v>2233</v>
      </c>
      <c r="E42" s="8" t="s">
        <v>2234</v>
      </c>
      <c r="F42" s="8" t="s">
        <v>2235</v>
      </c>
      <c r="G42" s="8" t="s">
        <v>2236</v>
      </c>
      <c r="H42" s="8" t="s">
        <v>2237</v>
      </c>
      <c r="I42" s="8" t="s">
        <v>2238</v>
      </c>
      <c r="J42" s="2411" t="s">
        <v>2239</v>
      </c>
      <c r="K42" s="2412" t="s">
        <v>2240</v>
      </c>
      <c r="L42" s="2412" t="s">
        <v>2241</v>
      </c>
      <c r="M42" s="2412" t="s">
        <v>2242</v>
      </c>
      <c r="N42" s="2405" t="s">
        <v>2243</v>
      </c>
      <c r="O42" s="2405" t="s">
        <v>2244</v>
      </c>
      <c r="P42" s="2405" t="s">
        <v>2245</v>
      </c>
      <c r="Q42" s="2406" t="s">
        <v>2246</v>
      </c>
      <c r="R42" s="2406" t="s">
        <v>2247</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7DECF-E9DF-4F96-9BE7-601942D6CA4D}">
  <dimension ref="A22:M29"/>
  <sheetViews>
    <sheetView tabSelected="1" zoomScaleNormal="100" workbookViewId="0">
      <selection activeCell="K32" sqref="K32"/>
    </sheetView>
  </sheetViews>
  <sheetFormatPr defaultRowHeight="13.5"/>
  <cols>
    <col min="1" max="1" width="5.25" bestFit="1" customWidth="1"/>
    <col min="2" max="2" width="39.625" bestFit="1" customWidth="1"/>
    <col min="4" max="4" width="9.5" bestFit="1" customWidth="1"/>
    <col min="5" max="5" width="15.125" bestFit="1" customWidth="1"/>
    <col min="8" max="8" width="5.25" bestFit="1" customWidth="1"/>
    <col min="9" max="9" width="9.5" bestFit="1" customWidth="1"/>
    <col min="12" max="12" width="9.5" bestFit="1" customWidth="1"/>
    <col min="13" max="13" width="12.625" customWidth="1"/>
  </cols>
  <sheetData>
    <row r="22" spans="1:13">
      <c r="A22" s="3186" t="s">
        <v>3562</v>
      </c>
      <c r="B22" s="3186" t="s">
        <v>3563</v>
      </c>
      <c r="C22" s="3186" t="s">
        <v>3564</v>
      </c>
      <c r="D22" s="3186" t="s">
        <v>3427</v>
      </c>
      <c r="E22" s="3186" t="s">
        <v>2530</v>
      </c>
      <c r="H22" s="1405" t="s">
        <v>3426</v>
      </c>
      <c r="I22" s="1405" t="s">
        <v>3427</v>
      </c>
      <c r="J22" s="1405" t="s">
        <v>3428</v>
      </c>
    </row>
    <row r="23" spans="1:13">
      <c r="A23" s="3186">
        <v>1</v>
      </c>
      <c r="B23" s="3186" t="s">
        <v>3565</v>
      </c>
      <c r="C23" s="3187" t="s">
        <v>3566</v>
      </c>
      <c r="D23" s="3186">
        <v>36331.879999999997</v>
      </c>
      <c r="E23" s="3186" t="s">
        <v>3567</v>
      </c>
      <c r="H23">
        <v>-2</v>
      </c>
      <c r="I23">
        <f>43.52+13.87</f>
        <v>57.39</v>
      </c>
      <c r="J23" s="1405" t="s">
        <v>3429</v>
      </c>
    </row>
    <row r="24" spans="1:13">
      <c r="A24" s="3186">
        <v>2</v>
      </c>
      <c r="B24" s="3186" t="s">
        <v>3568</v>
      </c>
      <c r="C24" s="3187">
        <v>-2</v>
      </c>
      <c r="D24" s="3186">
        <v>43.52</v>
      </c>
      <c r="E24" s="3186" t="s">
        <v>3429</v>
      </c>
      <c r="H24">
        <v>-1</v>
      </c>
      <c r="I24">
        <f>36331.88/5</f>
        <v>7266.3759999999993</v>
      </c>
      <c r="J24" s="1405" t="s">
        <v>3430</v>
      </c>
      <c r="K24">
        <v>0.5</v>
      </c>
      <c r="L24">
        <f>L25*K24</f>
        <v>25000</v>
      </c>
      <c r="M24">
        <f>L24*I24</f>
        <v>181659399.99999997</v>
      </c>
    </row>
    <row r="25" spans="1:13">
      <c r="A25" s="3186">
        <v>3</v>
      </c>
      <c r="B25" s="3186" t="s">
        <v>3569</v>
      </c>
      <c r="C25" s="3187">
        <v>-2</v>
      </c>
      <c r="D25" s="3186">
        <v>13.87</v>
      </c>
      <c r="E25" s="3186" t="s">
        <v>3429</v>
      </c>
      <c r="H25">
        <v>1</v>
      </c>
      <c r="I25">
        <f t="shared" ref="I25:I28" si="0">36331.88/5</f>
        <v>7266.3759999999993</v>
      </c>
      <c r="J25" s="1405" t="s">
        <v>3430</v>
      </c>
      <c r="K25">
        <v>1</v>
      </c>
      <c r="L25">
        <v>50000</v>
      </c>
      <c r="M25">
        <f t="shared" ref="M25:M28" si="1">L25*I25</f>
        <v>363318799.99999994</v>
      </c>
    </row>
    <row r="26" spans="1:13">
      <c r="A26" s="3186"/>
      <c r="B26" s="3186" t="s">
        <v>2579</v>
      </c>
      <c r="C26" s="3186"/>
      <c r="D26" s="3186">
        <f>SUM(D23:D25)</f>
        <v>36389.269999999997</v>
      </c>
      <c r="E26" s="3186"/>
      <c r="H26">
        <v>2</v>
      </c>
      <c r="I26">
        <f t="shared" si="0"/>
        <v>7266.3759999999993</v>
      </c>
      <c r="J26" s="1405" t="s">
        <v>3430</v>
      </c>
      <c r="K26">
        <v>0.7</v>
      </c>
      <c r="L26">
        <f>L25*K26</f>
        <v>35000</v>
      </c>
      <c r="M26">
        <f t="shared" si="1"/>
        <v>254323159.99999997</v>
      </c>
    </row>
    <row r="27" spans="1:13">
      <c r="H27">
        <v>3</v>
      </c>
      <c r="I27">
        <f t="shared" si="0"/>
        <v>7266.3759999999993</v>
      </c>
      <c r="J27" s="1405" t="s">
        <v>3430</v>
      </c>
      <c r="K27">
        <v>0.6</v>
      </c>
      <c r="L27">
        <f>L25*K27</f>
        <v>30000</v>
      </c>
      <c r="M27">
        <f t="shared" si="1"/>
        <v>217991279.99999997</v>
      </c>
    </row>
    <row r="28" spans="1:13">
      <c r="H28">
        <v>4</v>
      </c>
      <c r="I28">
        <f t="shared" si="0"/>
        <v>7266.3759999999993</v>
      </c>
      <c r="J28" s="1405" t="s">
        <v>3430</v>
      </c>
      <c r="K28">
        <v>0.5</v>
      </c>
      <c r="L28">
        <f>L25*K28</f>
        <v>25000</v>
      </c>
      <c r="M28">
        <f t="shared" si="1"/>
        <v>181659399.99999997</v>
      </c>
    </row>
    <row r="29" spans="1:13">
      <c r="I29">
        <f>SUM(I23:I28)</f>
        <v>36389.269999999997</v>
      </c>
      <c r="L29">
        <f>M29/I29</f>
        <v>32947.955262636482</v>
      </c>
      <c r="M29">
        <f>SUM(M23:M28)</f>
        <v>1198952039.9999998</v>
      </c>
    </row>
  </sheetData>
  <phoneticPr fontId="13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3" sqref="N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1058</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1059</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1060</v>
      </c>
      <c r="B2" s="8" t="s">
        <v>1061</v>
      </c>
      <c r="C2" s="8" t="s">
        <v>1062</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1063</v>
      </c>
      <c r="AZ2" s="987" t="s">
        <v>1064</v>
      </c>
      <c r="BA2" s="8" t="s">
        <v>1065</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36389.269999999997</v>
      </c>
      <c r="C3" s="1469" t="s">
        <v>1066</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1067</v>
      </c>
      <c r="B5" s="1259"/>
      <c r="C5" s="1259"/>
      <c r="D5" s="1260"/>
      <c r="E5" s="13" t="s">
        <v>0</v>
      </c>
      <c r="F5" s="13">
        <f>SUM(F13:F587)</f>
        <v>0</v>
      </c>
      <c r="G5" s="13">
        <f>SUM(G13:G587)</f>
        <v>36389.269999999997</v>
      </c>
      <c r="H5" s="13">
        <f t="shared" ref="H5:AT5" si="0">SUM(H13:H656)</f>
        <v>36389.269999999997</v>
      </c>
      <c r="I5" s="13">
        <f t="shared" si="0"/>
        <v>29065.503999999997</v>
      </c>
      <c r="J5" s="13">
        <f t="shared" si="0"/>
        <v>0</v>
      </c>
      <c r="K5" s="13">
        <f t="shared" si="0"/>
        <v>7266.3759999999993</v>
      </c>
      <c r="L5" s="13">
        <f t="shared" si="0"/>
        <v>0</v>
      </c>
      <c r="M5" s="13">
        <f t="shared" si="0"/>
        <v>57.39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1067</v>
      </c>
      <c r="AW5" s="1259"/>
      <c r="AX5" s="1259"/>
      <c r="AY5" s="14" t="s">
        <v>2</v>
      </c>
      <c r="AZ5" s="15">
        <f t="shared" ref="AZ5:BT5" si="1">SUM(AZ13:AZ656)</f>
        <v>36389.269999999997</v>
      </c>
      <c r="BA5" s="15">
        <f t="shared" si="1"/>
        <v>36389.269999999997</v>
      </c>
      <c r="BB5" s="15">
        <f t="shared" si="1"/>
        <v>29065.503999999997</v>
      </c>
      <c r="BC5" s="15">
        <f t="shared" si="1"/>
        <v>7266.3759999999993</v>
      </c>
      <c r="BD5" s="15">
        <f t="shared" si="1"/>
        <v>57.39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1068</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1068</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1069</v>
      </c>
      <c r="B7" s="1461" t="s">
        <v>1070</v>
      </c>
      <c r="C7" s="1461" t="s">
        <v>1071</v>
      </c>
      <c r="D7" s="1461" t="s">
        <v>1072</v>
      </c>
      <c r="E7" s="1461" t="s">
        <v>1073</v>
      </c>
      <c r="F7" s="1461" t="s">
        <v>1074</v>
      </c>
      <c r="G7" s="1478" t="s">
        <v>1075</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1076</v>
      </c>
      <c r="AV7" s="20" t="s">
        <v>1077</v>
      </c>
      <c r="AW7" s="1466" t="s">
        <v>1078</v>
      </c>
      <c r="AX7" s="20" t="s">
        <v>1071</v>
      </c>
      <c r="AY7" s="1259" t="s">
        <v>1079</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1080</v>
      </c>
      <c r="H8" s="1484" t="s">
        <v>1081</v>
      </c>
      <c r="I8" s="1485"/>
      <c r="J8" s="1269"/>
      <c r="K8" s="1269"/>
      <c r="L8" s="1269"/>
      <c r="M8" s="1269"/>
      <c r="N8" s="1269"/>
      <c r="O8" s="1269"/>
      <c r="P8" s="1269"/>
      <c r="Q8" s="1269"/>
      <c r="R8" s="1269"/>
      <c r="S8" s="1269"/>
      <c r="T8" s="1269"/>
      <c r="U8" s="1269"/>
      <c r="V8" s="1486"/>
      <c r="W8" s="1269"/>
      <c r="X8" s="1269"/>
      <c r="Y8" s="1269"/>
      <c r="Z8" s="1269"/>
      <c r="AA8" s="1486"/>
      <c r="AB8" s="1487"/>
      <c r="AC8" s="761" t="s">
        <v>1082</v>
      </c>
      <c r="AD8" s="1488"/>
      <c r="AE8" s="1480"/>
      <c r="AF8" s="1269"/>
      <c r="AG8" s="1269"/>
      <c r="AH8" s="1269"/>
      <c r="AI8" s="1269"/>
      <c r="AJ8" s="1269"/>
      <c r="AK8" s="1269"/>
      <c r="AL8" s="1269"/>
      <c r="AM8" s="1269"/>
      <c r="AN8" s="1269"/>
      <c r="AO8" s="1269"/>
      <c r="AP8" s="1269"/>
      <c r="AQ8" s="1269"/>
      <c r="AR8" s="1269"/>
      <c r="AS8" s="1269"/>
      <c r="AT8" s="1007" t="s">
        <v>1083</v>
      </c>
      <c r="AU8" s="1482" t="s">
        <v>1084</v>
      </c>
      <c r="AV8" s="1007"/>
      <c r="AW8" s="1467"/>
      <c r="AX8" s="1007"/>
      <c r="AY8" s="1466" t="s">
        <v>1085</v>
      </c>
      <c r="AZ8" s="1268" t="s">
        <v>1086</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1087</v>
      </c>
      <c r="I9" s="1491" t="s">
        <v>3410</v>
      </c>
      <c r="J9" s="761"/>
      <c r="K9" s="1491" t="s">
        <v>3411</v>
      </c>
      <c r="L9" s="761"/>
      <c r="M9" s="1491" t="s">
        <v>3411</v>
      </c>
      <c r="N9" s="761"/>
      <c r="O9" s="1491"/>
      <c r="P9" s="761"/>
      <c r="Q9" s="1491"/>
      <c r="R9" s="761"/>
      <c r="S9" s="1491"/>
      <c r="T9" s="761"/>
      <c r="U9" s="1491"/>
      <c r="V9" s="761"/>
      <c r="W9" s="1491"/>
      <c r="X9" s="1492"/>
      <c r="Y9" s="1491"/>
      <c r="Z9" s="761"/>
      <c r="AA9" s="1491"/>
      <c r="AB9" s="761"/>
      <c r="AC9" s="1483" t="s">
        <v>1087</v>
      </c>
      <c r="AD9" s="12" t="s">
        <v>1088</v>
      </c>
      <c r="AE9" s="1013"/>
      <c r="AF9" s="12" t="s">
        <v>1089</v>
      </c>
      <c r="AG9" s="1013"/>
      <c r="AH9" s="12" t="s">
        <v>1088</v>
      </c>
      <c r="AI9" s="1013"/>
      <c r="AJ9" s="12" t="s">
        <v>1089</v>
      </c>
      <c r="AK9" s="1013"/>
      <c r="AL9" s="12" t="s">
        <v>1088</v>
      </c>
      <c r="AM9" s="1013"/>
      <c r="AN9" s="12" t="s">
        <v>1089</v>
      </c>
      <c r="AO9" s="1013"/>
      <c r="AP9" s="12" t="s">
        <v>1088</v>
      </c>
      <c r="AQ9" s="1013"/>
      <c r="AR9" s="12" t="s">
        <v>1089</v>
      </c>
      <c r="AS9" s="1493"/>
      <c r="AT9" s="1482"/>
      <c r="AU9" s="1482" t="s">
        <v>1090</v>
      </c>
      <c r="AV9" s="1007"/>
      <c r="AW9" s="1467"/>
      <c r="AX9" s="1007"/>
      <c r="AY9" s="25"/>
      <c r="AZ9" s="25" t="s">
        <v>1080</v>
      </c>
      <c r="BA9" s="1494" t="s">
        <v>1091</v>
      </c>
      <c r="BB9" s="1495"/>
      <c r="BC9" s="1025"/>
      <c r="BD9" s="1025"/>
      <c r="BE9" s="1025"/>
      <c r="BF9" s="1025"/>
      <c r="BG9" s="1025"/>
      <c r="BH9" s="1025"/>
      <c r="BI9" s="1025"/>
      <c r="BJ9" s="1025"/>
      <c r="BK9" s="1496"/>
      <c r="BL9" s="12" t="s">
        <v>1092</v>
      </c>
      <c r="BM9" s="1269"/>
      <c r="BN9" s="1485"/>
      <c r="BO9" s="1269"/>
      <c r="BP9" s="1269"/>
      <c r="BQ9" s="1269"/>
      <c r="BR9" s="1269"/>
      <c r="BS9" s="1269"/>
      <c r="BT9" s="23"/>
    </row>
    <row r="10" spans="1:72" s="1489" customFormat="1" ht="12.75">
      <c r="A10" s="1482"/>
      <c r="B10" s="1482"/>
      <c r="C10" s="1482"/>
      <c r="D10" s="1482"/>
      <c r="E10" s="1482"/>
      <c r="F10" s="1482"/>
      <c r="G10" s="1007"/>
      <c r="H10" s="25"/>
      <c r="I10" s="1491" t="s">
        <v>669</v>
      </c>
      <c r="J10" s="761"/>
      <c r="K10" s="1497" t="s">
        <v>669</v>
      </c>
      <c r="L10" s="761"/>
      <c r="M10" s="1497" t="s">
        <v>3321</v>
      </c>
      <c r="N10" s="761"/>
      <c r="O10" s="1497"/>
      <c r="P10" s="761"/>
      <c r="Q10" s="1497"/>
      <c r="R10" s="761"/>
      <c r="S10" s="1497"/>
      <c r="T10" s="761"/>
      <c r="U10" s="1497"/>
      <c r="V10" s="761"/>
      <c r="W10" s="1497"/>
      <c r="X10" s="761"/>
      <c r="Y10" s="1497"/>
      <c r="Z10" s="761"/>
      <c r="AA10" s="1497"/>
      <c r="AB10" s="761"/>
      <c r="AC10" s="1007"/>
      <c r="AD10" s="12" t="s">
        <v>1093</v>
      </c>
      <c r="AE10" s="1498"/>
      <c r="AF10" s="12" t="s">
        <v>1093</v>
      </c>
      <c r="AG10" s="1498"/>
      <c r="AH10" s="12" t="s">
        <v>1094</v>
      </c>
      <c r="AI10" s="1498"/>
      <c r="AJ10" s="12" t="s">
        <v>1094</v>
      </c>
      <c r="AK10" s="1498"/>
      <c r="AL10" s="12" t="s">
        <v>1095</v>
      </c>
      <c r="AM10" s="1013"/>
      <c r="AN10" s="12" t="s">
        <v>1095</v>
      </c>
      <c r="AO10" s="1013"/>
      <c r="AP10" s="12" t="s">
        <v>1096</v>
      </c>
      <c r="AQ10" s="1013"/>
      <c r="AR10" s="12" t="s">
        <v>1096</v>
      </c>
      <c r="AS10" s="1013"/>
      <c r="AT10" s="1482"/>
      <c r="AU10" s="1482"/>
      <c r="AV10" s="1007"/>
      <c r="AW10" s="1467"/>
      <c r="AX10" s="1007"/>
      <c r="AY10" s="25"/>
      <c r="AZ10" s="25"/>
      <c r="BA10" s="1499" t="s">
        <v>1087</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1087</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1097</v>
      </c>
      <c r="AE11" s="1270"/>
      <c r="AF11" s="1504" t="s">
        <v>1097</v>
      </c>
      <c r="AG11" s="1270"/>
      <c r="AH11" s="1504" t="s">
        <v>1098</v>
      </c>
      <c r="AI11" s="1505"/>
      <c r="AJ11" s="1504" t="s">
        <v>1098</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仓储</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58" t="s">
        <v>1100</v>
      </c>
      <c r="W12" s="8" t="s">
        <v>1099</v>
      </c>
      <c r="X12" s="8" t="s">
        <v>1100</v>
      </c>
      <c r="Y12" s="8" t="s">
        <v>1099</v>
      </c>
      <c r="Z12" s="8" t="s">
        <v>1100</v>
      </c>
      <c r="AA12" s="8" t="s">
        <v>1099</v>
      </c>
      <c r="AB12" s="8" t="s">
        <v>1100</v>
      </c>
      <c r="AC12" s="1509"/>
      <c r="AD12" s="1260"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507" t="s">
        <v>1100</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2" t="s">
        <v>3432</v>
      </c>
      <c r="D13" s="1513" t="s">
        <v>3409</v>
      </c>
      <c r="E13" s="13">
        <f>IF($C$3="是",ROUND($A$3*G13/$B$3,2),ROUND($A$3*(G13-AT13)/$B$3,2))</f>
        <v>0</v>
      </c>
      <c r="F13" s="29"/>
      <c r="G13" s="30">
        <f>H13+AC13+AT13</f>
        <v>36389.269999999997</v>
      </c>
      <c r="H13" s="17">
        <f>SUMIF(I$12:AB$12,"总值",I13:AB13)</f>
        <v>36389.269999999997</v>
      </c>
      <c r="I13" s="1514">
        <f>面积!I25+面积!I26+面积!I27+面积!I28</f>
        <v>29065.503999999997</v>
      </c>
      <c r="J13" s="1514"/>
      <c r="K13" s="1514">
        <f>面积!I24</f>
        <v>7266.3759999999993</v>
      </c>
      <c r="L13" s="1514"/>
      <c r="M13" s="1514">
        <f>面积!I23</f>
        <v>57.39</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凤凰汇</v>
      </c>
      <c r="AY13" s="1260">
        <f>ROUND($AY$6*AZ13/$AZ$5,2)</f>
        <v>0</v>
      </c>
      <c r="AZ13" s="13">
        <f>BA13+BL13</f>
        <v>36389.269999999997</v>
      </c>
      <c r="BA13" s="13">
        <f>SUM(BB13:BK13)</f>
        <v>36389.269999999997</v>
      </c>
      <c r="BB13" s="13">
        <f>IF($D13="是",I13-J13,0)</f>
        <v>29065.503999999997</v>
      </c>
      <c r="BC13" s="13">
        <f>IF($D13="是",K13-L13,0)</f>
        <v>7266.3759999999993</v>
      </c>
      <c r="BD13" s="13">
        <f>IF($D13="是",M13-N13,0)</f>
        <v>57.39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1126</v>
      </c>
      <c r="B1" s="1071"/>
      <c r="C1" s="1071"/>
      <c r="D1" s="1071"/>
      <c r="E1" s="1071"/>
      <c r="F1" s="1071"/>
      <c r="G1" s="1071"/>
      <c r="H1" s="1071"/>
      <c r="I1" s="1071"/>
      <c r="J1" s="1071"/>
      <c r="K1" s="1071"/>
      <c r="L1" s="1071"/>
      <c r="M1" s="1071"/>
      <c r="N1" s="1071"/>
      <c r="O1" s="1071"/>
      <c r="P1" s="1071"/>
    </row>
    <row r="2" spans="1:16" ht="15">
      <c r="A2" s="3268" t="s">
        <v>1127</v>
      </c>
      <c r="B2" s="3268"/>
      <c r="C2" s="3268"/>
      <c r="D2" s="748" t="s">
        <v>1103</v>
      </c>
      <c r="E2" s="1523" t="s">
        <v>1104</v>
      </c>
      <c r="F2" s="2439"/>
      <c r="G2" s="2432"/>
      <c r="H2" s="2433"/>
      <c r="I2" s="2146" t="s">
        <v>1128</v>
      </c>
      <c r="J2" s="2439"/>
      <c r="K2" s="2439"/>
      <c r="L2" s="2439"/>
      <c r="M2" s="2439"/>
      <c r="N2" s="2440"/>
      <c r="O2" s="2439"/>
      <c r="P2" s="2439"/>
    </row>
    <row r="3" spans="1:16" ht="15.75" thickBot="1">
      <c r="A3" s="3269" t="s">
        <v>1101</v>
      </c>
      <c r="B3" s="3269"/>
      <c r="C3" s="3269"/>
      <c r="D3" s="41">
        <f>'数据-基础表'!AY6</f>
        <v>0</v>
      </c>
      <c r="E3" s="41">
        <f>'数据-基础表'!AZ5</f>
        <v>36389.269999999997</v>
      </c>
      <c r="F3" s="2439"/>
      <c r="G3" s="42"/>
      <c r="H3" s="43" t="s">
        <v>1102</v>
      </c>
      <c r="I3" s="802" t="e">
        <f>ROUND('数据-基础表'!B3/'数据-基础表'!A3,2)</f>
        <v>#DIV/0!</v>
      </c>
      <c r="J3" s="2439"/>
      <c r="K3" s="2439"/>
      <c r="L3" s="2439"/>
      <c r="M3" s="2439"/>
      <c r="N3" s="2440"/>
      <c r="O3" s="2439"/>
      <c r="P3" s="2439"/>
    </row>
    <row r="4" spans="1:16" ht="15">
      <c r="A4" s="3270"/>
      <c r="B4" s="3271"/>
      <c r="C4" s="3272"/>
      <c r="D4" s="1524" t="s">
        <v>1103</v>
      </c>
      <c r="E4" s="1525" t="s">
        <v>1104</v>
      </c>
      <c r="F4" s="2439"/>
      <c r="G4" s="2434" t="s">
        <v>1129</v>
      </c>
      <c r="H4" s="43" t="s">
        <v>1109</v>
      </c>
      <c r="I4" s="802" t="e">
        <f>ROUND(SUMIF('数据-基础表'!I9:AS9,"地上",'数据-基础表'!I5:AS5)/'数据-基础表'!A3,2)</f>
        <v>#DIV/0!</v>
      </c>
      <c r="J4" s="2439"/>
      <c r="K4" s="2439"/>
      <c r="L4" s="2439"/>
      <c r="M4" s="2439"/>
      <c r="N4" s="2440"/>
      <c r="O4" s="2439"/>
      <c r="P4" s="2439"/>
    </row>
    <row r="5" spans="1:16">
      <c r="A5" s="42" t="s">
        <v>1105</v>
      </c>
      <c r="B5" s="3273" t="s">
        <v>1106</v>
      </c>
      <c r="C5" s="3273"/>
      <c r="D5" s="43">
        <f>ROUND($D$3*E5/$E$3,2)</f>
        <v>0</v>
      </c>
      <c r="E5" s="44">
        <f>SUMIF('数据-基础表'!$11:$11,"住宅",'数据-基础表'!$5:$5)</f>
        <v>0</v>
      </c>
      <c r="F5" s="2439"/>
      <c r="G5" s="42"/>
      <c r="H5" s="43" t="s">
        <v>1102</v>
      </c>
      <c r="I5" s="802" t="e">
        <f>ROUND(E31/D31,2)</f>
        <v>#DIV/0!</v>
      </c>
      <c r="J5" s="2439"/>
      <c r="K5" s="2439"/>
      <c r="L5" s="2439"/>
      <c r="M5" s="2439"/>
      <c r="N5" s="2439"/>
      <c r="O5" s="2439"/>
      <c r="P5" s="2439"/>
    </row>
    <row r="6" spans="1:16" ht="15" thickBot="1">
      <c r="A6" s="1527"/>
      <c r="B6" s="3273" t="s">
        <v>1107</v>
      </c>
      <c r="C6" s="3273"/>
      <c r="D6" s="43">
        <f>ROUND($D$3*E6/$E$3,2)</f>
        <v>0</v>
      </c>
      <c r="E6" s="44">
        <f>E3-E5</f>
        <v>36389.269999999997</v>
      </c>
      <c r="F6" s="2439"/>
      <c r="G6" s="1529" t="s">
        <v>1108</v>
      </c>
      <c r="H6" s="45" t="s">
        <v>1109</v>
      </c>
      <c r="I6" s="2435" t="e">
        <f>ROUND(F31/D31,2)</f>
        <v>#DIV/0!</v>
      </c>
      <c r="J6" s="2439"/>
      <c r="K6" s="2439"/>
      <c r="L6" s="2439"/>
      <c r="M6" s="2439"/>
      <c r="N6" s="2439"/>
      <c r="O6" s="2439"/>
      <c r="P6" s="2439"/>
    </row>
    <row r="7" spans="1:16" ht="15.75" thickBot="1">
      <c r="A7" s="3265"/>
      <c r="B7" s="3266"/>
      <c r="C7" s="3267"/>
      <c r="D7" s="1524" t="s">
        <v>1103</v>
      </c>
      <c r="E7" s="1528" t="s">
        <v>1110</v>
      </c>
      <c r="F7" s="2439"/>
      <c r="G7" s="2436" t="s">
        <v>1111</v>
      </c>
      <c r="H7" s="95"/>
      <c r="I7" s="2437">
        <f>基准地价修正!C21</f>
        <v>3.5</v>
      </c>
      <c r="J7" s="2439"/>
      <c r="K7" s="2439"/>
      <c r="L7" s="2439"/>
      <c r="M7" s="2439"/>
      <c r="N7" s="2439"/>
      <c r="O7" s="2439"/>
      <c r="P7" s="2439"/>
    </row>
    <row r="8" spans="1:16">
      <c r="A8" s="42" t="s">
        <v>1112</v>
      </c>
      <c r="B8" s="45" t="s">
        <v>1113</v>
      </c>
      <c r="C8" s="43" t="s">
        <v>1114</v>
      </c>
      <c r="D8" s="43">
        <f t="shared" ref="D8:D15" si="0">ROUND($D$3*E8/$E$3,2)</f>
        <v>0</v>
      </c>
      <c r="E8" s="46">
        <f>SUMIF('数据-基础表'!BB10:BK10,"地上",'数据-基础表'!BB5:BK5)</f>
        <v>29065.503999999997</v>
      </c>
      <c r="F8" s="2439"/>
      <c r="G8" s="2439"/>
      <c r="H8" s="2439"/>
      <c r="I8" s="2439"/>
      <c r="J8" s="2439"/>
      <c r="K8" s="2439"/>
      <c r="L8" s="2439"/>
      <c r="M8" s="2439"/>
      <c r="N8" s="2439"/>
      <c r="O8" s="2439"/>
      <c r="P8" s="2439"/>
    </row>
    <row r="9" spans="1:16">
      <c r="A9" s="1529"/>
      <c r="B9" s="1530"/>
      <c r="C9" s="43" t="s">
        <v>1115</v>
      </c>
      <c r="D9" s="43">
        <f t="shared" si="0"/>
        <v>0</v>
      </c>
      <c r="E9" s="47">
        <v>0</v>
      </c>
      <c r="F9" s="2439"/>
      <c r="G9" s="2439"/>
      <c r="H9" s="2439"/>
      <c r="I9" s="2439"/>
      <c r="J9" s="2439"/>
      <c r="K9" s="2439"/>
      <c r="L9" s="2439"/>
      <c r="M9" s="2439"/>
      <c r="N9" s="2439"/>
      <c r="O9" s="2439"/>
      <c r="P9" s="2439"/>
    </row>
    <row r="10" spans="1:16">
      <c r="A10" s="1529"/>
      <c r="B10" s="1530"/>
      <c r="C10" s="43" t="s">
        <v>1124</v>
      </c>
      <c r="D10" s="43">
        <f t="shared" si="0"/>
        <v>0</v>
      </c>
      <c r="E10" s="46">
        <f>SUMPRODUCT(('数据-基础表'!BB10:BK10="地下")*('数据-基础表'!BB11:BK11="商业")*('数据-基础表'!BB5:BK5))</f>
        <v>7266.3759999999993</v>
      </c>
      <c r="F10" s="2439"/>
      <c r="G10" s="2439"/>
      <c r="H10" s="2439"/>
      <c r="I10" s="2439"/>
      <c r="J10" s="2439"/>
      <c r="K10" s="2439"/>
      <c r="L10" s="2439"/>
      <c r="M10" s="2439"/>
      <c r="N10" s="2439"/>
      <c r="O10" s="2439"/>
      <c r="P10" s="2439"/>
    </row>
    <row r="11" spans="1:16">
      <c r="A11" s="1529"/>
      <c r="B11" s="1530"/>
      <c r="C11" s="43" t="s">
        <v>1116</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1117</v>
      </c>
      <c r="D12" s="43">
        <f t="shared" si="0"/>
        <v>0</v>
      </c>
      <c r="E12" s="46">
        <f>SUMPRODUCT(('数据-基础表'!BB10:BK10="地下")*('数据-基础表'!BB11:BK11="仓储")*('数据-基础表'!BB5:BK5))</f>
        <v>57.39</v>
      </c>
      <c r="F12" s="2439"/>
      <c r="G12" s="2439"/>
      <c r="H12" s="2439"/>
      <c r="I12" s="2439"/>
      <c r="J12" s="2439"/>
      <c r="K12" s="2439"/>
      <c r="L12" s="2439"/>
      <c r="M12" s="2439"/>
      <c r="N12" s="2439"/>
      <c r="O12" s="2439"/>
      <c r="P12" s="2439"/>
    </row>
    <row r="13" spans="1:16">
      <c r="A13" s="1529"/>
      <c r="B13" s="1530"/>
      <c r="C13" s="43" t="s">
        <v>1118</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1130</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1125</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1119</v>
      </c>
      <c r="D16" s="45">
        <f>SUM(D8:D15)</f>
        <v>0</v>
      </c>
      <c r="E16" s="48">
        <f>SUM(E8:E15)</f>
        <v>36389.269999999997</v>
      </c>
      <c r="F16" s="2439"/>
      <c r="G16" s="2439"/>
      <c r="H16" s="1531" t="s">
        <v>1131</v>
      </c>
      <c r="I16" s="1532"/>
      <c r="J16" s="1071"/>
      <c r="K16" s="3262" t="s">
        <v>1131</v>
      </c>
      <c r="L16" s="3263"/>
      <c r="M16" s="3263"/>
      <c r="N16" s="3263"/>
      <c r="O16" s="3263"/>
      <c r="P16" s="3264"/>
    </row>
    <row r="17" spans="1:19" ht="15">
      <c r="A17" s="1533" t="s">
        <v>1132</v>
      </c>
      <c r="B17" s="1534" t="s">
        <v>1133</v>
      </c>
      <c r="C17" s="1535" t="s">
        <v>1134</v>
      </c>
      <c r="D17" s="1536" t="s">
        <v>1122</v>
      </c>
      <c r="E17" s="1537" t="s">
        <v>1123</v>
      </c>
      <c r="F17" s="1538"/>
      <c r="G17" s="1539"/>
      <c r="H17" s="1540" t="s">
        <v>1135</v>
      </c>
      <c r="I17" s="1541" t="s">
        <v>1120</v>
      </c>
      <c r="J17" s="1071"/>
      <c r="K17" s="3259" t="s">
        <v>1136</v>
      </c>
      <c r="L17" s="3260"/>
      <c r="M17" s="3261"/>
      <c r="N17" s="3259" t="s">
        <v>1137</v>
      </c>
      <c r="O17" s="3260"/>
      <c r="P17" s="3261"/>
      <c r="R17" s="769" t="s">
        <v>1138</v>
      </c>
      <c r="S17" s="54"/>
    </row>
    <row r="18" spans="1:19" ht="15">
      <c r="A18" s="1529"/>
      <c r="B18" s="1526"/>
      <c r="C18" s="1542"/>
      <c r="D18" s="1543"/>
      <c r="E18" s="1544" t="s">
        <v>1139</v>
      </c>
      <c r="F18" s="1545" t="s">
        <v>1140</v>
      </c>
      <c r="G18" s="1546" t="s">
        <v>1141</v>
      </c>
      <c r="H18" s="980" t="s">
        <v>1142</v>
      </c>
      <c r="I18" s="1547" t="s">
        <v>1143</v>
      </c>
      <c r="J18" s="1071"/>
      <c r="K18" s="980" t="s">
        <v>1144</v>
      </c>
      <c r="L18" s="1548" t="s">
        <v>1145</v>
      </c>
      <c r="M18" s="802" t="s">
        <v>1146</v>
      </c>
      <c r="N18" s="980" t="s">
        <v>1144</v>
      </c>
      <c r="O18" s="1548" t="s">
        <v>1145</v>
      </c>
      <c r="P18" s="802" t="s">
        <v>1146</v>
      </c>
      <c r="R18" s="43" t="s">
        <v>1147</v>
      </c>
      <c r="S18" s="43" t="s">
        <v>1148</v>
      </c>
    </row>
    <row r="19" spans="1:19">
      <c r="A19" s="1549"/>
      <c r="B19" s="45" t="s">
        <v>1121</v>
      </c>
      <c r="C19" s="3116" t="str">
        <f>'数据-基础表'!C13</f>
        <v>凤凰汇</v>
      </c>
      <c r="D19" s="43">
        <f>ROUND($D$3*E19/$E$3,2)</f>
        <v>0</v>
      </c>
      <c r="E19" s="51">
        <f t="shared" ref="E19:E26" si="1">SUM(F19:G19)</f>
        <v>36389.269999999997</v>
      </c>
      <c r="F19" s="2558">
        <f>'数据-基础表'!I13</f>
        <v>29065.503999999997</v>
      </c>
      <c r="G19" s="1243">
        <f>'数据-基础表'!K13+'数据-基础表'!M13</f>
        <v>7323.7659999999996</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36389.269999999997</v>
      </c>
    </row>
    <row r="20" spans="1:19">
      <c r="A20" s="1549"/>
      <c r="B20" s="45" t="s">
        <v>1149</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1149</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1149</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1149</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1149</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1149</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1149</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1150</v>
      </c>
      <c r="D27" s="1072">
        <f>SUM(D19:D26)</f>
        <v>0</v>
      </c>
      <c r="E27" s="1073">
        <f>IF(SUM(E19:E26)='数据-基础表'!BA5,SUM(E19:E26),IF(F27="地上面积有误","面积有误","地下面积有误"))</f>
        <v>36389.269999999997</v>
      </c>
      <c r="F27" s="1072">
        <f>IF(SUM(F19:F26)=E8,SUM(F19:F26),"地上面积有误")</f>
        <v>29065.503999999997</v>
      </c>
      <c r="G27" s="1074">
        <f>SUM(G19:G26)</f>
        <v>7323.7659999999996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36389.269999999997</v>
      </c>
    </row>
    <row r="28" spans="1:19">
      <c r="A28" s="1549"/>
      <c r="B28" s="45" t="s">
        <v>1151</v>
      </c>
      <c r="C28" s="54" t="s">
        <v>1152</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1151</v>
      </c>
      <c r="C29" s="1555" t="s">
        <v>1153</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1150</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1154</v>
      </c>
      <c r="D31" s="643">
        <f>D27+D30</f>
        <v>0</v>
      </c>
      <c r="E31" s="643">
        <f>E27+E30</f>
        <v>36389.269999999997</v>
      </c>
      <c r="F31" s="644">
        <f>F27+F30</f>
        <v>29065.503999999997</v>
      </c>
      <c r="G31" s="645">
        <f>G27+G30</f>
        <v>7323.7659999999996</v>
      </c>
      <c r="H31" s="2439"/>
      <c r="I31" s="2439"/>
      <c r="J31" s="2439"/>
      <c r="K31" s="2439"/>
      <c r="L31" s="2439"/>
      <c r="M31" s="2439"/>
      <c r="N31" s="2439"/>
      <c r="O31" s="2439"/>
      <c r="P31" s="2439"/>
    </row>
    <row r="32" spans="1:19">
      <c r="A32" s="1526"/>
      <c r="B32" s="1526" t="s">
        <v>1155</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31" sqref="G3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1156</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1157</v>
      </c>
      <c r="B2" s="984">
        <f>项目基本情况!D3</f>
        <v>45889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1158</v>
      </c>
      <c r="B4" s="1564"/>
      <c r="C4" s="1565"/>
      <c r="D4" s="1566"/>
      <c r="E4" s="1565" t="s">
        <v>1159</v>
      </c>
      <c r="F4" s="1565"/>
      <c r="G4" s="1565"/>
      <c r="H4" s="1565"/>
      <c r="I4" s="1565"/>
      <c r="J4" s="1567"/>
      <c r="K4" s="1568"/>
      <c r="L4" s="1569"/>
      <c r="M4" s="1565"/>
      <c r="N4" s="1565" t="s">
        <v>1160</v>
      </c>
      <c r="O4" s="1565"/>
      <c r="P4" s="1565"/>
      <c r="Q4" s="1565"/>
      <c r="R4" s="1565"/>
      <c r="S4" s="1567"/>
      <c r="T4" s="2438" t="str">
        <f>'数据-汇总表'!I17</f>
        <v>按面积比例</v>
      </c>
      <c r="U4" s="1564" t="s">
        <v>1161</v>
      </c>
      <c r="V4" s="1565"/>
      <c r="W4" s="1565"/>
      <c r="X4" s="1565"/>
      <c r="Y4" s="1567"/>
      <c r="Z4" s="1535" t="s">
        <v>1162</v>
      </c>
      <c r="AA4" s="1535"/>
      <c r="AB4" s="1535"/>
      <c r="AC4" s="1535"/>
      <c r="AD4" s="1535"/>
      <c r="AE4" s="1533" t="s">
        <v>1163</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1164</v>
      </c>
      <c r="B5" s="1572" t="s">
        <v>1165</v>
      </c>
      <c r="C5" s="1573" t="s">
        <v>1166</v>
      </c>
      <c r="D5" s="1574" t="s">
        <v>1167</v>
      </c>
      <c r="E5" s="504" t="s">
        <v>1168</v>
      </c>
      <c r="F5" s="1575" t="s">
        <v>1169</v>
      </c>
      <c r="G5" s="504" t="s">
        <v>1170</v>
      </c>
      <c r="H5" s="504" t="s">
        <v>1171</v>
      </c>
      <c r="I5" s="504" t="s">
        <v>1172</v>
      </c>
      <c r="J5" s="1247" t="s">
        <v>1173</v>
      </c>
      <c r="K5" s="1576" t="s">
        <v>1174</v>
      </c>
      <c r="L5" s="1577" t="s">
        <v>1175</v>
      </c>
      <c r="M5" s="1578" t="s">
        <v>1176</v>
      </c>
      <c r="N5" s="1579" t="s">
        <v>3412</v>
      </c>
      <c r="O5" s="1577" t="s">
        <v>1177</v>
      </c>
      <c r="P5" s="1580" t="s">
        <v>1178</v>
      </c>
      <c r="Q5" s="58" t="s">
        <v>1179</v>
      </c>
      <c r="R5" s="1581" t="s">
        <v>1180</v>
      </c>
      <c r="S5" s="1582" t="s">
        <v>1181</v>
      </c>
      <c r="T5" s="1583" t="s">
        <v>1182</v>
      </c>
      <c r="U5" s="985" t="s">
        <v>1183</v>
      </c>
      <c r="V5" s="504" t="s">
        <v>1184</v>
      </c>
      <c r="W5" s="504" t="s">
        <v>1185</v>
      </c>
      <c r="X5" s="60"/>
      <c r="Y5" s="59" t="s">
        <v>1186</v>
      </c>
      <c r="Z5" s="1101" t="s">
        <v>1183</v>
      </c>
      <c r="AA5" s="504" t="s">
        <v>1184</v>
      </c>
      <c r="AB5" s="504" t="s">
        <v>1185</v>
      </c>
      <c r="AC5" s="60"/>
      <c r="AD5" s="60" t="s">
        <v>1186</v>
      </c>
      <c r="AE5" s="985" t="s">
        <v>1187</v>
      </c>
      <c r="AF5" s="504" t="s">
        <v>1188</v>
      </c>
      <c r="AG5" s="59" t="s">
        <v>1189</v>
      </c>
      <c r="AH5" s="985" t="s">
        <v>1190</v>
      </c>
      <c r="AI5" s="1101" t="s">
        <v>1191</v>
      </c>
      <c r="AJ5" s="1101" t="s">
        <v>1192</v>
      </c>
      <c r="AK5" s="504" t="s">
        <v>1193</v>
      </c>
      <c r="AL5" s="504" t="s">
        <v>1194</v>
      </c>
      <c r="AM5" s="59" t="s">
        <v>1195</v>
      </c>
      <c r="AN5" s="1584" t="s">
        <v>1196</v>
      </c>
      <c r="AO5" s="1454" t="s">
        <v>1197</v>
      </c>
      <c r="AP5" s="968" t="s">
        <v>1198</v>
      </c>
      <c r="AQ5" s="1585" t="s">
        <v>1199</v>
      </c>
      <c r="AR5" s="1585" t="s">
        <v>1200</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凤凰汇</v>
      </c>
      <c r="B6" s="1587" t="str">
        <f>IF(A6=0,"","经营性")</f>
        <v>经营性</v>
      </c>
      <c r="C6" s="1588" t="s">
        <v>669</v>
      </c>
      <c r="D6" s="805">
        <f>SUMIF(项目基本情况!C$12:I$12,C6,项目基本情况!C$14:I$14)</f>
        <v>40</v>
      </c>
      <c r="E6" s="804">
        <f>IF(B6="","",SUMIF(项目基本情况!C$12:I$12,C6,项目基本情况!C$13:I$13))</f>
        <v>52838</v>
      </c>
      <c r="F6" s="61">
        <f>SUMIF(项目基本情况!C$12:I$12,C6,项目基本情况!C$15:I$15)</f>
        <v>19.03</v>
      </c>
      <c r="G6" s="62">
        <f>IF(ISERROR(ROUND(POWER(1+H6,D6-F6)*(POWER(1+H6,F6)-1)/(POWER(1+H6,D6)-1),3)),0,ROUND(POWER(1+H6,D6-F6)*(POWER(1+H6,F6)-1)/(POWER(1+H6,D6)-1),3))</f>
        <v>0.70499999999999996</v>
      </c>
      <c r="H6" s="691">
        <v>0.05</v>
      </c>
      <c r="I6" s="691">
        <v>5.5E-2</v>
      </c>
      <c r="J6" s="63">
        <v>7.0000000000000007E-2</v>
      </c>
      <c r="K6" s="970">
        <f>SUMIF('数据-汇总表'!C$19:C$33,A6,'数据-汇总表'!E$19:E$33)</f>
        <v>36389.269999999997</v>
      </c>
      <c r="L6" s="692">
        <v>7000</v>
      </c>
      <c r="M6" s="64">
        <f t="shared" ref="M6:M14" si="0">ROUND(K6*L6/10000,0)</f>
        <v>25472</v>
      </c>
      <c r="N6" s="690">
        <f>N23</f>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5</v>
      </c>
      <c r="V6" s="67">
        <v>0.02</v>
      </c>
      <c r="W6" s="67">
        <v>0.1</v>
      </c>
      <c r="X6" s="979"/>
      <c r="Y6" s="68">
        <f>N6</f>
        <v>0.8</v>
      </c>
      <c r="Z6" s="69"/>
      <c r="AA6" s="63"/>
      <c r="AB6" s="63"/>
      <c r="AC6" s="979"/>
      <c r="AD6" s="70"/>
      <c r="AE6" s="980">
        <f ca="1">IF(AN6="",0,SUMIF(INDIRECT("'"&amp;AN6&amp;"'"&amp;"!E:E"),$AE$5,INDIRECT("'"&amp;AN6&amp;"'"&amp;"!F:F")))</f>
        <v>19.03</v>
      </c>
      <c r="AF6" s="74"/>
      <c r="AG6" s="130">
        <f>IF(AF6="",0,AE6-AF6)</f>
        <v>0</v>
      </c>
      <c r="AH6" s="71"/>
      <c r="AI6" s="73">
        <v>365</v>
      </c>
      <c r="AJ6" s="74"/>
      <c r="AK6" s="75">
        <v>2E-3</v>
      </c>
      <c r="AL6" s="76">
        <v>1E-3</v>
      </c>
      <c r="AM6" s="77">
        <v>0.01</v>
      </c>
      <c r="AN6" s="1589" t="s">
        <v>3413</v>
      </c>
      <c r="AO6" s="50">
        <f ca="1">SUMIF(INDIRECT("'"&amp;AN6&amp;"'"&amp;"!A:A"),"总价",INDIRECT("'"&amp;AN6&amp;"'"&amp;"!B:B"))</f>
        <v>69216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1201</v>
      </c>
      <c r="B14" s="1587" t="s">
        <v>1202</v>
      </c>
      <c r="C14" s="1592" t="s">
        <v>1201</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1203</v>
      </c>
      <c r="B15" s="1587" t="s">
        <v>1202</v>
      </c>
      <c r="C15" s="1592" t="s">
        <v>1204</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1205</v>
      </c>
      <c r="B16" s="82"/>
      <c r="C16" s="783"/>
      <c r="D16" s="1594"/>
      <c r="E16" s="82"/>
      <c r="F16" s="82"/>
      <c r="G16" s="83">
        <f>ROUND(SUMPRODUCT(G6:G13,K6:K13)/SUMPRODUCT((G6:G13&gt;0)*(K6:K13)),3)</f>
        <v>0.70499999999999996</v>
      </c>
      <c r="H16" s="84">
        <f>ROUND(SUMPRODUCT(H6:H13,K6:K13)/SUMPRODUCT((H6:H13&gt;0)*(K6:K13)),3)</f>
        <v>0.05</v>
      </c>
      <c r="I16" s="85"/>
      <c r="J16" s="85"/>
      <c r="K16" s="86">
        <f>SUM(K6:K15)</f>
        <v>36389.269999999997</v>
      </c>
      <c r="L16" s="87">
        <f>ROUND(M16*10000/SUM(K6:K14),0)</f>
        <v>7000</v>
      </c>
      <c r="M16" s="87">
        <f>SUM(M6:M14)</f>
        <v>25472</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1206</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1207</v>
      </c>
      <c r="B19" s="97">
        <v>0</v>
      </c>
      <c r="C19" s="2561" t="s">
        <v>2289</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1208</v>
      </c>
      <c r="B20" s="98">
        <v>3</v>
      </c>
      <c r="C20" s="2562" t="s">
        <v>2287</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1209</v>
      </c>
      <c r="B21" s="98">
        <v>3</v>
      </c>
      <c r="C21" s="2439"/>
      <c r="D21" s="2452"/>
      <c r="E21" s="2439"/>
      <c r="F21" s="2439"/>
      <c r="G21" s="2439"/>
      <c r="H21" s="2439"/>
      <c r="I21" s="2439"/>
      <c r="J21" s="2439"/>
      <c r="K21" s="2450"/>
      <c r="L21" s="2450"/>
      <c r="M21" s="2449"/>
      <c r="N21" s="2449">
        <v>2009</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1210</v>
      </c>
      <c r="B22" s="99">
        <f>B19+B20</f>
        <v>3</v>
      </c>
      <c r="C22" s="2439"/>
      <c r="D22" s="2452"/>
      <c r="E22" s="2439"/>
      <c r="F22" s="2439"/>
      <c r="G22" s="2439"/>
      <c r="H22" s="2439"/>
      <c r="I22" s="2439"/>
      <c r="J22" s="2439"/>
      <c r="K22" s="2450"/>
      <c r="L22" s="2450"/>
      <c r="M22" s="2449"/>
      <c r="N22" s="3170">
        <f>ROUND(1-(2025-N21)/60,2)</f>
        <v>0.73</v>
      </c>
      <c r="O22" s="3171">
        <v>0.85</v>
      </c>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1211</v>
      </c>
      <c r="B23" s="99">
        <f>B19+B21</f>
        <v>3</v>
      </c>
      <c r="C23" s="2439"/>
      <c r="D23" s="2452"/>
      <c r="E23" s="2439"/>
      <c r="F23" s="2439"/>
      <c r="G23" s="2439"/>
      <c r="H23" s="2439"/>
      <c r="I23" s="2439"/>
      <c r="J23" s="2439"/>
      <c r="K23" s="2450"/>
      <c r="L23" s="2450"/>
      <c r="M23" s="2449"/>
      <c r="N23" s="3170">
        <f>ROUND(N22*0.4+O22*0.6,2)</f>
        <v>0.8</v>
      </c>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1212</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1213</v>
      </c>
      <c r="B26" s="1600" t="s">
        <v>1214</v>
      </c>
      <c r="C26" s="2453" t="s">
        <v>1215</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1216</v>
      </c>
      <c r="B27" s="101">
        <v>160</v>
      </c>
      <c r="C27" s="2563" t="s">
        <v>2291</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1217</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1218</v>
      </c>
      <c r="B29" s="105">
        <f ca="1">成本法!C10</f>
        <v>728</v>
      </c>
      <c r="C29" s="2564" t="s">
        <v>2281</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1219</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1220</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1221</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1222</v>
      </c>
      <c r="B33" s="640">
        <v>0.05</v>
      </c>
      <c r="C33" s="2565" t="s">
        <v>3369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1223</v>
      </c>
      <c r="B34" s="106">
        <v>0</v>
      </c>
      <c r="C34" s="2565" t="s">
        <v>2282</v>
      </c>
      <c r="D34" s="2460" t="s">
        <v>2288</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1224</v>
      </c>
      <c r="B35" s="103">
        <v>200</v>
      </c>
      <c r="C35" s="2565" t="s">
        <v>2283</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1225</v>
      </c>
      <c r="B36" s="107">
        <v>0.02</v>
      </c>
      <c r="C36" s="2565" t="s">
        <v>3387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1226</v>
      </c>
      <c r="B37" s="108">
        <v>0.02</v>
      </c>
      <c r="C37" s="2565" t="s">
        <v>3370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1227</v>
      </c>
      <c r="B38" s="106">
        <v>0.02</v>
      </c>
      <c r="C38" s="2565" t="s">
        <v>3371</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1228</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2297</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1229</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1230</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1231</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1232</v>
      </c>
      <c r="B44" s="112">
        <v>7.0000000000000007E-2</v>
      </c>
      <c r="C44" s="2565" t="s">
        <v>3372</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1233</v>
      </c>
      <c r="B45" s="110">
        <v>0.03</v>
      </c>
      <c r="C45" s="2564" t="s">
        <v>2284</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1234</v>
      </c>
      <c r="B46" s="110">
        <v>0.02</v>
      </c>
      <c r="C46" s="2564" t="s">
        <v>2285</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1235</v>
      </c>
      <c r="B47" s="113">
        <v>0</v>
      </c>
      <c r="C47" s="2567" t="s">
        <v>2292</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1236</v>
      </c>
      <c r="B48" s="114">
        <v>0.03</v>
      </c>
      <c r="C48" s="2564" t="s">
        <v>2284</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1237</v>
      </c>
      <c r="B49" s="110">
        <v>5.0000000000000001E-4</v>
      </c>
      <c r="C49" s="2564" t="s">
        <v>2286</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1238</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1239</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1240</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1241</v>
      </c>
      <c r="B53" s="1611"/>
      <c r="C53" s="2440" t="s">
        <v>1242</v>
      </c>
      <c r="D53" s="2566" t="s">
        <v>2290</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1243</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1244</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1245</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1246</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1247</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1248</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1249</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1250</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1251</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1252</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4" t="s">
        <v>2273</v>
      </c>
      <c r="B1" s="3275"/>
      <c r="C1" s="3275"/>
      <c r="D1" s="3275"/>
      <c r="E1" s="3275"/>
      <c r="F1" s="3275"/>
      <c r="G1" s="327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2270</v>
      </c>
      <c r="D2" s="1595"/>
      <c r="E2" s="2260"/>
      <c r="F2" s="2263"/>
      <c r="G2" s="2262" t="s">
        <v>2271</v>
      </c>
      <c r="H2" s="751"/>
      <c r="I2" s="751"/>
      <c r="J2" s="751"/>
      <c r="K2" s="751"/>
      <c r="L2" s="751"/>
      <c r="M2" s="751"/>
      <c r="N2" s="751"/>
      <c r="O2" s="751"/>
      <c r="P2" s="751"/>
      <c r="Q2" s="751"/>
    </row>
    <row r="3" spans="1:29" ht="24">
      <c r="A3" s="2247" t="s">
        <v>2272</v>
      </c>
      <c r="B3" s="2264" t="s">
        <v>2248</v>
      </c>
      <c r="C3" s="2265"/>
      <c r="D3" s="2266"/>
      <c r="E3" s="2248" t="s">
        <v>2272</v>
      </c>
      <c r="F3" s="2267" t="s">
        <v>2249</v>
      </c>
      <c r="G3" s="2268"/>
      <c r="H3" s="751"/>
      <c r="I3" s="751"/>
      <c r="J3" s="751"/>
      <c r="K3" s="751"/>
      <c r="L3" s="751"/>
      <c r="M3" s="751"/>
      <c r="N3" s="751"/>
      <c r="O3" s="751"/>
      <c r="P3" s="751"/>
      <c r="Q3" s="751"/>
    </row>
    <row r="4" spans="1:29">
      <c r="A4" s="2248"/>
      <c r="B4" s="315" t="s">
        <v>2250</v>
      </c>
      <c r="C4" s="2269"/>
      <c r="D4" s="2266"/>
      <c r="E4" s="2270"/>
      <c r="F4" s="1281" t="s">
        <v>2251</v>
      </c>
      <c r="G4" s="2271"/>
      <c r="H4" s="751"/>
      <c r="I4" s="751"/>
      <c r="J4" s="751"/>
      <c r="K4" s="751"/>
      <c r="L4" s="751"/>
      <c r="M4" s="751"/>
      <c r="N4" s="751"/>
      <c r="O4" s="751"/>
      <c r="P4" s="751"/>
      <c r="Q4" s="751"/>
    </row>
    <row r="5" spans="1:29">
      <c r="A5" s="2248"/>
      <c r="B5" s="315" t="s">
        <v>2252</v>
      </c>
      <c r="C5" s="2269"/>
      <c r="D5" s="2266"/>
      <c r="E5" s="2270"/>
      <c r="F5" s="315" t="s">
        <v>2253</v>
      </c>
      <c r="G5" s="2271"/>
      <c r="H5" s="751"/>
      <c r="I5" s="751"/>
      <c r="J5" s="751"/>
      <c r="K5" s="751"/>
      <c r="L5" s="751"/>
      <c r="M5" s="751"/>
      <c r="N5" s="751"/>
      <c r="O5" s="751"/>
      <c r="P5" s="751"/>
      <c r="Q5" s="751"/>
    </row>
    <row r="6" spans="1:29">
      <c r="A6" s="2248"/>
      <c r="B6" s="315" t="s">
        <v>2254</v>
      </c>
      <c r="C6" s="2271"/>
      <c r="D6" s="2266"/>
      <c r="E6" s="2270"/>
      <c r="F6" s="315" t="s">
        <v>2255</v>
      </c>
      <c r="G6" s="2271"/>
      <c r="H6" s="751"/>
      <c r="I6" s="751"/>
      <c r="J6" s="751"/>
      <c r="K6" s="751"/>
      <c r="L6" s="751"/>
      <c r="M6" s="751"/>
      <c r="N6" s="751"/>
      <c r="O6" s="751"/>
      <c r="P6" s="751"/>
      <c r="Q6" s="751"/>
    </row>
    <row r="7" spans="1:29" ht="15" thickBot="1">
      <c r="A7" s="2248"/>
      <c r="B7" s="315" t="s">
        <v>2253</v>
      </c>
      <c r="C7" s="2271"/>
      <c r="D7" s="2245"/>
      <c r="E7" s="2272"/>
      <c r="F7" s="2273" t="s">
        <v>2256</v>
      </c>
      <c r="G7" s="2274"/>
      <c r="H7" s="751"/>
      <c r="I7" s="751"/>
      <c r="J7" s="751"/>
      <c r="K7" s="751"/>
      <c r="L7" s="751"/>
      <c r="M7" s="751"/>
      <c r="N7" s="751"/>
      <c r="O7" s="751"/>
      <c r="P7" s="751"/>
      <c r="Q7" s="751"/>
    </row>
    <row r="8" spans="1:29">
      <c r="A8" s="2248"/>
      <c r="B8" s="315" t="s">
        <v>2255</v>
      </c>
      <c r="C8" s="2271"/>
      <c r="D8" s="2245"/>
      <c r="E8" s="2245"/>
      <c r="F8" s="121"/>
      <c r="G8" s="121"/>
      <c r="H8" s="751"/>
      <c r="I8" s="751"/>
      <c r="J8" s="751"/>
      <c r="K8" s="751"/>
      <c r="L8" s="751"/>
      <c r="M8" s="751"/>
      <c r="N8" s="751"/>
      <c r="O8" s="751"/>
      <c r="P8" s="751"/>
      <c r="Q8" s="751"/>
    </row>
    <row r="9" spans="1:29">
      <c r="A9" s="2248"/>
      <c r="B9" s="315" t="s">
        <v>2257</v>
      </c>
      <c r="C9" s="2269"/>
      <c r="D9" s="2266"/>
      <c r="E9" s="2245"/>
      <c r="F9" s="121"/>
      <c r="G9" s="121"/>
      <c r="H9" s="751"/>
      <c r="I9" s="751"/>
      <c r="J9" s="751"/>
      <c r="K9" s="751"/>
      <c r="L9" s="751"/>
      <c r="M9" s="751"/>
      <c r="N9" s="751"/>
      <c r="O9" s="751"/>
      <c r="P9" s="751"/>
      <c r="Q9" s="751"/>
    </row>
    <row r="10" spans="1:29" ht="15" thickBot="1">
      <c r="A10" s="2249"/>
      <c r="B10" s="2275" t="s">
        <v>2258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2274</v>
      </c>
      <c r="B13" s="2280"/>
      <c r="C13" s="2280"/>
      <c r="D13" s="2279"/>
      <c r="E13" s="2280"/>
      <c r="F13" s="2280"/>
      <c r="G13" s="2280"/>
    </row>
    <row r="14" spans="1:29" ht="15" thickBot="1">
      <c r="A14" s="2285"/>
      <c r="B14" s="2285"/>
      <c r="C14" s="2286" t="s">
        <v>2259</v>
      </c>
      <c r="D14" s="2266"/>
      <c r="E14" s="2287"/>
      <c r="F14" s="2287"/>
      <c r="G14" s="2262" t="s">
        <v>2260</v>
      </c>
    </row>
    <row r="15" spans="1:29" ht="24">
      <c r="A15" s="2250" t="s">
        <v>2261</v>
      </c>
      <c r="B15" s="2288" t="s">
        <v>2248</v>
      </c>
      <c r="C15" s="2289">
        <f>C3</f>
        <v>0</v>
      </c>
      <c r="D15" s="2266"/>
      <c r="E15" s="2251" t="s">
        <v>2262</v>
      </c>
      <c r="F15" s="2288" t="s">
        <v>2263</v>
      </c>
      <c r="G15" s="2290">
        <f>G3</f>
        <v>0</v>
      </c>
    </row>
    <row r="16" spans="1:29">
      <c r="A16" s="2252"/>
      <c r="B16" s="2291" t="s">
        <v>2250</v>
      </c>
      <c r="C16" s="2292">
        <f>C4</f>
        <v>0</v>
      </c>
      <c r="D16" s="2266"/>
      <c r="E16" s="2253"/>
      <c r="F16" s="2293" t="s">
        <v>2251</v>
      </c>
      <c r="G16" s="2294">
        <f>G4</f>
        <v>0</v>
      </c>
    </row>
    <row r="17" spans="1:17">
      <c r="A17" s="2252"/>
      <c r="B17" s="2291" t="s">
        <v>2252</v>
      </c>
      <c r="C17" s="2292">
        <f>C5</f>
        <v>0</v>
      </c>
      <c r="D17" s="2245"/>
      <c r="E17" s="2253"/>
      <c r="F17" s="2293" t="s">
        <v>2264</v>
      </c>
      <c r="G17" s="2295"/>
    </row>
    <row r="18" spans="1:17">
      <c r="A18" s="2252"/>
      <c r="B18" s="2293" t="s">
        <v>2254</v>
      </c>
      <c r="C18" s="2294">
        <f>C6</f>
        <v>0</v>
      </c>
      <c r="D18" s="2245"/>
      <c r="E18" s="2253"/>
      <c r="F18" s="2293" t="s">
        <v>2256</v>
      </c>
      <c r="G18" s="2294">
        <f>G7</f>
        <v>0</v>
      </c>
    </row>
    <row r="19" spans="1:17">
      <c r="A19" s="2252"/>
      <c r="B19" s="2293" t="s">
        <v>2265</v>
      </c>
      <c r="C19" s="2295"/>
      <c r="D19" s="2266"/>
      <c r="E19" s="2253"/>
      <c r="F19" s="315" t="s">
        <v>2253</v>
      </c>
      <c r="G19" s="2294">
        <f>G5</f>
        <v>0</v>
      </c>
    </row>
    <row r="20" spans="1:17">
      <c r="A20" s="2252"/>
      <c r="B20" s="2293" t="s">
        <v>2266</v>
      </c>
      <c r="C20" s="2292">
        <f>C9</f>
        <v>0</v>
      </c>
      <c r="D20" s="2245"/>
      <c r="E20" s="2253"/>
      <c r="F20" s="315" t="s">
        <v>2255</v>
      </c>
      <c r="G20" s="2294">
        <f>G6</f>
        <v>0</v>
      </c>
    </row>
    <row r="21" spans="1:17">
      <c r="A21" s="2252"/>
      <c r="B21" s="315" t="s">
        <v>2253</v>
      </c>
      <c r="C21" s="2294">
        <f>C7</f>
        <v>0</v>
      </c>
      <c r="D21" s="2266"/>
      <c r="E21" s="2253"/>
      <c r="F21" s="2293" t="s">
        <v>2267</v>
      </c>
      <c r="G21" s="2296"/>
    </row>
    <row r="22" spans="1:17" ht="13.5" customHeight="1">
      <c r="A22" s="2252"/>
      <c r="B22" s="315" t="s">
        <v>2255</v>
      </c>
      <c r="C22" s="2294">
        <f>C8</f>
        <v>0</v>
      </c>
      <c r="D22" s="2266"/>
      <c r="E22" s="2253"/>
      <c r="F22" s="2293" t="s">
        <v>2258</v>
      </c>
      <c r="G22" s="2295"/>
    </row>
    <row r="23" spans="1:17" s="751" customFormat="1" ht="15" thickBot="1">
      <c r="A23" s="2252"/>
      <c r="B23" s="2293" t="s">
        <v>2267</v>
      </c>
      <c r="C23" s="2296"/>
      <c r="D23" s="1614"/>
      <c r="E23" s="2254"/>
      <c r="F23" s="2297" t="s">
        <v>2268</v>
      </c>
      <c r="G23" s="2298"/>
      <c r="H23" s="2277"/>
      <c r="I23" s="2277"/>
      <c r="J23" s="2277"/>
      <c r="K23" s="2277"/>
      <c r="L23" s="2277"/>
      <c r="M23" s="2277"/>
      <c r="N23" s="2277"/>
      <c r="O23" s="2277"/>
      <c r="P23" s="2277"/>
      <c r="Q23" s="2277"/>
    </row>
    <row r="24" spans="1:17" s="751" customFormat="1" ht="15" thickBot="1">
      <c r="A24" s="2255"/>
      <c r="B24" s="2297" t="s">
        <v>2269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3" sqref="K13"/>
    </sheetView>
  </sheetViews>
  <sheetFormatPr defaultColWidth="9" defaultRowHeight="13.5"/>
  <cols>
    <col min="1" max="1" width="25" style="2301" customWidth="1"/>
    <col min="2" max="9" width="15.75" style="2301" customWidth="1"/>
    <col min="10" max="16384" width="9" style="2301"/>
  </cols>
  <sheetData>
    <row r="1" spans="1:11" ht="16.5">
      <c r="A1" s="2300" t="s">
        <v>661</v>
      </c>
      <c r="B1" s="2300">
        <f>SUM(B14:B23)</f>
        <v>119891.56</v>
      </c>
      <c r="C1" s="2462"/>
      <c r="D1" s="2462"/>
      <c r="E1" s="2462"/>
      <c r="F1" s="2462"/>
      <c r="G1" s="2463"/>
      <c r="H1" s="2463"/>
      <c r="I1" s="2463"/>
      <c r="J1" s="2463"/>
      <c r="K1" s="2463"/>
    </row>
    <row r="2" spans="1:11" ht="16.5">
      <c r="A2" s="2300" t="s">
        <v>649</v>
      </c>
      <c r="B2" s="2300">
        <f>SUM(C14:C23)</f>
        <v>0</v>
      </c>
      <c r="C2" s="2462"/>
      <c r="D2" s="2462"/>
      <c r="E2" s="2462"/>
      <c r="F2" s="2462"/>
      <c r="G2" s="2463"/>
      <c r="H2" s="2463"/>
      <c r="I2" s="2463"/>
      <c r="J2" s="2463"/>
      <c r="K2" s="2463"/>
    </row>
    <row r="3" spans="1:11" ht="16.5">
      <c r="A3" s="2300" t="s">
        <v>658</v>
      </c>
      <c r="B3" s="2302">
        <f>项目基本情况!D3</f>
        <v>45889</v>
      </c>
      <c r="C3" s="2462"/>
      <c r="D3" s="2462"/>
      <c r="E3" s="2462"/>
      <c r="F3" s="2462"/>
      <c r="G3" s="2463"/>
      <c r="H3" s="2463"/>
      <c r="I3" s="2463"/>
      <c r="J3" s="2463"/>
      <c r="K3" s="2463"/>
    </row>
    <row r="4" spans="1:11" ht="33">
      <c r="A4" s="2300" t="s">
        <v>657</v>
      </c>
      <c r="B4" s="2300" t="s">
        <v>656</v>
      </c>
      <c r="C4" s="2300" t="s">
        <v>655</v>
      </c>
      <c r="D4" s="2300" t="s">
        <v>654</v>
      </c>
      <c r="E4" s="2462"/>
      <c r="F4" s="2463"/>
      <c r="G4" s="2463"/>
      <c r="H4" s="2463"/>
      <c r="I4" s="2463"/>
      <c r="J4" s="2463"/>
      <c r="K4" s="2463"/>
    </row>
    <row r="5" spans="1:11" ht="16.5">
      <c r="A5" s="2300" t="s">
        <v>653</v>
      </c>
      <c r="B5" s="2300">
        <f ca="1">SUM(D14:D23)</f>
        <v>451350</v>
      </c>
      <c r="C5" s="2300">
        <f ca="1">IF(B5=D14,结果表!H102,ROUND(B5*10000/$B$1,0))</f>
        <v>37647</v>
      </c>
      <c r="D5" s="2300" t="e">
        <f ca="1">ROUND(B5*10000/$B$2,0)</f>
        <v>#DIV/0!</v>
      </c>
      <c r="E5" s="2462"/>
      <c r="F5" s="2463"/>
      <c r="G5" s="2463"/>
      <c r="H5" s="2463"/>
      <c r="I5" s="2463"/>
      <c r="J5" s="2463"/>
      <c r="K5" s="2463"/>
    </row>
    <row r="6" spans="1:11" ht="16.5">
      <c r="A6" s="2300" t="s">
        <v>652</v>
      </c>
      <c r="B6" s="2300">
        <f ca="1">SUM(G14:G23)</f>
        <v>451350</v>
      </c>
      <c r="C6" s="2300">
        <f ca="1">IF(B6=G14,结果表!H108,ROUND(B6*10000/$B$1,0))</f>
        <v>37647</v>
      </c>
      <c r="D6" s="2300" t="e">
        <f ca="1">ROUND(B6*10000/$B$2,0)</f>
        <v>#DIV/0!</v>
      </c>
      <c r="E6" s="2462"/>
      <c r="F6" s="2463"/>
      <c r="G6" s="2463"/>
      <c r="H6" s="2463"/>
      <c r="I6" s="2463"/>
      <c r="J6" s="2463"/>
      <c r="K6" s="2463"/>
    </row>
    <row r="7" spans="1:11" ht="16.5">
      <c r="A7" s="2300" t="s">
        <v>660</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651</v>
      </c>
      <c r="B9" s="1244"/>
      <c r="C9" s="2462"/>
      <c r="D9" s="2462"/>
      <c r="E9" s="2462"/>
      <c r="F9" s="2463"/>
      <c r="G9" s="2463"/>
      <c r="H9" s="2463"/>
      <c r="I9" s="2463"/>
      <c r="J9" s="2463"/>
      <c r="K9" s="2463"/>
    </row>
    <row r="10" spans="1:11" ht="16.5">
      <c r="A10" s="2300" t="s">
        <v>650</v>
      </c>
      <c r="B10" s="2300">
        <f>IF(E10="",0,ROUND(B1*(E10*365/G10)/10000,0))</f>
        <v>0</v>
      </c>
      <c r="C10" s="2300" t="s">
        <v>3342</v>
      </c>
      <c r="D10" s="2300" t="s">
        <v>3343</v>
      </c>
      <c r="E10" s="3137"/>
      <c r="F10" s="3141" t="s">
        <v>3344</v>
      </c>
      <c r="G10" s="3138"/>
      <c r="H10" s="2463"/>
      <c r="I10" s="2463"/>
      <c r="J10" s="2463"/>
      <c r="K10" s="2463"/>
    </row>
    <row r="11" spans="1:11" ht="16.5">
      <c r="A11" s="2300" t="s">
        <v>666</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665</v>
      </c>
      <c r="B13" s="2304" t="s">
        <v>662</v>
      </c>
      <c r="C13" s="2304" t="s">
        <v>664</v>
      </c>
      <c r="D13" s="2304" t="s">
        <v>663</v>
      </c>
      <c r="E13" s="2300" t="s">
        <v>655</v>
      </c>
      <c r="F13" s="2300" t="s">
        <v>654</v>
      </c>
      <c r="G13" s="2304" t="s">
        <v>648</v>
      </c>
      <c r="H13" s="2304" t="s">
        <v>659</v>
      </c>
      <c r="I13" s="2304" t="s">
        <v>647</v>
      </c>
      <c r="J13" s="2463"/>
      <c r="K13" s="2463"/>
    </row>
    <row r="14" spans="1:11" ht="16.5">
      <c r="A14" s="2306" t="s">
        <v>3470</v>
      </c>
      <c r="B14" s="2306">
        <f>'数据-汇总表'!E3</f>
        <v>36389.269999999997</v>
      </c>
      <c r="C14" s="2306"/>
      <c r="D14" s="2306">
        <f ca="1">结果表!G19</f>
        <v>122799</v>
      </c>
      <c r="E14" s="2306">
        <f ca="1">ROUND(D14*10000/B14,0)</f>
        <v>33746</v>
      </c>
      <c r="F14" s="2306" t="e">
        <f ca="1">ROUND(D14*10000/C14,0)</f>
        <v>#DIV/0!</v>
      </c>
      <c r="G14" s="2306">
        <f ca="1">D14</f>
        <v>122799</v>
      </c>
      <c r="H14" s="2306"/>
      <c r="I14" s="2306"/>
      <c r="J14" s="2463"/>
      <c r="K14" s="2463"/>
    </row>
    <row r="15" spans="1:11" ht="16.5">
      <c r="A15" s="2306" t="str">
        <f>[2]典型户型修正!$A$24</f>
        <v>16号楼A座</v>
      </c>
      <c r="B15" s="2306">
        <f>[2]典型户型修正!$B$24</f>
        <v>34499.08</v>
      </c>
      <c r="C15" s="2306"/>
      <c r="D15" s="2306">
        <f ca="1">[2]典型户型修正!$S$24</f>
        <v>134950</v>
      </c>
      <c r="E15" s="2306">
        <f t="shared" ref="E15:E23" ca="1" si="0">ROUND(D15*10000/B15,0)</f>
        <v>39117</v>
      </c>
      <c r="F15" s="2306" t="e">
        <f t="shared" ref="F15:F23" ca="1" si="1">ROUND(D15*10000/C15,0)</f>
        <v>#DIV/0!</v>
      </c>
      <c r="G15" s="2306">
        <f t="shared" ref="G15:G17" ca="1" si="2">D15</f>
        <v>134950</v>
      </c>
      <c r="H15" s="2306"/>
      <c r="I15" s="2306"/>
      <c r="J15" s="2463"/>
      <c r="K15" s="2463"/>
    </row>
    <row r="16" spans="1:11" ht="16.5">
      <c r="A16" s="2306" t="str">
        <f>[2]典型户型修正!$A$24</f>
        <v>16号楼A座</v>
      </c>
      <c r="B16" s="2306">
        <f>[2]典型户型修正!$B$25</f>
        <v>23945.380000000005</v>
      </c>
      <c r="C16" s="2306"/>
      <c r="D16" s="2306">
        <f ca="1">[2]典型户型修正!$S$25</f>
        <v>94603</v>
      </c>
      <c r="E16" s="2306">
        <f t="shared" ca="1" si="0"/>
        <v>39508</v>
      </c>
      <c r="F16" s="2306" t="e">
        <f t="shared" ca="1" si="1"/>
        <v>#DIV/0!</v>
      </c>
      <c r="G16" s="2306">
        <f t="shared" ca="1" si="2"/>
        <v>94603</v>
      </c>
      <c r="H16" s="2306"/>
      <c r="I16" s="2306"/>
      <c r="J16" s="2463"/>
      <c r="K16" s="2463"/>
    </row>
    <row r="17" spans="1:11" ht="16.5">
      <c r="A17" s="2306" t="str">
        <f>[2]典型户型修正!$A$24</f>
        <v>16号楼A座</v>
      </c>
      <c r="B17" s="2306">
        <f>[2]典型户型修正!$B$26</f>
        <v>25057.829999999994</v>
      </c>
      <c r="C17" s="2306"/>
      <c r="D17" s="2306">
        <f ca="1">[2]典型户型修正!$S$26</f>
        <v>98998</v>
      </c>
      <c r="E17" s="2306">
        <f t="shared" ca="1" si="0"/>
        <v>39508</v>
      </c>
      <c r="F17" s="2306" t="e">
        <f t="shared" ca="1" si="1"/>
        <v>#DIV/0!</v>
      </c>
      <c r="G17" s="2306">
        <f t="shared" ca="1" si="2"/>
        <v>98998</v>
      </c>
      <c r="H17" s="2306"/>
      <c r="I17" s="2306"/>
      <c r="J17" s="2463"/>
      <c r="K17" s="2463"/>
    </row>
    <row r="18" spans="1:11" ht="16.5">
      <c r="A18" s="2306" t="s">
        <v>646</v>
      </c>
      <c r="B18" s="2306"/>
      <c r="C18" s="2306"/>
      <c r="D18" s="2306"/>
      <c r="E18" s="2306" t="e">
        <f t="shared" si="0"/>
        <v>#DIV/0!</v>
      </c>
      <c r="F18" s="2306" t="e">
        <f t="shared" si="1"/>
        <v>#DIV/0!</v>
      </c>
      <c r="G18" s="2306"/>
      <c r="H18" s="2306"/>
      <c r="I18" s="2306"/>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1258</v>
      </c>
      <c r="B1" s="646"/>
      <c r="C1" s="1620" t="s">
        <v>3431</v>
      </c>
      <c r="D1" s="646"/>
      <c r="E1" s="646"/>
      <c r="F1" s="1621" t="s">
        <v>1259</v>
      </c>
      <c r="G1" s="1453" t="s">
        <v>3570</v>
      </c>
      <c r="H1" s="1621" t="str">
        <f>IF(G1="现房","——","估价对象范围")</f>
        <v>——</v>
      </c>
      <c r="I1" s="1622" t="s">
        <v>3571</v>
      </c>
    </row>
    <row r="2" spans="1:12" ht="21.75" customHeight="1" thickBot="1">
      <c r="A2" s="3310" t="str">
        <f>项目基本情况!S2</f>
        <v>北京市房地产</v>
      </c>
      <c r="B2" s="3311"/>
      <c r="C2" s="3311"/>
      <c r="D2" s="3311"/>
      <c r="E2" s="3311"/>
      <c r="F2" s="3311"/>
      <c r="G2" s="3311"/>
      <c r="H2" s="3311"/>
      <c r="I2" s="3312"/>
    </row>
    <row r="3" spans="1:12" ht="12.75">
      <c r="A3" s="3314" t="s">
        <v>1260</v>
      </c>
      <c r="B3" s="3315"/>
      <c r="C3" s="3315"/>
      <c r="D3" s="3315"/>
      <c r="E3" s="3315"/>
      <c r="F3" s="3315"/>
      <c r="G3" s="3315"/>
      <c r="H3" s="3315"/>
      <c r="I3" s="3315"/>
    </row>
    <row r="4" spans="1:12" ht="14.25">
      <c r="A4" s="1624" t="s">
        <v>1261</v>
      </c>
      <c r="B4" s="1625" t="s">
        <v>1262</v>
      </c>
      <c r="C4" s="1626" t="s">
        <v>3423</v>
      </c>
      <c r="D4" s="1626" t="s">
        <v>3413</v>
      </c>
      <c r="E4" s="3316" t="s">
        <v>1263</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1264</v>
      </c>
      <c r="B5" s="3277">
        <v>25</v>
      </c>
      <c r="C5" s="3293"/>
      <c r="D5" s="3313"/>
      <c r="E5" s="123" t="s">
        <v>1265</v>
      </c>
      <c r="F5" s="1627"/>
      <c r="G5" s="1627"/>
      <c r="H5" s="1627"/>
      <c r="I5" s="1281"/>
    </row>
    <row r="6" spans="1:12" ht="12.75">
      <c r="A6" s="3290"/>
      <c r="B6" s="3277"/>
      <c r="C6" s="3294"/>
      <c r="D6" s="3313"/>
      <c r="E6" s="123" t="s">
        <v>1266</v>
      </c>
      <c r="F6" s="1627"/>
      <c r="G6" s="1627"/>
      <c r="H6" s="1627"/>
      <c r="I6" s="1281"/>
    </row>
    <row r="7" spans="1:12" ht="12.75">
      <c r="A7" s="3290"/>
      <c r="B7" s="3277"/>
      <c r="C7" s="3295"/>
      <c r="D7" s="3313"/>
      <c r="E7" s="123" t="s">
        <v>1267</v>
      </c>
      <c r="F7" s="1627"/>
      <c r="G7" s="1627"/>
      <c r="H7" s="1627"/>
      <c r="I7" s="1281"/>
    </row>
    <row r="8" spans="1:12" ht="12.75">
      <c r="A8" s="3290" t="s">
        <v>1268</v>
      </c>
      <c r="B8" s="3277">
        <v>15</v>
      </c>
      <c r="C8" s="3293"/>
      <c r="D8" s="3313"/>
      <c r="E8" s="123" t="s">
        <v>1269</v>
      </c>
      <c r="F8" s="1627"/>
      <c r="G8" s="1627"/>
      <c r="H8" s="1627"/>
      <c r="I8" s="1281"/>
    </row>
    <row r="9" spans="1:12" ht="12.75">
      <c r="A9" s="3290"/>
      <c r="B9" s="3277"/>
      <c r="C9" s="3295"/>
      <c r="D9" s="3313"/>
      <c r="E9" s="123" t="s">
        <v>1270</v>
      </c>
      <c r="F9" s="1627"/>
      <c r="G9" s="1627"/>
      <c r="H9" s="1627"/>
      <c r="I9" s="1281"/>
    </row>
    <row r="10" spans="1:12" ht="12.75">
      <c r="A10" s="3290" t="s">
        <v>1271</v>
      </c>
      <c r="B10" s="3277">
        <v>15</v>
      </c>
      <c r="C10" s="3293"/>
      <c r="D10" s="3313"/>
      <c r="E10" s="123" t="s">
        <v>1272</v>
      </c>
      <c r="F10" s="1627"/>
      <c r="G10" s="1627"/>
      <c r="H10" s="1627"/>
      <c r="I10" s="1281"/>
    </row>
    <row r="11" spans="1:12" ht="12.75">
      <c r="A11" s="3290"/>
      <c r="B11" s="3277"/>
      <c r="C11" s="3295"/>
      <c r="D11" s="3313"/>
      <c r="E11" s="123" t="s">
        <v>1273</v>
      </c>
      <c r="F11" s="1627"/>
      <c r="G11" s="1627"/>
      <c r="H11" s="1627"/>
      <c r="I11" s="1281"/>
    </row>
    <row r="12" spans="1:12" ht="12.75">
      <c r="A12" s="3290" t="s">
        <v>1274</v>
      </c>
      <c r="B12" s="3277">
        <v>15</v>
      </c>
      <c r="C12" s="3293"/>
      <c r="D12" s="3313"/>
      <c r="E12" s="123" t="s">
        <v>1275</v>
      </c>
      <c r="F12" s="1627"/>
      <c r="G12" s="1627"/>
      <c r="H12" s="1627"/>
      <c r="I12" s="1281"/>
    </row>
    <row r="13" spans="1:12" ht="12.75">
      <c r="A13" s="3290"/>
      <c r="B13" s="3277"/>
      <c r="C13" s="3295"/>
      <c r="D13" s="3313"/>
      <c r="E13" s="123" t="s">
        <v>1276</v>
      </c>
      <c r="F13" s="1627"/>
      <c r="G13" s="1627"/>
      <c r="H13" s="1627"/>
      <c r="I13" s="1281"/>
    </row>
    <row r="14" spans="1:12" ht="12.75">
      <c r="A14" s="3290" t="s">
        <v>1277</v>
      </c>
      <c r="B14" s="3277">
        <v>30</v>
      </c>
      <c r="C14" s="3293">
        <v>6</v>
      </c>
      <c r="D14" s="3313">
        <v>4</v>
      </c>
      <c r="E14" s="123" t="s">
        <v>1278</v>
      </c>
      <c r="F14" s="1627"/>
      <c r="G14" s="1627"/>
      <c r="H14" s="1627"/>
      <c r="I14" s="1281"/>
    </row>
    <row r="15" spans="1:12" ht="12.75">
      <c r="A15" s="3290"/>
      <c r="B15" s="3277"/>
      <c r="C15" s="3294"/>
      <c r="D15" s="3313"/>
      <c r="E15" s="123" t="s">
        <v>1279</v>
      </c>
      <c r="F15" s="1627"/>
      <c r="G15" s="1627"/>
      <c r="H15" s="1627"/>
      <c r="I15" s="1281"/>
    </row>
    <row r="16" spans="1:12" ht="12.75">
      <c r="A16" s="3290"/>
      <c r="B16" s="3277"/>
      <c r="C16" s="3295"/>
      <c r="D16" s="3313"/>
      <c r="E16" s="123" t="s">
        <v>1280</v>
      </c>
      <c r="F16" s="1627"/>
      <c r="G16" s="1627"/>
      <c r="H16" s="1627"/>
      <c r="I16" s="1281"/>
    </row>
    <row r="17" spans="1:36" ht="15">
      <c r="A17" s="1628" t="s">
        <v>1281</v>
      </c>
      <c r="B17" s="54"/>
      <c r="C17" s="124">
        <f>SUM(C5:C16)</f>
        <v>6</v>
      </c>
      <c r="D17" s="124">
        <f>SUM(D5:D16)</f>
        <v>4</v>
      </c>
      <c r="E17" s="121"/>
      <c r="F17" s="121"/>
      <c r="G17" s="121"/>
      <c r="H17" s="121"/>
      <c r="I17" s="121"/>
      <c r="K17" s="294"/>
      <c r="L17" s="294" t="s">
        <v>1282</v>
      </c>
      <c r="M17" s="294" t="s">
        <v>1283</v>
      </c>
    </row>
    <row r="18" spans="1:36" ht="31.9" customHeight="1" thickBot="1">
      <c r="A18" s="1629" t="s">
        <v>1284</v>
      </c>
      <c r="B18" s="1542"/>
      <c r="C18" s="125">
        <f>ROUND(C17/SUM(C17:D17),2)</f>
        <v>0.6</v>
      </c>
      <c r="D18" s="125">
        <f>1-C18</f>
        <v>0.4</v>
      </c>
      <c r="E18" s="3300" t="s">
        <v>2127</v>
      </c>
      <c r="F18" s="3301"/>
      <c r="G18" s="3301"/>
      <c r="H18" s="3301"/>
      <c r="I18" s="3301"/>
      <c r="K18" s="294" t="s">
        <v>1285</v>
      </c>
      <c r="L18" s="294">
        <f>IF(C1="",'数据-汇总表'!E3,SUMIF(项目类型,C1,'数据-汇总表'!E17:E26)+SUMIF(项目类型,C1,'数据-汇总表'!I17:I26))</f>
        <v>36389.269999999997</v>
      </c>
      <c r="M18" s="294">
        <f>IF(C1="",'数据-汇总表'!E3,SUMIF(项目类型,C1,'数据-汇总表'!E17:E26))</f>
        <v>36389.269999999997</v>
      </c>
    </row>
    <row r="19" spans="1:36" ht="15">
      <c r="A19" s="1630" t="s">
        <v>1286</v>
      </c>
      <c r="B19" s="1631" t="s">
        <v>1287</v>
      </c>
      <c r="C19" s="126">
        <f ca="1">SUMIF(INDIRECT("'"&amp;C4&amp;"'"&amp;"!A:A"),结果表!B19,INDIRECT("'"&amp;C4&amp;"'"&amp;"!B:B"))</f>
        <v>158521</v>
      </c>
      <c r="D19" s="127">
        <f ca="1">SUMIF(INDIRECT("'"&amp;D4&amp;"'"&amp;"!A:A"),结果表!B19,INDIRECT("'"&amp;D4&amp;"'"&amp;"!B:B"))</f>
        <v>69216</v>
      </c>
      <c r="E19" s="1630" t="s">
        <v>1288</v>
      </c>
      <c r="F19" s="1631" t="s">
        <v>1287</v>
      </c>
      <c r="G19" s="128">
        <f ca="1">ROUND(C19*$C$18+D19*$D$18,0)</f>
        <v>122799</v>
      </c>
      <c r="H19" s="1632"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33"/>
      <c r="B20" s="43" t="s">
        <v>1291</v>
      </c>
      <c r="C20" s="129">
        <f ca="1">SUMIF(INDIRECT("'"&amp;C4&amp;"'"&amp;"!A:A"),结果表!B20,INDIRECT("'"&amp;C4&amp;"'"&amp;"!B:B"))</f>
        <v>43563</v>
      </c>
      <c r="D20" s="130">
        <f ca="1">SUMIF(INDIRECT("'"&amp;D4&amp;"'"&amp;"!A:A"),结果表!B20,INDIRECT("'"&amp;D4&amp;"'"&amp;"!B:B"))</f>
        <v>19021</v>
      </c>
      <c r="E20" s="1633"/>
      <c r="F20" s="43" t="s">
        <v>1291</v>
      </c>
      <c r="G20" s="131">
        <f ca="1">ROUND(C20*$C$18+D20*$D$18,0)</f>
        <v>33746</v>
      </c>
      <c r="H20" s="760" t="s">
        <v>1292</v>
      </c>
      <c r="I20" s="121"/>
    </row>
    <row r="21" spans="1:36" ht="15" customHeight="1" thickBot="1">
      <c r="A21" s="449"/>
      <c r="B21" s="93" t="s">
        <v>1293</v>
      </c>
      <c r="C21" s="678" t="e">
        <f ca="1">ROUND(C19*10000/L19,0)</f>
        <v>#DIV/0!</v>
      </c>
      <c r="D21" s="679" t="e">
        <f ca="1">ROUND(D19*10000/L19,0)</f>
        <v>#DIV/0!</v>
      </c>
      <c r="E21" s="449"/>
      <c r="F21" s="93" t="s">
        <v>1293</v>
      </c>
      <c r="G21" s="132" t="e">
        <f ca="1">ROUND(G19*10000/L19,0)</f>
        <v>#DIV/0!</v>
      </c>
      <c r="H21" s="1634" t="s">
        <v>1292</v>
      </c>
      <c r="I21" s="121"/>
    </row>
    <row r="22" spans="1:36" ht="15" thickBot="1">
      <c r="A22" s="1564" t="s">
        <v>1294</v>
      </c>
      <c r="B22" s="1635"/>
      <c r="C22" s="1636"/>
      <c r="D22" s="680">
        <f ca="1">IF(C19&lt;D19,D19/C19-1,C19/D19-1)</f>
        <v>1.2902363615349053</v>
      </c>
      <c r="E22" s="121"/>
      <c r="F22" s="121"/>
      <c r="G22" s="121"/>
      <c r="H22" s="121"/>
      <c r="I22" s="121"/>
    </row>
    <row r="23" spans="1:36" ht="13.5" thickBot="1">
      <c r="A23" s="646"/>
      <c r="B23" s="646"/>
      <c r="C23" s="646"/>
      <c r="D23" s="646"/>
      <c r="E23" s="121"/>
      <c r="F23" s="121"/>
      <c r="G23" s="121"/>
      <c r="H23" s="121"/>
      <c r="I23" s="121"/>
    </row>
    <row r="24" spans="1:36" ht="14.25">
      <c r="A24" s="3284" t="s">
        <v>1295</v>
      </c>
      <c r="B24" s="1631" t="s">
        <v>1287</v>
      </c>
      <c r="C24" s="128">
        <f>IF(B30=0,0,D30)</f>
        <v>0</v>
      </c>
      <c r="D24" s="1637"/>
      <c r="E24" s="121"/>
      <c r="F24" s="121"/>
      <c r="G24" s="121"/>
      <c r="H24" s="121"/>
      <c r="I24" s="121"/>
    </row>
    <row r="25" spans="1:36" ht="14.25">
      <c r="A25" s="3285"/>
      <c r="B25" s="43" t="s">
        <v>1291</v>
      </c>
      <c r="C25" s="133">
        <f>IF(B30=0,0,C30)</f>
        <v>0</v>
      </c>
      <c r="D25" s="1638"/>
      <c r="E25" s="121"/>
      <c r="F25" s="121"/>
      <c r="G25" s="121"/>
      <c r="H25" s="121"/>
      <c r="I25" s="121"/>
    </row>
    <row r="26" spans="1:36" ht="13.5" customHeight="1">
      <c r="A26" s="1639" t="s">
        <v>1296</v>
      </c>
      <c r="B26" s="134" t="s">
        <v>1297</v>
      </c>
      <c r="C26" s="134" t="s">
        <v>1298</v>
      </c>
      <c r="D26" s="135" t="s">
        <v>1299</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1300</v>
      </c>
      <c r="B30" s="134"/>
      <c r="C30" s="134"/>
      <c r="D30" s="134"/>
      <c r="E30" s="2127" t="s">
        <v>2128</v>
      </c>
      <c r="F30" s="121"/>
      <c r="G30" s="121"/>
      <c r="H30" s="121"/>
      <c r="I30" s="121"/>
    </row>
    <row r="31" spans="1:36" s="2133" customFormat="1" ht="26.45" customHeight="1" thickTop="1" thickBot="1">
      <c r="A31" s="2128"/>
      <c r="B31" s="2129"/>
      <c r="C31" s="2129"/>
      <c r="D31" s="2129"/>
      <c r="E31" s="2129"/>
      <c r="F31" s="2129"/>
      <c r="G31" s="2129"/>
      <c r="H31" s="2129"/>
      <c r="I31" s="2130" t="s">
        <v>2129</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1301</v>
      </c>
      <c r="B32" s="1535"/>
      <c r="C32" s="136">
        <f ca="1">IF(D32="总价",G19-C24,G20-C25)</f>
        <v>122799</v>
      </c>
      <c r="D32" s="1641" t="s">
        <v>3424</v>
      </c>
      <c r="E32" s="121"/>
      <c r="F32" s="121"/>
      <c r="G32" s="121"/>
      <c r="H32" s="121"/>
      <c r="I32" s="121"/>
    </row>
    <row r="33" spans="1:15" ht="15">
      <c r="A33" s="740" t="s">
        <v>1302</v>
      </c>
      <c r="B33" s="123"/>
      <c r="C33" s="1642" t="s">
        <v>3425</v>
      </c>
      <c r="D33" s="1643" t="s">
        <v>3423</v>
      </c>
      <c r="E33" s="1644" t="s">
        <v>1303</v>
      </c>
      <c r="F33" s="1645" t="str">
        <f>IF(D32="楼面单价","取值（单价）","取值（总价）")</f>
        <v>取值（总价）</v>
      </c>
      <c r="G33" s="121"/>
      <c r="H33" s="121"/>
      <c r="I33" s="121"/>
    </row>
    <row r="34" spans="1:15" ht="15">
      <c r="A34" s="1646"/>
      <c r="B34" s="1647" t="s">
        <v>1304</v>
      </c>
      <c r="C34" s="140">
        <f ca="1">IF(C33="自定义",F34,C32-C35)</f>
        <v>98853</v>
      </c>
      <c r="D34" s="808">
        <f ca="1">IF(C33="自定义",ROUND(C34/C32,3),IF(C33="收益比率",SUMIF(INDIRECT("'"&amp;D33&amp;"'"&amp;"!b:b"),"土地收益比率",INDIRECT("'"&amp;D33&amp;"'"&amp;"!c:c")),SUMIF(INDIRECT("'"&amp;D33&amp;"'"&amp;"!b:b"),"土地成本比率",INDIRECT("'"&amp;D33&amp;"'"&amp;"!c:c"))))</f>
        <v>0.80499999999999994</v>
      </c>
      <c r="E34" s="1648" t="s">
        <v>1305</v>
      </c>
      <c r="F34" s="1243"/>
      <c r="G34" s="121"/>
      <c r="H34" s="121"/>
      <c r="I34" s="121"/>
    </row>
    <row r="35" spans="1:15" ht="15.75" thickBot="1">
      <c r="A35" s="1649"/>
      <c r="B35" s="1650" t="s">
        <v>1306</v>
      </c>
      <c r="C35" s="1090">
        <f ca="1">IF(C33="自定义",F35,ROUND(C32*D35,0))</f>
        <v>23946</v>
      </c>
      <c r="D35" s="1091">
        <f ca="1">IF(C33="自定义",ROUND(C35/C32,3),IF(C33="收益比率",SUMIF(INDIRECT("'"&amp;D33&amp;"'"&amp;"!b:b"),"建筑物收益比率",INDIRECT("'"&amp;D33&amp;"'"&amp;"!c:c")),SUMIF(INDIRECT("'"&amp;D33&amp;"'"&amp;"!b:b"),"建筑物成本比率",INDIRECT("'"&amp;D33&amp;"'"&amp;"!c:c"))))</f>
        <v>0.19500000000000001</v>
      </c>
      <c r="E35" s="1651" t="s">
        <v>1307</v>
      </c>
      <c r="F35" s="146"/>
      <c r="G35" s="121"/>
      <c r="H35" s="121"/>
      <c r="I35" s="121"/>
    </row>
    <row r="36" spans="1:15" ht="15.75" thickBot="1">
      <c r="A36" s="3304" t="s">
        <v>1308</v>
      </c>
      <c r="B36" s="1652" t="s">
        <v>1309</v>
      </c>
      <c r="C36" s="137"/>
      <c r="D36" s="1653"/>
      <c r="E36" s="1567"/>
      <c r="F36" s="1654"/>
      <c r="G36" s="121"/>
      <c r="H36" s="121"/>
      <c r="I36" s="121"/>
    </row>
    <row r="37" spans="1:15" ht="15.75" thickBot="1">
      <c r="A37" s="3305"/>
      <c r="B37" s="1555" t="s">
        <v>1310</v>
      </c>
      <c r="C37" s="139"/>
      <c r="D37" s="1071"/>
      <c r="E37" s="1071"/>
      <c r="F37" s="1654"/>
      <c r="G37" s="121"/>
      <c r="H37" s="121"/>
      <c r="I37" s="121"/>
    </row>
    <row r="38" spans="1:15" ht="15.75" thickBot="1">
      <c r="A38" s="3306"/>
      <c r="B38" s="1655" t="s">
        <v>1311</v>
      </c>
      <c r="C38" s="641"/>
      <c r="D38" s="1656" t="s">
        <v>1312</v>
      </c>
      <c r="E38" s="1071"/>
      <c r="F38" s="1654"/>
      <c r="G38" s="121"/>
      <c r="H38" s="121"/>
      <c r="I38" s="121"/>
    </row>
    <row r="39" spans="1:15" ht="15">
      <c r="A39" s="1633" t="s">
        <v>1313</v>
      </c>
      <c r="B39" s="1657" t="s">
        <v>1314</v>
      </c>
      <c r="C39" s="1658" t="s">
        <v>1315</v>
      </c>
      <c r="D39" s="1658" t="s">
        <v>1316</v>
      </c>
      <c r="E39" s="1659" t="s">
        <v>1317</v>
      </c>
      <c r="F39" s="1654"/>
      <c r="G39" s="121"/>
      <c r="H39" s="121"/>
      <c r="I39" s="121"/>
    </row>
    <row r="40" spans="1:15" ht="14.25">
      <c r="A40" s="1660" t="s">
        <v>1318</v>
      </c>
      <c r="B40" s="141"/>
      <c r="C40" s="142"/>
      <c r="D40" s="142"/>
      <c r="E40" s="143"/>
      <c r="F40" s="1654"/>
      <c r="G40" s="121"/>
      <c r="H40" s="121"/>
      <c r="I40" s="121"/>
    </row>
    <row r="41" spans="1:15" ht="14.25">
      <c r="A41" s="1660" t="s">
        <v>1319</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1320</v>
      </c>
      <c r="B44" s="1664"/>
      <c r="C44" s="1664"/>
      <c r="D44" s="1665"/>
      <c r="E44" s="1665"/>
      <c r="F44" s="1666"/>
      <c r="G44" s="1666"/>
      <c r="H44" s="1666"/>
      <c r="I44" s="1666"/>
      <c r="J44" s="1667" t="s">
        <v>1321</v>
      </c>
      <c r="K44" s="4"/>
      <c r="L44" s="4"/>
      <c r="M44" s="4"/>
      <c r="N44" s="4"/>
      <c r="O44" s="4"/>
    </row>
    <row r="45" spans="1:15" ht="14.25" customHeight="1" thickBot="1">
      <c r="A45" s="3281" t="s">
        <v>1322</v>
      </c>
      <c r="B45" s="3282"/>
      <c r="C45" s="3283"/>
      <c r="D45" s="147">
        <f ca="1">ROUND(H101*F45,0)</f>
        <v>122799</v>
      </c>
      <c r="E45" s="148" t="s">
        <v>1323</v>
      </c>
      <c r="F45" s="149">
        <v>1</v>
      </c>
      <c r="G45" s="150" t="s">
        <v>1324</v>
      </c>
      <c r="H45" s="121"/>
      <c r="I45" s="121"/>
      <c r="J45" s="3359" t="s">
        <v>1325</v>
      </c>
      <c r="K45" s="3359"/>
      <c r="L45" s="3359"/>
      <c r="M45" s="3359"/>
      <c r="N45" s="3359"/>
      <c r="O45" s="3359"/>
    </row>
    <row r="46" spans="1:15" ht="14.25" customHeight="1">
      <c r="A46" s="3278" t="s">
        <v>1326</v>
      </c>
      <c r="B46" s="3279"/>
      <c r="C46" s="3279"/>
      <c r="D46" s="3279"/>
      <c r="E46" s="3279"/>
      <c r="F46" s="3279"/>
      <c r="G46" s="3280"/>
      <c r="H46" s="1668"/>
      <c r="I46" s="151"/>
      <c r="J46" s="2310">
        <v>1</v>
      </c>
      <c r="K46" s="3340" t="s">
        <v>1327</v>
      </c>
      <c r="L46" s="3340"/>
      <c r="M46" s="3360"/>
      <c r="N46" s="3360"/>
      <c r="O46" s="3360"/>
    </row>
    <row r="47" spans="1:15" ht="12" customHeight="1">
      <c r="A47" s="152" t="s">
        <v>1328</v>
      </c>
      <c r="B47" s="153"/>
      <c r="C47" s="154"/>
      <c r="D47" s="1024" t="s">
        <v>1329</v>
      </c>
      <c r="E47" s="294" t="s">
        <v>1330</v>
      </c>
      <c r="F47" s="155" t="s">
        <v>1331</v>
      </c>
      <c r="G47" s="2333" t="s">
        <v>1332</v>
      </c>
      <c r="H47" s="2334"/>
      <c r="I47" s="151"/>
      <c r="J47" s="2310">
        <v>2</v>
      </c>
      <c r="K47" s="3340" t="s">
        <v>1333</v>
      </c>
      <c r="L47" s="3340"/>
      <c r="M47" s="3361">
        <f>'数据-取费表'!B2</f>
        <v>45889</v>
      </c>
      <c r="N47" s="3361"/>
      <c r="O47" s="3361"/>
    </row>
    <row r="48" spans="1:15" ht="25.5">
      <c r="A48" s="3309" t="s">
        <v>1334</v>
      </c>
      <c r="B48" s="3292"/>
      <c r="C48" s="329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1335</v>
      </c>
      <c r="H48" s="2337"/>
      <c r="I48" s="1668"/>
      <c r="J48" s="2310">
        <v>3</v>
      </c>
      <c r="K48" s="3340" t="s">
        <v>1336</v>
      </c>
      <c r="L48" s="3340"/>
      <c r="M48" s="3362">
        <f ca="1">H101</f>
        <v>122799</v>
      </c>
      <c r="N48" s="3362"/>
      <c r="O48" s="3362"/>
    </row>
    <row r="49" spans="1:35" ht="25.5" customHeight="1">
      <c r="A49" s="2152" t="s">
        <v>1337</v>
      </c>
      <c r="B49" s="3276" t="s">
        <v>1338</v>
      </c>
      <c r="C49" s="3276"/>
      <c r="D49" s="1478">
        <v>0</v>
      </c>
      <c r="E49" s="316" t="s">
        <v>1339</v>
      </c>
      <c r="F49" s="2233" t="s">
        <v>28</v>
      </c>
      <c r="G49" s="3346"/>
      <c r="H49" s="2134" t="s">
        <v>2130</v>
      </c>
      <c r="I49" s="2135"/>
      <c r="J49" s="2310">
        <v>4</v>
      </c>
      <c r="K49" s="3340" t="str">
        <f>IF(项目基本情况!E8="房地产抵押价值","房地产抵押价值","抵押担保权已注销时的房地产抵押价值")</f>
        <v>房地产抵押价值</v>
      </c>
      <c r="L49" s="3340"/>
      <c r="M49" s="3362">
        <f ca="1">IF(项目基本情况!E8="房地产抵押价值",H107,H109)</f>
        <v>122799</v>
      </c>
      <c r="N49" s="3362"/>
      <c r="O49" s="3362"/>
    </row>
    <row r="50" spans="1:35" ht="25.5" customHeight="1">
      <c r="A50" s="2338"/>
      <c r="B50" s="3276" t="s">
        <v>1340</v>
      </c>
      <c r="C50" s="3276"/>
      <c r="D50" s="2189"/>
      <c r="E50" s="323"/>
      <c r="F50" s="2233"/>
      <c r="G50" s="3347"/>
      <c r="H50" s="2136" t="s">
        <v>2131</v>
      </c>
      <c r="I50" s="2135"/>
      <c r="J50" s="3359" t="s">
        <v>1341</v>
      </c>
      <c r="K50" s="3359"/>
      <c r="L50" s="3359"/>
      <c r="M50" s="3359"/>
      <c r="N50" s="3359"/>
      <c r="O50" s="3359"/>
    </row>
    <row r="51" spans="1:35" ht="20.45" customHeight="1">
      <c r="A51" s="2339"/>
      <c r="B51" s="3276" t="s">
        <v>1342</v>
      </c>
      <c r="C51" s="3276"/>
      <c r="D51" s="1024"/>
      <c r="E51" s="319"/>
      <c r="F51" s="2233"/>
      <c r="G51" s="3348"/>
      <c r="H51" s="2136" t="s">
        <v>2132</v>
      </c>
      <c r="I51" s="2135"/>
      <c r="J51" s="2311" t="s">
        <v>1343</v>
      </c>
      <c r="K51" s="3340" t="s">
        <v>1344</v>
      </c>
      <c r="L51" s="3340"/>
      <c r="M51" s="2311" t="s">
        <v>1345</v>
      </c>
      <c r="N51" s="2311" t="s">
        <v>1346</v>
      </c>
      <c r="O51" s="2311" t="s">
        <v>1347</v>
      </c>
    </row>
    <row r="52" spans="1:35" ht="24" customHeight="1">
      <c r="A52" s="2153" t="s">
        <v>1348</v>
      </c>
      <c r="B52" s="3276" t="s">
        <v>1349</v>
      </c>
      <c r="C52" s="3276"/>
      <c r="D52" s="1024">
        <f ca="1">ROUND(D45*'数据-取费表'!B41/(1+'数据-取费表'!C42),0)</f>
        <v>6549</v>
      </c>
      <c r="E52" s="1256" t="s">
        <v>1350</v>
      </c>
      <c r="F52" s="2340">
        <f>'数据-取费表'!B41</f>
        <v>5.6000000000000001E-2</v>
      </c>
      <c r="G52" s="2341"/>
      <c r="H52" s="2331"/>
      <c r="I52" s="1669"/>
      <c r="J52" s="2310">
        <v>1</v>
      </c>
      <c r="K52" s="3341" t="s">
        <v>1351</v>
      </c>
      <c r="L52" s="3341"/>
      <c r="M52" s="2312" t="b">
        <f>D48</f>
        <v>0</v>
      </c>
      <c r="N52" s="2310" t="str">
        <f>E48</f>
        <v>销售额×税（费）率</v>
      </c>
      <c r="O52" s="2313">
        <f>F48</f>
        <v>5.6000000000000001E-2</v>
      </c>
    </row>
    <row r="53" spans="1:35" ht="12" customHeight="1">
      <c r="A53" s="2153" t="s">
        <v>1352</v>
      </c>
      <c r="B53" s="3302" t="s">
        <v>2278</v>
      </c>
      <c r="C53" s="3303"/>
      <c r="D53" s="1024">
        <f ca="1">ROUND(D45*'数据-取费表'!B41/(1+'数据-取费表'!C42),0)</f>
        <v>6549</v>
      </c>
      <c r="E53" s="1256" t="s">
        <v>1350</v>
      </c>
      <c r="F53" s="2340">
        <f>'数据-取费表'!B41</f>
        <v>5.6000000000000001E-2</v>
      </c>
      <c r="G53" s="2341"/>
      <c r="H53" s="2331"/>
      <c r="I53" s="1669"/>
      <c r="J53" s="2310">
        <v>2</v>
      </c>
      <c r="K53" s="3341" t="s">
        <v>1353</v>
      </c>
      <c r="L53" s="3341"/>
      <c r="M53" s="2312">
        <f t="shared" ref="M53:O54" ca="1" si="0">D55</f>
        <v>61</v>
      </c>
      <c r="N53" s="2310" t="str">
        <f t="shared" si="0"/>
        <v>销售额×税（费）率</v>
      </c>
      <c r="O53" s="2313" t="str">
        <f t="shared" si="0"/>
        <v>免征</v>
      </c>
    </row>
    <row r="54" spans="1:35" ht="12" customHeight="1">
      <c r="A54" s="2153" t="s">
        <v>1354</v>
      </c>
      <c r="B54" s="3302" t="s">
        <v>2279</v>
      </c>
      <c r="C54" s="3303"/>
      <c r="D54" s="1024">
        <f ca="1">C68</f>
        <v>6549</v>
      </c>
      <c r="E54" s="319" t="s">
        <v>1355</v>
      </c>
      <c r="F54" s="2340">
        <f>'数据-取费表'!B41</f>
        <v>5.6000000000000001E-2</v>
      </c>
      <c r="G54" s="2341"/>
      <c r="H54" s="2342"/>
      <c r="I54" s="1669"/>
      <c r="J54" s="2310">
        <v>3</v>
      </c>
      <c r="K54" s="3341" t="s">
        <v>1356</v>
      </c>
      <c r="L54" s="3341"/>
      <c r="M54" s="2312">
        <f t="shared" ca="1" si="0"/>
        <v>69504</v>
      </c>
      <c r="N54" s="2310" t="str">
        <f t="shared" si="0"/>
        <v>增值额×税（费）率</v>
      </c>
      <c r="O54" s="2314" t="str">
        <f t="shared" si="0"/>
        <v>免征</v>
      </c>
    </row>
    <row r="55" spans="1:35" ht="24" customHeight="1">
      <c r="A55" s="3291" t="s">
        <v>1357</v>
      </c>
      <c r="B55" s="3292"/>
      <c r="C55" s="3292"/>
      <c r="D55" s="12">
        <f ca="1">IF(H55="个人住宅",0,ROUND(D45*I55,0))</f>
        <v>61</v>
      </c>
      <c r="E55" s="1256" t="s">
        <v>1358</v>
      </c>
      <c r="F55" s="2340" t="str">
        <f>IF(H55="正常",I55,"免征")</f>
        <v>免征</v>
      </c>
      <c r="G55" s="2341"/>
      <c r="H55" s="2337"/>
      <c r="I55" s="157">
        <f>'数据-取费表'!B49</f>
        <v>5.0000000000000001E-4</v>
      </c>
      <c r="J55" s="2310">
        <f>IF(H59="非个人房产","",4)</f>
        <v>4</v>
      </c>
      <c r="K55" s="3341" t="str">
        <f>IF(H59="非个人房产","——","个人所得税")</f>
        <v>个人所得税</v>
      </c>
      <c r="L55" s="3341"/>
      <c r="M55" s="2315">
        <f ca="1">D59</f>
        <v>1170</v>
      </c>
      <c r="N55" s="1883" t="str">
        <f>E59</f>
        <v>差额计税</v>
      </c>
      <c r="O55" s="2316">
        <f>F59</f>
        <v>0.01</v>
      </c>
    </row>
    <row r="56" spans="1:35" ht="24.75">
      <c r="A56" s="3291" t="s">
        <v>1359</v>
      </c>
      <c r="B56" s="3292"/>
      <c r="C56" s="3292"/>
      <c r="D56" s="12">
        <f ca="1">IF(H56="个人住宅",D57,D58)</f>
        <v>69504</v>
      </c>
      <c r="E56" s="1256" t="s">
        <v>1360</v>
      </c>
      <c r="F56" s="2340" t="str">
        <f>IF(H56="正常",F58,"免征")</f>
        <v>免征</v>
      </c>
      <c r="G56" s="2343" t="s">
        <v>1361</v>
      </c>
      <c r="H56" s="2344"/>
      <c r="I56" s="1670"/>
      <c r="J56" s="2310" t="str">
        <f>IF(项目基本情况!K6="上海银行",IF(J55="",4,J55+1),"")</f>
        <v/>
      </c>
      <c r="K56" s="3364" t="str">
        <f>IF(项目基本情况!K6="上海银行","其他处置费用","")</f>
        <v/>
      </c>
      <c r="L56" s="3365"/>
      <c r="M56" s="2312" t="str">
        <f>IF(项目基本情况!K6="上海银行",M69,"")</f>
        <v/>
      </c>
      <c r="N56" s="3364" t="str">
        <f>IF(项目基本情况!K6="上海银行","包含处置中涉及的律师、诉讼、拍卖、评估等费用","")</f>
        <v/>
      </c>
      <c r="O56" s="3367"/>
    </row>
    <row r="57" spans="1:35" ht="12.75">
      <c r="A57" s="2153" t="s">
        <v>1337</v>
      </c>
      <c r="B57" s="3302" t="s">
        <v>1362</v>
      </c>
      <c r="C57" s="3303"/>
      <c r="D57" s="1478">
        <v>0</v>
      </c>
      <c r="E57" s="316" t="s">
        <v>1339</v>
      </c>
      <c r="F57" s="294"/>
      <c r="G57" s="2341"/>
      <c r="H57" s="2345"/>
      <c r="I57" s="1670"/>
      <c r="J57" s="3341">
        <f>IF(AND(J55="",J56=""),4,IF(项目基本情况!K6="上海银行",结果表!J56+1,结果表!J55+1))</f>
        <v>5</v>
      </c>
      <c r="K57" s="3341" t="s">
        <v>1363</v>
      </c>
      <c r="L57" s="2317" t="s">
        <v>1364</v>
      </c>
      <c r="M57" s="2318"/>
      <c r="N57" s="2319">
        <f ca="1">SUMIF(M52:M56,"&lt;9e307")</f>
        <v>70735</v>
      </c>
      <c r="O57" s="2320"/>
      <c r="P57" s="2465">
        <f ca="1">N57/M49</f>
        <v>0.57602260604728051</v>
      </c>
    </row>
    <row r="58" spans="1:35" ht="24.75">
      <c r="A58" s="2153" t="s">
        <v>1348</v>
      </c>
      <c r="B58" s="3302" t="s">
        <v>1365</v>
      </c>
      <c r="C58" s="3276"/>
      <c r="D58" s="12">
        <f ca="1">IF(H58="转让取得",C81,C97)</f>
        <v>69504</v>
      </c>
      <c r="E58" s="1256" t="s">
        <v>1360</v>
      </c>
      <c r="F58" s="294" t="s">
        <v>28</v>
      </c>
      <c r="G58" s="2341"/>
      <c r="H58" s="2344"/>
      <c r="I58" s="1670"/>
      <c r="J58" s="3341"/>
      <c r="K58" s="3341"/>
      <c r="L58" s="2317" t="s">
        <v>1366</v>
      </c>
      <c r="M58" s="2321"/>
      <c r="N58" s="2322" t="str">
        <f ca="1">NUMBERSTRING(INT(N57*10000),2)&amp;"元整"</f>
        <v>柒亿零柒佰叁拾伍万元整</v>
      </c>
      <c r="O58" s="2323"/>
    </row>
    <row r="59" spans="1:35" ht="24.75" thickBot="1">
      <c r="A59" s="3344" t="s">
        <v>1367</v>
      </c>
      <c r="B59" s="3345"/>
      <c r="C59" s="3345"/>
      <c r="D59" s="2346">
        <f ca="1">IF(H59="非个人房产","——",IF(H59="个人住宅（满五唯一有凭证）",0,IF(H59="个人其他（无凭证）",ROUND(D45*F59,0),ROUND(C67*F59,0))))</f>
        <v>1170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1361</v>
      </c>
      <c r="H59" s="2138"/>
      <c r="I59" s="2137" t="s">
        <v>2133</v>
      </c>
      <c r="J59" s="3342">
        <f>J57+1</f>
        <v>6</v>
      </c>
      <c r="K59" s="3341" t="s">
        <v>1368</v>
      </c>
      <c r="L59" s="2310" t="s">
        <v>1364</v>
      </c>
      <c r="M59" s="2324"/>
      <c r="N59" s="2325">
        <f ca="1">M49-N57</f>
        <v>52064</v>
      </c>
      <c r="O59" s="2326"/>
    </row>
    <row r="60" spans="1:35" ht="12" customHeight="1">
      <c r="A60" s="1671"/>
      <c r="B60" s="646"/>
      <c r="C60" s="646"/>
      <c r="D60" s="646"/>
      <c r="E60" s="1466"/>
      <c r="F60" s="1670"/>
      <c r="G60" s="1670"/>
      <c r="H60" s="151"/>
      <c r="I60" s="121"/>
      <c r="J60" s="3343"/>
      <c r="K60" s="3341"/>
      <c r="L60" s="2317" t="s">
        <v>1366</v>
      </c>
      <c r="M60" s="2321"/>
      <c r="N60" s="2322" t="str">
        <f ca="1">NUMBERSTRING(INT(N59*10000),2)&amp;"元整"</f>
        <v>伍亿贰仟零陆拾肆万元整</v>
      </c>
      <c r="O60" s="2323"/>
    </row>
    <row r="61" spans="1:35" ht="13.5" thickBot="1">
      <c r="A61" s="3289" t="s">
        <v>1369</v>
      </c>
      <c r="B61" s="3289"/>
      <c r="C61" s="3289"/>
      <c r="D61" s="3289"/>
      <c r="E61" s="3289"/>
      <c r="F61" s="1670"/>
      <c r="G61" s="1670"/>
      <c r="H61" s="151"/>
      <c r="I61" s="121"/>
      <c r="J61" s="2310">
        <f>J59+1</f>
        <v>7</v>
      </c>
      <c r="K61" s="3341" t="s">
        <v>1370</v>
      </c>
      <c r="L61" s="3341"/>
      <c r="M61" s="2327"/>
      <c r="N61" s="2328">
        <f ca="1">ROUND(N59*10000/'数据-汇总表'!E3,0)</f>
        <v>14308</v>
      </c>
      <c r="O61" s="2329"/>
    </row>
    <row r="62" spans="1:35" ht="12.75">
      <c r="A62" s="3307" t="s">
        <v>1371</v>
      </c>
      <c r="B62" s="3308"/>
      <c r="C62" s="1865"/>
      <c r="D62" s="1865" t="s">
        <v>1372</v>
      </c>
      <c r="E62" s="158" t="s">
        <v>1373</v>
      </c>
      <c r="F62" s="1670"/>
      <c r="G62" s="1670"/>
      <c r="H62" s="151"/>
      <c r="I62" s="121"/>
    </row>
    <row r="63" spans="1:35" ht="12.75">
      <c r="A63" s="165" t="s">
        <v>330</v>
      </c>
      <c r="B63" s="159" t="s">
        <v>1374</v>
      </c>
      <c r="C63" s="2350">
        <f ca="1">ROUND((C64+C65)/(1+'数据-取费表'!C42),0)</f>
        <v>116951</v>
      </c>
      <c r="D63" s="159"/>
      <c r="E63" s="160"/>
      <c r="F63" s="1670"/>
      <c r="G63" s="1670"/>
      <c r="H63" s="151"/>
      <c r="I63" s="121"/>
      <c r="J63" s="3366" t="s">
        <v>1375</v>
      </c>
      <c r="K63" s="1245" t="s">
        <v>1376</v>
      </c>
      <c r="L63" s="1245">
        <f ca="1">IF(M49&gt;10000,M49*0.5%,IF(AND(M49&gt;1000,M49&lt;=10000),M49*1%,IF(AND(M49&gt;100,M49&lt;=1000),M49*3%,IF(AND(M49&gt;10,M49&lt;=100),M49*5%,M49*8%))))</f>
        <v>613.995</v>
      </c>
      <c r="M63" s="294">
        <f ca="1">ROUND(L63,1)</f>
        <v>614</v>
      </c>
      <c r="N63" s="2330"/>
      <c r="Z63" s="1623"/>
      <c r="AI63" s="1561"/>
    </row>
    <row r="64" spans="1:35" ht="14.25" customHeight="1">
      <c r="A64" s="161" t="s">
        <v>325</v>
      </c>
      <c r="B64" s="162" t="s">
        <v>1377</v>
      </c>
      <c r="C64" s="2351">
        <f ca="1">D45</f>
        <v>122799</v>
      </c>
      <c r="D64" s="162" t="s">
        <v>26</v>
      </c>
      <c r="E64" s="164"/>
      <c r="F64" s="1670"/>
      <c r="G64" s="1670"/>
      <c r="H64" s="151"/>
      <c r="I64" s="121"/>
      <c r="J64" s="3366"/>
      <c r="K64" s="1245" t="s">
        <v>1378</v>
      </c>
      <c r="L64" s="1245">
        <f ca="1">IF(M49&gt;2000,M49*0.5%,IF(AND(M49&gt;1000,M49&lt;=2000),M49*0.6%,IF(AND(M49&gt;500,M49&lt;=1000),M49*0.7%,IF(AND(M49&gt;200,M49&lt;=500),M49*0.8%,IF(AND(M49&gt;100,M49&lt;=200),M49*0.9%,IF(AND(M49&gt;50,M49&lt;=100),M49*1%,IF(AND(M49&gt;20,M49&lt;=50),M49*1.5%,IF(AND(M49&gt;10,M49&lt;=20),M49*2%,IF(AND(M49&gt;1,M49&lt;=10),M49*2.5%)))))))))</f>
        <v>613.995</v>
      </c>
      <c r="M64" s="294">
        <f t="shared" ref="M64:M65" ca="1" si="1">ROUND(L64,1)</f>
        <v>614</v>
      </c>
      <c r="N64" s="2331" t="s">
        <v>1379</v>
      </c>
      <c r="Z64" s="1623"/>
      <c r="AI64" s="1561"/>
    </row>
    <row r="65" spans="1:35" ht="14.25" customHeight="1">
      <c r="A65" s="161" t="s">
        <v>326</v>
      </c>
      <c r="B65" s="162" t="s">
        <v>1380</v>
      </c>
      <c r="C65" s="2352"/>
      <c r="D65" s="162"/>
      <c r="E65" s="164"/>
      <c r="F65" s="1670"/>
      <c r="G65" s="1670"/>
      <c r="H65" s="151"/>
      <c r="I65" s="121"/>
      <c r="J65" s="3366"/>
      <c r="K65" s="1245" t="s">
        <v>1381</v>
      </c>
      <c r="L65" s="1245">
        <f ca="1">IF(M49&gt;1000,M49*0.1%,IF(AND(M49&gt;500,M49&lt;=1000),M49*0.5%,IF(AND(M49&gt;50,M49&lt;=500),M49*1%,IF(AND(M49&gt;1,M49&lt;=50),M49*1.5%))))</f>
        <v>122.79900000000001</v>
      </c>
      <c r="M65" s="294">
        <f t="shared" ca="1" si="1"/>
        <v>122.8</v>
      </c>
      <c r="N65" s="2331" t="s">
        <v>1379</v>
      </c>
      <c r="Z65" s="1623"/>
      <c r="AI65" s="1561"/>
    </row>
    <row r="66" spans="1:35" ht="14.25" customHeight="1">
      <c r="A66" s="165" t="s">
        <v>327</v>
      </c>
      <c r="B66" s="166" t="s">
        <v>1382</v>
      </c>
      <c r="C66" s="2353"/>
      <c r="D66" s="166" t="s">
        <v>26</v>
      </c>
      <c r="E66" s="1251" t="s">
        <v>667</v>
      </c>
      <c r="F66" s="1670"/>
      <c r="G66" s="1670"/>
      <c r="H66" s="151"/>
      <c r="I66" s="121"/>
      <c r="J66" s="3366"/>
      <c r="K66" s="1245" t="s">
        <v>1383</v>
      </c>
      <c r="L66" s="1245">
        <f ca="1">M49*0.5%</f>
        <v>613.995</v>
      </c>
      <c r="M66" s="294">
        <f ca="1">IF(L66&gt;0.5,0.5,ROUND(L66,0))</f>
        <v>0.5</v>
      </c>
      <c r="N66" s="2331" t="s">
        <v>1384</v>
      </c>
      <c r="Z66" s="1623"/>
      <c r="AI66" s="1561"/>
    </row>
    <row r="67" spans="1:35" ht="14.25" customHeight="1">
      <c r="A67" s="165" t="s">
        <v>328</v>
      </c>
      <c r="B67" s="166" t="s">
        <v>1385</v>
      </c>
      <c r="C67" s="2354">
        <f ca="1">C63-C66</f>
        <v>116951</v>
      </c>
      <c r="D67" s="162" t="s">
        <v>26</v>
      </c>
      <c r="E67" s="164"/>
      <c r="F67" s="1670"/>
      <c r="G67" s="1670"/>
      <c r="H67" s="151"/>
      <c r="I67" s="121"/>
      <c r="J67" s="3366"/>
      <c r="K67" s="1245" t="s">
        <v>1386</v>
      </c>
      <c r="L67" s="1245">
        <f ca="1">IF(M49&gt;=10000,(8.25+(M49-10000)*0.01%),IF(AND(M49&gt;=8000,M49&lt;10000),(7.85+(M49-8000)*0.02%),IF(AND(M49&gt;=5000,M49&lt;8000),(6.65+(M49-5000)*0.04%),IF(AND(M49&gt;=2000,M49&lt;5000),(4.25+(PM49-2000)*0.08%),IF(AND(M49&gt;=1000,M49&lt;2000),(2.75+(M49-1000)*0.15%),IF(AND(M49&gt;=100,M49&lt;1000),(0.5+(M49-100)*0.25%),IF(AND(M49&gt;0,M49&lt;100),M49*0.5%)))))))</f>
        <v>19.529900000000001</v>
      </c>
      <c r="M67" s="294">
        <f ca="1">ROUND(L67*0.9,1)</f>
        <v>17.600000000000001</v>
      </c>
      <c r="N67" s="2330"/>
      <c r="Z67" s="1623"/>
      <c r="AI67" s="1561"/>
    </row>
    <row r="68" spans="1:35" ht="14.25" customHeight="1" thickBot="1">
      <c r="A68" s="168" t="s">
        <v>329</v>
      </c>
      <c r="B68" s="169" t="s">
        <v>1387</v>
      </c>
      <c r="C68" s="2355">
        <f ca="1">IF(C67&lt;=0,0,ROUND(C67*D68,0))</f>
        <v>6549</v>
      </c>
      <c r="D68" s="2356">
        <f>'数据-取费表'!B41</f>
        <v>5.6000000000000001E-2</v>
      </c>
      <c r="E68" s="170"/>
      <c r="F68" s="1670"/>
      <c r="G68" s="1670"/>
      <c r="H68" s="151"/>
      <c r="I68" s="121"/>
      <c r="J68" s="3366"/>
      <c r="K68" s="1245" t="s">
        <v>1388</v>
      </c>
      <c r="L68" s="1245">
        <f ca="1">IF(M49&gt;10000,M49*0.5%,IF(AND(M49&gt;5000,M49&lt;=10000),M49*1%,IF(AND(M49&gt;1000,M49&lt;=5000),M49*2%,IF(AND(M49&gt;200,M49&lt;=1000),M49*3%,M49*5%))))</f>
        <v>613.995</v>
      </c>
      <c r="M68" s="294">
        <f ca="1">ROUND(L68,1)</f>
        <v>614</v>
      </c>
      <c r="N68" s="2330"/>
      <c r="Z68" s="1623"/>
      <c r="AI68" s="1561"/>
    </row>
    <row r="69" spans="1:35" ht="16.5" customHeight="1">
      <c r="A69" s="1672"/>
      <c r="B69" s="1673"/>
      <c r="C69" s="1674"/>
      <c r="D69" s="1675"/>
      <c r="E69" s="1676"/>
      <c r="F69" s="1466"/>
      <c r="G69" s="1466"/>
      <c r="H69" s="1467"/>
      <c r="I69" s="646"/>
      <c r="J69" s="3366"/>
      <c r="K69" s="1245" t="s">
        <v>1389</v>
      </c>
      <c r="L69" s="1245"/>
      <c r="M69" s="294">
        <f ca="1">ROUND(SUM(M63:M68),0)</f>
        <v>1983</v>
      </c>
      <c r="N69" s="2332">
        <f ca="1">M69/M49</f>
        <v>1.6148339970195196E-2</v>
      </c>
      <c r="Z69" s="1623"/>
      <c r="AI69" s="1561"/>
    </row>
    <row r="70" spans="1:35" s="642" customFormat="1" ht="15" thickBot="1">
      <c r="A70" s="3328" t="s">
        <v>1390</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7" t="s">
        <v>1371</v>
      </c>
      <c r="B71" s="3308"/>
      <c r="C71" s="1865"/>
      <c r="D71" s="1865" t="s">
        <v>1372</v>
      </c>
      <c r="E71" s="171" t="s">
        <v>1373</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1391</v>
      </c>
      <c r="C72" s="2354">
        <f ca="1">ROUND(D45/(1+'数据-取费表'!C42),0)</f>
        <v>116951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1392</v>
      </c>
      <c r="C73" s="2354">
        <f ca="1">C74+C78</f>
        <v>702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1393</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1394</v>
      </c>
      <c r="C75" s="2357"/>
      <c r="D75" s="162" t="s">
        <v>26</v>
      </c>
      <c r="E75" s="176" t="s">
        <v>1395</v>
      </c>
      <c r="F75" s="2358"/>
      <c r="G75" s="176" t="s">
        <v>1396</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1397</v>
      </c>
      <c r="C76" s="162">
        <f>IF(F75="购房发票",ROUND(C75*H75*D76,0),0)</f>
        <v>0</v>
      </c>
      <c r="D76" s="2360">
        <v>0.05</v>
      </c>
      <c r="E76" s="3302" t="s">
        <v>1398</v>
      </c>
      <c r="F76" s="3276"/>
      <c r="G76" s="3276"/>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1399</v>
      </c>
      <c r="C77" s="162">
        <f>ROUND(IF(G77="个人住宅",0,IF(G77="2016年5月1日前购买",C75*D77,C75*D77/(1+'数据-取费表'!C42))),0)</f>
        <v>0</v>
      </c>
      <c r="D77" s="2361">
        <f>'数据-取费表'!B48+'数据-取费表'!B49</f>
        <v>3.0499999999999999E-2</v>
      </c>
      <c r="E77" s="12" t="s">
        <v>1400</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1401</v>
      </c>
      <c r="C78" s="2362">
        <f ca="1">ROUND(D45*D78/(1+'数据-取费表'!C42),0)</f>
        <v>702</v>
      </c>
      <c r="D78" s="2363">
        <f>'数据-取费表'!B43</f>
        <v>6.000000000000001E-3</v>
      </c>
      <c r="E78" s="3286" t="s">
        <v>1402</v>
      </c>
      <c r="F78" s="3287"/>
      <c r="G78" s="3287"/>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1403</v>
      </c>
      <c r="C79" s="2354">
        <f ca="1">C72-C73</f>
        <v>116249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1404</v>
      </c>
      <c r="C80" s="2364">
        <f ca="1">IF(C79&lt;=0,0,C79/C73)</f>
        <v>165.59686609686611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1405</v>
      </c>
      <c r="C81" s="2365">
        <f ca="1">ROUND(IF(C79&lt;=0,0,IF(C80&gt;=200%,C79*60%-C73*35%,IF(C80&gt;=100%,C79*50%-C73*15%,IF(C80&gt;=50%,C79*40%-C73*5%,IF(C80&lt;50%,C79*30%,0))))),0)</f>
        <v>69504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8" t="s">
        <v>1406</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7" t="s">
        <v>1371</v>
      </c>
      <c r="B84" s="3308"/>
      <c r="C84" s="1865"/>
      <c r="D84" s="1865" t="s">
        <v>1372</v>
      </c>
      <c r="E84" s="171" t="s">
        <v>1373</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1391</v>
      </c>
      <c r="C85" s="2354">
        <f ca="1">ROUND(D45/(1+'数据-取费表'!C42),0)</f>
        <v>116951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1392</v>
      </c>
      <c r="C86" s="2354">
        <f ca="1">IF(H88="仅含出让金",C87+C90+C91+C92+C93+C94,C87+C91+C92+C93+C94)</f>
        <v>702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1407</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1408</v>
      </c>
      <c r="C88" s="2368"/>
      <c r="D88" s="2363"/>
      <c r="E88" s="185" t="s">
        <v>1409</v>
      </c>
      <c r="F88" s="2148"/>
      <c r="G88" s="186" t="s">
        <v>1410</v>
      </c>
      <c r="H88" s="1684"/>
      <c r="I88" s="1681"/>
      <c r="J88" s="2308" t="s">
        <v>2275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1399</v>
      </c>
      <c r="C89" s="2362">
        <f>ROUND(C88*D89,0)</f>
        <v>0</v>
      </c>
      <c r="D89" s="2363">
        <f>'数据-取费表'!B48+'数据-取费表'!B49</f>
        <v>3.0499999999999999E-2</v>
      </c>
      <c r="E89" s="185" t="s">
        <v>1411</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1412</v>
      </c>
      <c r="C90" s="2368"/>
      <c r="D90" s="2363"/>
      <c r="E90" s="185" t="str">
        <f>IF(H88="-","土地取得成本中已包含该笔费用"," ")</f>
        <v xml:space="preserve"> </v>
      </c>
      <c r="F90" s="2148"/>
      <c r="G90" s="3368" t="s">
        <v>2125</v>
      </c>
      <c r="H90" s="3369"/>
      <c r="I90" s="1681"/>
      <c r="J90" s="2308" t="s">
        <v>2276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1413</v>
      </c>
      <c r="B91" s="162" t="s">
        <v>1414</v>
      </c>
      <c r="C91" s="2362">
        <f>IF(H91="——",成本法!C33,I91)</f>
        <v>0</v>
      </c>
      <c r="D91" s="2363"/>
      <c r="E91" s="3286" t="s">
        <v>1415</v>
      </c>
      <c r="F91" s="3287"/>
      <c r="G91" s="328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1416</v>
      </c>
      <c r="B92" s="162" t="s">
        <v>1417</v>
      </c>
      <c r="C92" s="2362">
        <f>ROUND((C87+C90+C91)*D92,0)</f>
        <v>0</v>
      </c>
      <c r="D92" s="2369"/>
      <c r="E92" s="3286" t="s">
        <v>1418</v>
      </c>
      <c r="F92" s="3287"/>
      <c r="G92" s="3287"/>
      <c r="H92" s="3296"/>
      <c r="I92" s="1681"/>
      <c r="J92" s="2309" t="s">
        <v>2277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1419</v>
      </c>
      <c r="B93" s="162" t="s">
        <v>1401</v>
      </c>
      <c r="C93" s="2362">
        <f ca="1">ROUND(D45*D93/(1+'数据-取费表'!C42),0)</f>
        <v>702</v>
      </c>
      <c r="D93" s="2363">
        <f>'数据-取费表'!B43</f>
        <v>6.000000000000001E-3</v>
      </c>
      <c r="E93" s="3286" t="s">
        <v>1402</v>
      </c>
      <c r="F93" s="3287"/>
      <c r="G93" s="3287"/>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1420</v>
      </c>
      <c r="B94" s="162" t="s">
        <v>1421</v>
      </c>
      <c r="C94" s="2368">
        <f>ROUND((C87+C90+C91)*D94,0)</f>
        <v>0</v>
      </c>
      <c r="D94" s="2363">
        <v>0.2</v>
      </c>
      <c r="E94" s="3297" t="s">
        <v>1422</v>
      </c>
      <c r="F94" s="3298"/>
      <c r="G94" s="3298"/>
      <c r="H94" s="329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1403</v>
      </c>
      <c r="C95" s="2354">
        <f ca="1">ROUND(C85-C86,0)</f>
        <v>116249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1404</v>
      </c>
      <c r="C96" s="2364">
        <f ca="1">IF(C95&lt;=0,0,C95/C86)</f>
        <v>165.59686609686611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1405</v>
      </c>
      <c r="C97" s="2365">
        <f ca="1">ROUND(IF(C95&lt;=0,0,IF(C96&gt;=200%,C95*60%-C86*35%,IF(C96&gt;=100%,C95*50%-C86*15%,IF(C96&gt;=50%,C95*40%-C86*5%,IF(C96&lt;50%,C95*30%,0))))),0)</f>
        <v>69504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1423</v>
      </c>
      <c r="B99" s="646"/>
      <c r="C99" s="646"/>
      <c r="D99" s="646"/>
      <c r="E99" s="1466"/>
      <c r="F99" s="1466"/>
      <c r="G99" s="1466"/>
      <c r="H99" s="1467"/>
      <c r="I99" s="121"/>
    </row>
    <row r="100" spans="1:35" ht="18.75" customHeight="1">
      <c r="A100" s="3270" t="s">
        <v>1424</v>
      </c>
      <c r="B100" s="3271"/>
      <c r="C100" s="3271"/>
      <c r="D100" s="3288"/>
      <c r="E100" s="3271" t="s">
        <v>1425</v>
      </c>
      <c r="F100" s="3271"/>
      <c r="G100" s="3271"/>
      <c r="H100" s="3288"/>
      <c r="I100" s="121"/>
    </row>
    <row r="101" spans="1:35" ht="18.75" customHeight="1">
      <c r="A101" s="3349" t="s">
        <v>1426</v>
      </c>
      <c r="B101" s="3350"/>
      <c r="C101" s="2371" t="str">
        <f>C4</f>
        <v>成本法</v>
      </c>
      <c r="D101" s="2372" t="str">
        <f>D4</f>
        <v>收益法</v>
      </c>
      <c r="E101" s="3363" t="s">
        <v>1427</v>
      </c>
      <c r="F101" s="3320"/>
      <c r="G101" s="1687" t="s">
        <v>1428</v>
      </c>
      <c r="H101" s="2381">
        <f ca="1">H118</f>
        <v>122799</v>
      </c>
      <c r="I101" s="121"/>
    </row>
    <row r="102" spans="1:35" ht="18.75" customHeight="1">
      <c r="A102" s="3322" t="s">
        <v>1429</v>
      </c>
      <c r="B102" s="2370" t="s">
        <v>1428</v>
      </c>
      <c r="C102" s="2371">
        <f ca="1">IF(D32="楼面单价",ROUND(C19,0),C19)</f>
        <v>158521</v>
      </c>
      <c r="D102" s="2372">
        <f ca="1">IF(D32="楼面单价",ROUND(D19,0),D19)</f>
        <v>69216</v>
      </c>
      <c r="E102" s="3363"/>
      <c r="F102" s="3320"/>
      <c r="G102" s="1687" t="s">
        <v>1430</v>
      </c>
      <c r="H102" s="2341">
        <f ca="1">I118</f>
        <v>33746</v>
      </c>
      <c r="I102" s="121"/>
    </row>
    <row r="103" spans="1:35" ht="42.75" customHeight="1">
      <c r="A103" s="3322"/>
      <c r="B103" s="2370" t="s">
        <v>1430</v>
      </c>
      <c r="C103" s="2373">
        <f ca="1">C20</f>
        <v>43563</v>
      </c>
      <c r="D103" s="2374">
        <f ca="1">D20</f>
        <v>19021</v>
      </c>
      <c r="E103" s="3357" t="s">
        <v>1431</v>
      </c>
      <c r="F103" s="3358"/>
      <c r="G103" s="1688" t="s">
        <v>1432</v>
      </c>
      <c r="H103" s="2381">
        <f>IF(D36="正常操作",H104+H105+H106,H105+H106)</f>
        <v>0</v>
      </c>
      <c r="I103" s="121"/>
    </row>
    <row r="104" spans="1:35" ht="18.75" customHeight="1">
      <c r="A104" s="3322" t="s">
        <v>1433</v>
      </c>
      <c r="B104" s="2375" t="s">
        <v>1428</v>
      </c>
      <c r="C104" s="2376">
        <f ca="1">H118</f>
        <v>122799</v>
      </c>
      <c r="D104" s="2377"/>
      <c r="E104" s="1555" t="s">
        <v>1434</v>
      </c>
      <c r="F104" s="1548"/>
      <c r="G104" s="1688" t="s">
        <v>1432</v>
      </c>
      <c r="H104" s="2382">
        <f>IF(D36="同一抵押权人同一抵押物续贷",C36&amp;"（续贷，未扣减，详见特别提示）",C36)</f>
        <v>0</v>
      </c>
      <c r="I104" s="121"/>
    </row>
    <row r="105" spans="1:35" ht="18.75" customHeight="1" thickBot="1">
      <c r="A105" s="3323"/>
      <c r="B105" s="2378" t="s">
        <v>1430</v>
      </c>
      <c r="C105" s="2379">
        <f ca="1">I118</f>
        <v>33746</v>
      </c>
      <c r="D105" s="2380"/>
      <c r="E105" s="1555" t="s">
        <v>1435</v>
      </c>
      <c r="F105" s="1548"/>
      <c r="G105" s="1688" t="s">
        <v>1432</v>
      </c>
      <c r="H105" s="2383">
        <f>C37</f>
        <v>0</v>
      </c>
      <c r="I105" s="121"/>
    </row>
    <row r="106" spans="1:35" ht="18.75" customHeight="1">
      <c r="A106" s="646" t="s">
        <v>1436</v>
      </c>
      <c r="B106" s="646"/>
      <c r="C106" s="646"/>
      <c r="D106" s="646"/>
      <c r="E106" s="1689" t="s">
        <v>1437</v>
      </c>
      <c r="F106" s="1548"/>
      <c r="G106" s="1688" t="s">
        <v>1432</v>
      </c>
      <c r="H106" s="2383">
        <f>C38</f>
        <v>0</v>
      </c>
      <c r="I106" s="121"/>
    </row>
    <row r="107" spans="1:35" ht="18.75" customHeight="1">
      <c r="A107" s="121"/>
      <c r="B107" s="121"/>
      <c r="C107" s="121"/>
      <c r="D107" s="121"/>
      <c r="E107" s="3319" t="str">
        <f>IF(项目基本情况!E8="已注销","——","3.房地产抵押价值")</f>
        <v>3.房地产抵押价值</v>
      </c>
      <c r="F107" s="3320"/>
      <c r="G107" s="1687" t="s">
        <v>1428</v>
      </c>
      <c r="H107" s="2381">
        <f ca="1">IF(E107="——","——",H101-H103)</f>
        <v>122799</v>
      </c>
      <c r="I107" s="121"/>
    </row>
    <row r="108" spans="1:35" ht="18.75" customHeight="1">
      <c r="A108" s="121"/>
      <c r="B108" s="121"/>
      <c r="C108" s="121"/>
      <c r="D108" s="121"/>
      <c r="E108" s="3319"/>
      <c r="F108" s="3320"/>
      <c r="G108" s="1687" t="s">
        <v>1430</v>
      </c>
      <c r="H108" s="2341">
        <f ca="1">IF(H107=H101,H102,ROUND(H107*10000/'数据-汇总表'!E3,0))</f>
        <v>33746</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320"/>
      <c r="G109" s="1687" t="s">
        <v>1428</v>
      </c>
      <c r="H109" s="2384" t="str">
        <f>IF(E109="——","——",H101-H105-H106)</f>
        <v>——</v>
      </c>
      <c r="I109" s="121"/>
    </row>
    <row r="110" spans="1:35" ht="18.75" customHeight="1">
      <c r="A110" s="121"/>
      <c r="B110" s="121"/>
      <c r="C110" s="121"/>
      <c r="D110" s="121"/>
      <c r="E110" s="3319"/>
      <c r="F110" s="3320"/>
      <c r="G110" s="1687" t="s">
        <v>1430</v>
      </c>
      <c r="H110" s="2341" t="str">
        <f>IF(H109="——","——",ROUND(H109*10000/'数据-汇总表'!E3,0))</f>
        <v>——</v>
      </c>
      <c r="I110" s="121"/>
    </row>
    <row r="111" spans="1:35" ht="18.75" customHeight="1">
      <c r="A111" s="121"/>
      <c r="B111" s="121"/>
      <c r="C111" s="121"/>
      <c r="D111" s="121"/>
      <c r="E111" s="3351" t="str">
        <f>IF(项目基本情况!E9="抵押净值",IF(OR(项目基本情况!E8="已注销",项目基本情况!E8="房地产抵押价值"),"4.抵押净值","5.抵押净值"),"——")</f>
        <v>——</v>
      </c>
      <c r="F111" s="3321"/>
      <c r="G111" s="1687" t="s">
        <v>1428</v>
      </c>
      <c r="H111" s="2381" t="str">
        <f>IF(E111="——","——",N59)</f>
        <v>——</v>
      </c>
      <c r="I111" s="121"/>
    </row>
    <row r="112" spans="1:35" ht="18.75" customHeight="1" thickBot="1">
      <c r="A112" s="121"/>
      <c r="B112" s="121"/>
      <c r="C112" s="121"/>
      <c r="D112" s="121"/>
      <c r="E112" s="3352"/>
      <c r="F112" s="3353"/>
      <c r="G112" s="1690" t="s">
        <v>1430</v>
      </c>
      <c r="H112" s="2385" t="str">
        <f>IF(E111="——","——",N61)</f>
        <v>——</v>
      </c>
      <c r="I112" s="121"/>
    </row>
    <row r="113" spans="1:27" ht="18.75" customHeight="1">
      <c r="A113" s="121"/>
      <c r="B113" s="121"/>
      <c r="C113" s="121"/>
      <c r="D113" s="121"/>
      <c r="E113" s="3324" t="s">
        <v>1436</v>
      </c>
      <c r="F113" s="3324"/>
      <c r="G113" s="3324"/>
      <c r="H113" s="3324"/>
      <c r="I113" s="121"/>
    </row>
    <row r="114" spans="1:27" ht="3.75" customHeight="1">
      <c r="A114" s="646"/>
      <c r="B114" s="646"/>
      <c r="C114" s="646"/>
      <c r="D114" s="646"/>
      <c r="E114" s="1671"/>
      <c r="F114" s="1671"/>
      <c r="G114" s="1671"/>
      <c r="H114" s="1671"/>
      <c r="I114" s="646"/>
    </row>
    <row r="115" spans="1:27" ht="18.75" customHeight="1">
      <c r="A115" s="3334" t="s">
        <v>1438</v>
      </c>
      <c r="B115" s="3335"/>
      <c r="C115" s="3335"/>
      <c r="D115" s="3335"/>
      <c r="E115" s="3335"/>
      <c r="F115" s="3335"/>
      <c r="G115" s="3335"/>
      <c r="H115" s="3335"/>
      <c r="I115" s="3336"/>
    </row>
    <row r="116" spans="1:27" ht="27" customHeight="1">
      <c r="A116" s="3290" t="s">
        <v>1439</v>
      </c>
      <c r="B116" s="3325" t="s">
        <v>1440</v>
      </c>
      <c r="C116" s="3325" t="s">
        <v>1441</v>
      </c>
      <c r="D116" s="3338" t="s">
        <v>1442</v>
      </c>
      <c r="E116" s="3339"/>
      <c r="F116" s="3333" t="s">
        <v>1443</v>
      </c>
      <c r="G116" s="3333"/>
      <c r="H116" s="3290" t="s">
        <v>1444</v>
      </c>
      <c r="I116" s="3290"/>
    </row>
    <row r="117" spans="1:27" ht="18.75" customHeight="1">
      <c r="A117" s="3290"/>
      <c r="B117" s="3326"/>
      <c r="C117" s="3326"/>
      <c r="D117" s="2150" t="s">
        <v>1445</v>
      </c>
      <c r="E117" s="2150" t="s">
        <v>1446</v>
      </c>
      <c r="F117" s="2150" t="s">
        <v>1445</v>
      </c>
      <c r="G117" s="2150" t="s">
        <v>1447</v>
      </c>
      <c r="H117" s="2150" t="s">
        <v>1445</v>
      </c>
      <c r="I117" s="2150" t="s">
        <v>1447</v>
      </c>
    </row>
    <row r="118" spans="1:27" ht="24.75" customHeight="1">
      <c r="A118" s="2386" t="str">
        <f>项目基本情况!S2</f>
        <v>北京市房地产</v>
      </c>
      <c r="B118" s="2150">
        <f>M18</f>
        <v>36389.269999999997</v>
      </c>
      <c r="C118" s="2150">
        <f>M19</f>
        <v>0</v>
      </c>
      <c r="D118" s="2150">
        <f ca="1">ROUND(IF(D32="总价",C34,E118*B118/10000),0)</f>
        <v>98853</v>
      </c>
      <c r="E118" s="2150">
        <f ca="1">ROUND(IF(C33="自定义",IF(D32="楼面单价",C34,D118*10000/B118),I118-G118),0)</f>
        <v>27165</v>
      </c>
      <c r="F118" s="2150">
        <f ca="1">ROUND(IF(D32="总价",C35,G118*B118/10000),0)</f>
        <v>23946</v>
      </c>
      <c r="G118" s="2150">
        <f ca="1">ROUND(IF(D32="楼面单价",C35,F118*10000/B118),0)</f>
        <v>6581</v>
      </c>
      <c r="H118" s="2150">
        <f ca="1">ROUND(IF(D32="总价",C32,I118*B118/10000),0)</f>
        <v>122799</v>
      </c>
      <c r="I118" s="2150">
        <f ca="1">ROUND(IF(D32="楼面单价",C32,H118*10000/B118),0)</f>
        <v>33746</v>
      </c>
    </row>
    <row r="119" spans="1:27" ht="18.75" customHeight="1">
      <c r="A119" s="3290" t="s">
        <v>1448</v>
      </c>
      <c r="B119" s="3290"/>
      <c r="C119" s="3290"/>
      <c r="D119" s="3330" t="str">
        <f ca="1">NUMBERSTRING(INT(D118*10000),2)&amp;"元整"</f>
        <v>玖亿捌仟捌佰伍拾叁万元整</v>
      </c>
      <c r="E119" s="3332"/>
      <c r="F119" s="3330" t="str">
        <f ca="1">NUMBERSTRING(INT(F118*10000),2)&amp;"元整"</f>
        <v>贰亿叁仟玖佰肆拾陆万元整</v>
      </c>
      <c r="G119" s="3332"/>
      <c r="H119" s="3330" t="str">
        <f ca="1">NUMBERSTRING(INT(H118*10000),2)&amp;"元整"</f>
        <v>壹拾贰亿贰仟柒佰玖拾玖万元整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0" t="s">
        <v>1448</v>
      </c>
      <c r="B121" s="3331"/>
      <c r="C121" s="3332"/>
      <c r="D121" s="3330" t="str">
        <f>IF(D120=0,"零元整",NUMBERSTRING(INT(D120*10000),2)&amp;"元整")</f>
        <v>零元整</v>
      </c>
      <c r="E121" s="3331"/>
      <c r="F121" s="3331"/>
      <c r="G121" s="3331"/>
      <c r="H121" s="3331"/>
      <c r="I121" s="3332"/>
      <c r="AA121" s="684"/>
    </row>
    <row r="122" spans="1:27" ht="18.75" customHeight="1">
      <c r="A122" s="3321" t="str">
        <f>IF(项目基本情况!B9="房地产市场价值","",MID(E107,3,LEN(E107)-2))</f>
        <v>房地产抵押价值</v>
      </c>
      <c r="B122" s="3321"/>
      <c r="C122" s="3321"/>
      <c r="D122" s="3354">
        <f ca="1">H107</f>
        <v>122799</v>
      </c>
      <c r="E122" s="3355"/>
      <c r="F122" s="3355"/>
      <c r="G122" s="3355"/>
      <c r="H122" s="3355"/>
      <c r="I122" s="3356"/>
      <c r="AA122" s="684"/>
    </row>
    <row r="123" spans="1:27" ht="18.75" customHeight="1">
      <c r="A123" s="3290" t="s">
        <v>1448</v>
      </c>
      <c r="B123" s="3290"/>
      <c r="C123" s="3290"/>
      <c r="D123" s="3330" t="str">
        <f ca="1">NUMBERSTRING(INT(D122*10000),2)&amp;"元整"</f>
        <v>壹拾贰亿贰仟柒佰玖拾玖万元整</v>
      </c>
      <c r="E123" s="3331"/>
      <c r="F123" s="3331"/>
      <c r="G123" s="3331"/>
      <c r="H123" s="3331"/>
      <c r="I123" s="3332"/>
      <c r="AA123" s="684"/>
    </row>
    <row r="124" spans="1:27" ht="18.75" customHeight="1">
      <c r="A124" s="3321" t="str">
        <f>IF(项目基本情况!B9="房地产市场价值","",MID(E109,3,LEN(E109)-2))</f>
        <v/>
      </c>
      <c r="B124" s="3321"/>
      <c r="C124" s="3321"/>
      <c r="D124" s="3354" t="str">
        <f>H109</f>
        <v>——</v>
      </c>
      <c r="E124" s="3355"/>
      <c r="F124" s="3355"/>
      <c r="G124" s="3355"/>
      <c r="H124" s="3355"/>
      <c r="I124" s="3356"/>
      <c r="AA124" s="684"/>
    </row>
    <row r="125" spans="1:27" ht="18.75" customHeight="1">
      <c r="A125" s="3290" t="s">
        <v>1448</v>
      </c>
      <c r="B125" s="3290"/>
      <c r="C125" s="3290"/>
      <c r="D125" s="3330" t="e">
        <f>NUMBERSTRING(INT(D124*10000),2)&amp;"元整"</f>
        <v>#VALUE!</v>
      </c>
      <c r="E125" s="3331"/>
      <c r="F125" s="3331"/>
      <c r="G125" s="3331"/>
      <c r="H125" s="3331"/>
      <c r="I125" s="3332"/>
      <c r="AA125" s="684"/>
    </row>
    <row r="126" spans="1:27" ht="18.75" customHeight="1">
      <c r="A126" s="3321" t="str">
        <f>IF(项目基本情况!B9="房地产市场价值","",MID(E111,3,LEN(E111)-2))</f>
        <v/>
      </c>
      <c r="B126" s="3321"/>
      <c r="C126" s="3321"/>
      <c r="D126" s="3354" t="str">
        <f>H111</f>
        <v>——</v>
      </c>
      <c r="E126" s="3355"/>
      <c r="F126" s="3355"/>
      <c r="G126" s="3355"/>
      <c r="H126" s="3355"/>
      <c r="I126" s="3356"/>
      <c r="AA126" s="684"/>
    </row>
    <row r="127" spans="1:27" ht="18.75" customHeight="1">
      <c r="A127" s="3290" t="s">
        <v>1448</v>
      </c>
      <c r="B127" s="3290"/>
      <c r="C127" s="3290"/>
      <c r="D127" s="3330" t="e">
        <f>NUMBERSTRING(INT(D126*10000),2)&amp;"元整"</f>
        <v>#VALUE!</v>
      </c>
      <c r="E127" s="3331"/>
      <c r="F127" s="3331"/>
      <c r="G127" s="3331"/>
      <c r="H127" s="3331"/>
      <c r="I127" s="3332"/>
      <c r="AA127" s="684"/>
    </row>
    <row r="128" spans="1:27" ht="21.75" customHeight="1">
      <c r="A128" s="3337" t="s">
        <v>1449</v>
      </c>
      <c r="B128" s="3337"/>
      <c r="C128" s="3337"/>
      <c r="D128" s="3337"/>
      <c r="E128" s="3337"/>
      <c r="F128" s="3337"/>
      <c r="G128" s="3337"/>
      <c r="H128" s="3337"/>
      <c r="I128" s="3337"/>
      <c r="AA128" s="684"/>
    </row>
    <row r="129" spans="1:35" ht="21.75" customHeight="1">
      <c r="A129" s="1691" t="s">
        <v>1450</v>
      </c>
      <c r="B129" s="1692"/>
      <c r="C129" s="1693" t="s">
        <v>1451</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1452</v>
      </c>
      <c r="G135" s="1706"/>
      <c r="H135" s="1706"/>
      <c r="I135" s="1707" t="s">
        <v>1453</v>
      </c>
    </row>
    <row r="136" spans="1:35" ht="21.75" customHeight="1">
      <c r="A136" s="684"/>
      <c r="B136" s="1708" t="s">
        <v>1454</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1455</v>
      </c>
    </row>
    <row r="139" spans="1:35" ht="21.75" customHeight="1">
      <c r="A139" s="684"/>
      <c r="B139" s="1708" t="s">
        <v>1456</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1455</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8" t="str">
        <f>项目基本情况!B1</f>
        <v>北京市房地产抵押价值预评估</v>
      </c>
      <c r="C37" s="3188"/>
      <c r="D37" s="3188"/>
      <c r="E37" s="3188"/>
      <c r="F37" s="3188"/>
      <c r="G37" s="3188"/>
      <c r="H37" s="3188"/>
      <c r="I37" s="318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F25" sqref="F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1457</v>
      </c>
      <c r="B1" s="1374"/>
      <c r="C1" s="190"/>
      <c r="D1" s="190"/>
      <c r="E1" s="190"/>
      <c r="F1" s="190"/>
      <c r="G1" s="1062">
        <f>MATCH(B1,'数据-取费表'!A6:A16,0)+5</f>
        <v>7</v>
      </c>
    </row>
    <row r="2" spans="1:9" s="192" customFormat="1" ht="18" customHeight="1">
      <c r="A2" s="193" t="s">
        <v>1458</v>
      </c>
      <c r="B2" s="194">
        <f ca="1">IF(D2="——",C52,C52-E2)</f>
        <v>158521</v>
      </c>
      <c r="C2" s="191" t="s">
        <v>1459</v>
      </c>
      <c r="D2" s="1711" t="s">
        <v>43</v>
      </c>
      <c r="E2" s="1089" t="e">
        <f ca="1">SUMIF(INDIRECT("'"&amp;G2&amp;"'"&amp;"!A:A"),"承租人权益价值",INDIRECT("'"&amp;G2&amp;"'"&amp;"!c:c"))</f>
        <v>#REF!</v>
      </c>
      <c r="F2" s="1712" t="s">
        <v>1459</v>
      </c>
      <c r="G2" s="1713"/>
    </row>
    <row r="3" spans="1:9" s="192" customFormat="1" ht="18" customHeight="1" thickBot="1">
      <c r="A3" s="195" t="s">
        <v>1460</v>
      </c>
      <c r="B3" s="196">
        <f ca="1">ROUND(B2*10000/(IF(B1="",'数据-汇总表'!E3,INDIRECT("'数据-取费表'!k"&amp;$G$1))),0)</f>
        <v>43563</v>
      </c>
      <c r="C3" s="191" t="s">
        <v>1461</v>
      </c>
      <c r="D3" s="191"/>
      <c r="E3" s="191"/>
      <c r="F3" s="191"/>
      <c r="G3" s="191"/>
    </row>
    <row r="4" spans="1:9" s="200" customFormat="1" ht="15.75">
      <c r="A4" s="197" t="s">
        <v>1462</v>
      </c>
      <c r="B4" s="198"/>
      <c r="C4" s="198"/>
      <c r="D4" s="198"/>
      <c r="E4" s="198"/>
      <c r="F4" s="198"/>
      <c r="G4" s="199"/>
    </row>
    <row r="5" spans="1:9" s="206" customFormat="1" ht="13.5" customHeight="1">
      <c r="A5" s="247" t="s">
        <v>1463</v>
      </c>
      <c r="B5" s="202" t="s">
        <v>1464</v>
      </c>
      <c r="C5" s="203">
        <f ca="1">C6+C7+C8</f>
        <v>89317</v>
      </c>
      <c r="D5" s="203" t="s">
        <v>1465</v>
      </c>
      <c r="E5" s="204" t="s">
        <v>1466</v>
      </c>
      <c r="F5" s="204" t="s">
        <v>1467</v>
      </c>
      <c r="G5" s="205"/>
    </row>
    <row r="6" spans="1:9" s="206" customFormat="1" ht="13.5" customHeight="1">
      <c r="A6" s="732" t="s">
        <v>1468</v>
      </c>
      <c r="B6" s="207" t="s">
        <v>1469</v>
      </c>
      <c r="C6" s="208">
        <f>基准地价修正!B2</f>
        <v>85967</v>
      </c>
      <c r="D6" s="209"/>
      <c r="E6" s="210"/>
      <c r="F6" s="210"/>
      <c r="G6" s="211"/>
    </row>
    <row r="7" spans="1:9" s="206" customFormat="1" ht="13.5" customHeight="1">
      <c r="A7" s="732" t="s">
        <v>1470</v>
      </c>
      <c r="B7" s="207" t="s">
        <v>1471</v>
      </c>
      <c r="C7" s="212">
        <f>ROUND(C6*F7,0)</f>
        <v>2622</v>
      </c>
      <c r="D7" s="212"/>
      <c r="E7" s="210"/>
      <c r="F7" s="213">
        <f>IF(项目基本情况!B8="出让",0,'数据-取费表'!B48+'数据-取费表'!B49)</f>
        <v>3.0499999999999999E-2</v>
      </c>
      <c r="G7" s="211"/>
    </row>
    <row r="8" spans="1:9" s="215" customFormat="1">
      <c r="A8" s="732" t="s">
        <v>1472</v>
      </c>
      <c r="B8" s="207" t="s">
        <v>1473</v>
      </c>
      <c r="C8" s="212">
        <f ca="1">IF(G8="已包含在土地购买价格中","0",IF(B1="",'数据-取费表'!B29,IF(G9="全部缴纳",C9+C10,H9)))</f>
        <v>728</v>
      </c>
      <c r="D8" s="214"/>
      <c r="E8" s="212"/>
      <c r="F8" s="213"/>
      <c r="G8" s="1714" t="s">
        <v>3420</v>
      </c>
    </row>
    <row r="9" spans="1:9" s="206" customFormat="1" ht="13.5" customHeight="1">
      <c r="A9" s="733" t="s">
        <v>355</v>
      </c>
      <c r="B9" s="216" t="s">
        <v>1474</v>
      </c>
      <c r="C9" s="217">
        <f ca="1">ROUND(D9*E9/10000,0)</f>
        <v>0</v>
      </c>
      <c r="D9" s="795">
        <f ca="1">IF(B1="",'数据-汇总表'!E5,IF(INDIRECT("'数据-取费表'!c"&amp;$G$1)="住宅",INDIRECT("'数据-取费表'!k"&amp;$G$1),0))</f>
        <v>0</v>
      </c>
      <c r="E9" s="217">
        <f>'数据-取费表'!B27</f>
        <v>160</v>
      </c>
      <c r="F9" s="213"/>
      <c r="G9" s="1715" t="s">
        <v>3421</v>
      </c>
      <c r="H9" s="1070"/>
      <c r="I9" s="1716" t="s">
        <v>1475</v>
      </c>
    </row>
    <row r="10" spans="1:9" s="206" customFormat="1" ht="13.5" customHeight="1">
      <c r="A10" s="733" t="s">
        <v>356</v>
      </c>
      <c r="B10" s="216" t="s">
        <v>1476</v>
      </c>
      <c r="C10" s="217">
        <f ca="1">ROUND(D10*E10/10000,0)</f>
        <v>728</v>
      </c>
      <c r="D10" s="795">
        <f ca="1">IF(B1="",'数据-汇总表'!E6,IF(INDIRECT("'数据-取费表'!c"&amp;$G$1)="住宅",INDIRECT("'数据-取费表'!s"&amp;$G$1),INDIRECT("'数据-取费表'!k"&amp;$G$1)+INDIRECT("'数据-取费表'!s"&amp;$G$1)))</f>
        <v>36389.269999999997</v>
      </c>
      <c r="E10" s="217">
        <f>'数据-取费表'!B28</f>
        <v>200</v>
      </c>
      <c r="F10" s="213"/>
      <c r="G10" s="218"/>
    </row>
    <row r="11" spans="1:9" s="206" customFormat="1" ht="13.5" hidden="1" customHeight="1">
      <c r="A11" s="219" t="s">
        <v>4</v>
      </c>
      <c r="B11" s="207" t="s">
        <v>1477</v>
      </c>
      <c r="C11" s="203"/>
      <c r="D11" s="210"/>
      <c r="E11" s="210"/>
      <c r="F11" s="210"/>
      <c r="G11" s="211"/>
    </row>
    <row r="12" spans="1:9" s="206" customFormat="1" ht="13.5" hidden="1" customHeight="1">
      <c r="A12" s="219" t="s">
        <v>5</v>
      </c>
      <c r="B12" s="207" t="s">
        <v>1478</v>
      </c>
      <c r="C12" s="203">
        <v>0</v>
      </c>
      <c r="D12" s="210"/>
      <c r="E12" s="220"/>
      <c r="F12" s="213">
        <v>3.0499999999999999E-2</v>
      </c>
      <c r="G12" s="211"/>
    </row>
    <row r="13" spans="1:9" s="206" customFormat="1" ht="13.5" hidden="1" customHeight="1">
      <c r="A13" s="219" t="s">
        <v>6</v>
      </c>
      <c r="B13" s="207" t="s">
        <v>1479</v>
      </c>
      <c r="C13" s="203"/>
      <c r="D13" s="210"/>
      <c r="E13" s="210"/>
      <c r="F13" s="210"/>
      <c r="G13" s="211"/>
    </row>
    <row r="14" spans="1:9" s="206" customFormat="1" ht="13.5" hidden="1" customHeight="1">
      <c r="A14" s="219" t="s">
        <v>7</v>
      </c>
      <c r="B14" s="207" t="s">
        <v>1480</v>
      </c>
      <c r="C14" s="203"/>
      <c r="D14" s="210"/>
      <c r="E14" s="210"/>
      <c r="F14" s="210"/>
      <c r="G14" s="211" t="s">
        <v>1481</v>
      </c>
    </row>
    <row r="15" spans="1:9" s="206" customFormat="1" ht="13.5" hidden="1" customHeight="1">
      <c r="A15" s="219" t="s">
        <v>8</v>
      </c>
      <c r="B15" s="207" t="s">
        <v>1482</v>
      </c>
      <c r="C15" s="212"/>
      <c r="D15" s="210"/>
      <c r="E15" s="210"/>
      <c r="F15" s="210"/>
      <c r="G15" s="211" t="s">
        <v>1483</v>
      </c>
    </row>
    <row r="16" spans="1:9" s="206" customFormat="1" ht="13.5" hidden="1" customHeight="1">
      <c r="A16" s="219" t="s">
        <v>9</v>
      </c>
      <c r="B16" s="207" t="s">
        <v>1480</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t="str">
        <f>IF(G19="已包含在土地取得成本中","0",ROUND(D19*E19/10000,0))</f>
        <v>0</v>
      </c>
      <c r="D19" s="204">
        <f ca="1">D9+D10</f>
        <v>36389.269999999997</v>
      </c>
      <c r="E19" s="203">
        <f>'数据-取费表'!B31</f>
        <v>200</v>
      </c>
      <c r="F19" s="223"/>
      <c r="G19" s="1714" t="s">
        <v>3422</v>
      </c>
    </row>
    <row r="20" spans="1:7" s="206" customFormat="1" ht="13.5" customHeight="1">
      <c r="A20" s="247" t="s">
        <v>1489</v>
      </c>
      <c r="B20" s="202" t="s">
        <v>1490</v>
      </c>
      <c r="C20" s="224">
        <f ca="1">ROUND((C5+C19)*F20,0)</f>
        <v>1786</v>
      </c>
      <c r="D20" s="224"/>
      <c r="E20" s="224"/>
      <c r="F20" s="225">
        <f>'数据-取费表'!B37</f>
        <v>0.02</v>
      </c>
      <c r="G20" s="226" t="s">
        <v>1491</v>
      </c>
    </row>
    <row r="21" spans="1:7" s="206" customFormat="1" ht="13.5" customHeight="1">
      <c r="A21" s="247" t="s">
        <v>1492</v>
      </c>
      <c r="B21" s="202" t="s">
        <v>1493</v>
      </c>
      <c r="C21" s="227">
        <f>F21</f>
        <v>0.02</v>
      </c>
      <c r="D21" s="228" t="s">
        <v>1494</v>
      </c>
      <c r="E21" s="224"/>
      <c r="F21" s="225">
        <f>'数据-取费表'!B38</f>
        <v>0.02</v>
      </c>
      <c r="G21" s="226" t="s">
        <v>1495</v>
      </c>
    </row>
    <row r="22" spans="1:7" s="206" customFormat="1" ht="13.5" customHeight="1">
      <c r="A22" s="247" t="s">
        <v>1496</v>
      </c>
      <c r="B22" s="202" t="s">
        <v>1497</v>
      </c>
      <c r="C22" s="1041">
        <f ca="1">ROUND(SUM(C23:C25),0)</f>
        <v>8363</v>
      </c>
      <c r="D22" s="227">
        <f ca="1">C26</f>
        <v>8.9999999999999998E-4</v>
      </c>
      <c r="E22" s="228" t="s">
        <v>1494</v>
      </c>
      <c r="F22" s="229">
        <f ca="1">'数据-取费表'!B40</f>
        <v>0.03</v>
      </c>
      <c r="G22" s="226" t="str">
        <f>IF('数据-取费表'!B22&lt;=1,"单利计息","复利计息")</f>
        <v>复利计息</v>
      </c>
    </row>
    <row r="23" spans="1:7" s="206" customFormat="1" ht="13.5" customHeight="1">
      <c r="A23" s="734" t="s">
        <v>1498</v>
      </c>
      <c r="B23" s="207" t="s">
        <v>1499</v>
      </c>
      <c r="C23" s="1042">
        <f ca="1">ROUND(IF('数据-取费表'!B22&lt;=1,C5*F22*'数据-取费表'!B23,C5*(POWER((1+F22),'数据-取费表'!B23)-1)),0)</f>
        <v>8282</v>
      </c>
      <c r="D23" s="230"/>
      <c r="E23" s="230"/>
      <c r="F23" s="231"/>
      <c r="G23" s="232" t="s">
        <v>1500</v>
      </c>
    </row>
    <row r="24" spans="1:7" s="206" customFormat="1" ht="13.5" customHeight="1">
      <c r="A24" s="734" t="s">
        <v>1501</v>
      </c>
      <c r="B24" s="207" t="s">
        <v>1502</v>
      </c>
      <c r="C24" s="1042">
        <f ca="1">ROUND(IF('数据-取费表'!B22&lt;=1,C19*F22*('数据-取费表'!B19/2+'数据-取费表'!B21),C19*(POWER((1+F22),('数据-取费表'!B19/2+'数据-取费表'!B21))-1)),0)</f>
        <v>0</v>
      </c>
      <c r="D24" s="230"/>
      <c r="E24" s="230"/>
      <c r="F24" s="231"/>
      <c r="G24" s="232" t="s">
        <v>1503</v>
      </c>
    </row>
    <row r="25" spans="1:7" s="206" customFormat="1" ht="24">
      <c r="A25" s="734" t="s">
        <v>1504</v>
      </c>
      <c r="B25" s="207" t="s">
        <v>1505</v>
      </c>
      <c r="C25" s="1042">
        <f ca="1">ROUND(IF('数据-取费表'!B22&lt;=1,C20*F22*'数据-取费表'!B23/2,C20*(POWER((1+F22),'数据-取费表'!B23/2)-1)),0)</f>
        <v>81</v>
      </c>
      <c r="D25" s="230"/>
      <c r="E25" s="233"/>
      <c r="F25" s="231"/>
      <c r="G25" s="234" t="s">
        <v>1506</v>
      </c>
    </row>
    <row r="26" spans="1:7" s="206" customFormat="1">
      <c r="A26" s="734" t="s">
        <v>350</v>
      </c>
      <c r="B26" s="207" t="s">
        <v>1507</v>
      </c>
      <c r="C26" s="230">
        <f ca="1">ROUND(IF('数据-取费表'!B22&lt;=1,F21*F22*'数据-取费表'!B23/2,F21*(POWER((1+F22),'数据-取费表'!B23/2)-1)),4)</f>
        <v>8.9999999999999998E-4</v>
      </c>
      <c r="D26" s="230"/>
      <c r="E26" s="233"/>
      <c r="F26" s="231"/>
      <c r="G26" s="235"/>
    </row>
    <row r="27" spans="1:7" s="206" customFormat="1" ht="24.75">
      <c r="A27" s="247" t="s">
        <v>1508</v>
      </c>
      <c r="B27" s="236" t="s">
        <v>1509</v>
      </c>
      <c r="C27" s="237">
        <f ca="1">C28</f>
        <v>18221</v>
      </c>
      <c r="D27" s="227">
        <f ca="1">C29</f>
        <v>4.0000000000000001E-3</v>
      </c>
      <c r="E27" s="228" t="s">
        <v>1510</v>
      </c>
      <c r="F27" s="238">
        <f ca="1">IF(B1="",'数据-取费表'!Q16,INDIRECT("'数据-取费表'!q"&amp;$G$1))</f>
        <v>0.2</v>
      </c>
      <c r="G27" s="239" t="s">
        <v>1511</v>
      </c>
    </row>
    <row r="28" spans="1:7" s="206" customFormat="1" ht="13.5" customHeight="1">
      <c r="A28" s="734" t="s">
        <v>346</v>
      </c>
      <c r="B28" s="240" t="s">
        <v>1512</v>
      </c>
      <c r="C28" s="241">
        <f ca="1">ROUND((C5+C19+C20)*F27*'数据-取费表'!B21/'数据-取费表'!B20,0)</f>
        <v>18221</v>
      </c>
      <c r="D28" s="227"/>
      <c r="E28" s="228"/>
      <c r="F28" s="238"/>
      <c r="G28" s="239"/>
    </row>
    <row r="29" spans="1:7" s="206" customFormat="1" ht="13.5" customHeight="1">
      <c r="A29" s="734" t="s">
        <v>347</v>
      </c>
      <c r="B29" s="240" t="s">
        <v>1513</v>
      </c>
      <c r="C29" s="230">
        <f ca="1">ROUND(C21*F27*'数据-取费表'!B21/'数据-取费表'!B20,4)</f>
        <v>4.0000000000000001E-3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127671</v>
      </c>
      <c r="D31" s="222"/>
      <c r="E31" s="203"/>
      <c r="F31" s="242"/>
      <c r="G31" s="226" t="s">
        <v>1518</v>
      </c>
    </row>
    <row r="32" spans="1:7" s="200" customFormat="1" ht="15.75">
      <c r="A32" s="244" t="s">
        <v>1519</v>
      </c>
      <c r="B32" s="245"/>
      <c r="C32" s="245"/>
      <c r="D32" s="245"/>
      <c r="E32" s="245"/>
      <c r="F32" s="245"/>
      <c r="G32" s="246"/>
    </row>
    <row r="33" spans="1:7" s="206" customFormat="1" ht="13.5" customHeight="1">
      <c r="A33" s="247" t="s">
        <v>337</v>
      </c>
      <c r="B33" s="202" t="s">
        <v>1520</v>
      </c>
      <c r="C33" s="248">
        <f ca="1">SUM(C34:C38)</f>
        <v>27983</v>
      </c>
      <c r="D33" s="224"/>
      <c r="E33" s="204"/>
      <c r="F33" s="233"/>
      <c r="G33" s="226"/>
    </row>
    <row r="34" spans="1:7" s="250" customFormat="1" ht="13.5" customHeight="1">
      <c r="A34" s="734" t="s">
        <v>346</v>
      </c>
      <c r="B34" s="207" t="s">
        <v>1521</v>
      </c>
      <c r="C34" s="212">
        <f ca="1">IF(B1="",IF(F34=100%,'数据-取费表'!M16,'数据-取费表'!O16),IF(F34=100%,INDIRECT("'数据-取费表'!m"&amp;$G$1)+INDIRECT("'数据-取费表'!t"&amp;$G$1),INDIRECT("'数据-取费表'!o"&amp;$G$1)+INDIRECT("'数据-取费表'!aq"&amp;$G$1)))</f>
        <v>25472</v>
      </c>
      <c r="D34" s="209"/>
      <c r="E34" s="212"/>
      <c r="F34" s="249">
        <f ca="1">IF('数据-取费表'!B24=0,1,IF(B1="",'数据-取费表'!N16,INDIRECT("'数据-取费表'!n"&amp;$G$1)))</f>
        <v>1</v>
      </c>
      <c r="G34" s="211" t="s">
        <v>1522</v>
      </c>
    </row>
    <row r="35" spans="1:7" ht="13.5" customHeight="1">
      <c r="A35" s="734" t="s">
        <v>351</v>
      </c>
      <c r="B35" s="207" t="s">
        <v>1523</v>
      </c>
      <c r="C35" s="212">
        <f ca="1">ROUND(C34*F35,0)</f>
        <v>1274</v>
      </c>
      <c r="D35" s="212"/>
      <c r="E35" s="212"/>
      <c r="F35" s="251">
        <f>'数据-取费表'!B33</f>
        <v>0.05</v>
      </c>
      <c r="G35" s="211" t="s">
        <v>1524</v>
      </c>
    </row>
    <row r="36" spans="1:7" ht="24">
      <c r="A36" s="734" t="s">
        <v>352</v>
      </c>
      <c r="B36" s="207" t="s">
        <v>1525</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1526</v>
      </c>
    </row>
    <row r="37" spans="1:7" s="250" customFormat="1" ht="13.5" customHeight="1">
      <c r="A37" s="734" t="s">
        <v>353</v>
      </c>
      <c r="B37" s="207" t="s">
        <v>1527</v>
      </c>
      <c r="C37" s="241">
        <f ca="1">ROUND(E37*D37*F34/10000,0)</f>
        <v>728</v>
      </c>
      <c r="D37" s="209">
        <f ca="1">D19</f>
        <v>36389.269999999997</v>
      </c>
      <c r="E37" s="241">
        <f>'数据-取费表'!B35</f>
        <v>200</v>
      </c>
      <c r="F37" s="251"/>
      <c r="G37" s="253" t="s">
        <v>1528</v>
      </c>
    </row>
    <row r="38" spans="1:7" ht="13.5" customHeight="1">
      <c r="A38" s="734" t="s">
        <v>354</v>
      </c>
      <c r="B38" s="207" t="s">
        <v>1529</v>
      </c>
      <c r="C38" s="212">
        <f ca="1">ROUND(C34*F38,0)</f>
        <v>509</v>
      </c>
      <c r="D38" s="212"/>
      <c r="E38" s="212"/>
      <c r="F38" s="251">
        <f>'数据-取费表'!B36</f>
        <v>0.02</v>
      </c>
      <c r="G38" s="211" t="s">
        <v>1524</v>
      </c>
    </row>
    <row r="39" spans="1:7" s="206" customFormat="1" ht="13.5" customHeight="1">
      <c r="A39" s="247" t="s">
        <v>1530</v>
      </c>
      <c r="B39" s="202" t="s">
        <v>1531</v>
      </c>
      <c r="C39" s="224">
        <f ca="1">ROUND(C33*F20,0)</f>
        <v>560</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1294</v>
      </c>
      <c r="D41" s="227">
        <f ca="1">C44</f>
        <v>8.9999999999999998E-4</v>
      </c>
      <c r="E41" s="228" t="s">
        <v>1535</v>
      </c>
      <c r="F41" s="229">
        <f ca="1">F22</f>
        <v>0.03</v>
      </c>
      <c r="G41" s="226" t="str">
        <f>IF('数据-取费表'!B22&lt;=1,"单利计息","复利计息")</f>
        <v>复利计息</v>
      </c>
    </row>
    <row r="42" spans="1:7" ht="13.5" customHeight="1">
      <c r="A42" s="734" t="s">
        <v>346</v>
      </c>
      <c r="B42" s="207" t="s">
        <v>1539</v>
      </c>
      <c r="C42" s="230">
        <f ca="1">ROUND(IF('数据-取费表'!B22&lt;=1,C33*F22*'数据-取费表'!B21/2,C33*(POWER((1+F22),'数据-取费表'!B21/2)-1)),0)</f>
        <v>1269</v>
      </c>
      <c r="D42" s="230"/>
      <c r="E42" s="230"/>
      <c r="F42" s="231"/>
      <c r="G42" s="3370" t="s">
        <v>1540</v>
      </c>
    </row>
    <row r="43" spans="1:7" ht="13.5" customHeight="1">
      <c r="A43" s="734" t="s">
        <v>347</v>
      </c>
      <c r="B43" s="207" t="s">
        <v>1541</v>
      </c>
      <c r="C43" s="230">
        <f ca="1">ROUND(IF('数据-取费表'!B22&lt;=1,C39*F22*'数据-取费表'!B21/2,C39*(POWER((1+F22),'数据-取费表'!B21/2)-1)),0)</f>
        <v>25</v>
      </c>
      <c r="D43" s="230"/>
      <c r="E43" s="230"/>
      <c r="F43" s="231"/>
      <c r="G43" s="3371"/>
    </row>
    <row r="44" spans="1:7" ht="13.5" customHeight="1">
      <c r="A44" s="734" t="s">
        <v>348</v>
      </c>
      <c r="B44" s="207" t="s">
        <v>1542</v>
      </c>
      <c r="C44" s="230">
        <f ca="1">ROUND(IF('数据-取费表'!B22&lt;=1,C40*F22*'数据-取费表'!B21/2,C40*(POWER((1+F22),'数据-取费表'!B21/2)-1)),4)</f>
        <v>8.9999999999999998E-4</v>
      </c>
      <c r="D44" s="230"/>
      <c r="E44" s="230"/>
      <c r="F44" s="231"/>
      <c r="G44" s="3372"/>
    </row>
    <row r="45" spans="1:7" s="206" customFormat="1" ht="13.5" customHeight="1">
      <c r="A45" s="247" t="s">
        <v>1543</v>
      </c>
      <c r="B45" s="236" t="s">
        <v>1509</v>
      </c>
      <c r="C45" s="237">
        <f ca="1">C46</f>
        <v>5709</v>
      </c>
      <c r="D45" s="227">
        <f ca="1">C47</f>
        <v>4.0000000000000001E-3</v>
      </c>
      <c r="E45" s="228" t="s">
        <v>1535</v>
      </c>
      <c r="F45" s="238">
        <f ca="1">F27</f>
        <v>0.2</v>
      </c>
      <c r="G45" s="239" t="s">
        <v>1544</v>
      </c>
    </row>
    <row r="46" spans="1:7" s="206" customFormat="1" ht="13.5" customHeight="1">
      <c r="A46" s="734" t="s">
        <v>346</v>
      </c>
      <c r="B46" s="240" t="s">
        <v>1545</v>
      </c>
      <c r="C46" s="241">
        <f ca="1">ROUND((C33+C39)*F27,0)</f>
        <v>5709</v>
      </c>
      <c r="D46" s="255"/>
      <c r="E46" s="228"/>
      <c r="F46" s="238"/>
      <c r="G46" s="239"/>
    </row>
    <row r="47" spans="1:7" s="206" customFormat="1" ht="13.5" customHeight="1">
      <c r="A47" s="734" t="s">
        <v>347</v>
      </c>
      <c r="B47" s="240" t="s">
        <v>1546</v>
      </c>
      <c r="C47" s="230">
        <f ca="1">ROUND(C40*F27,4)</f>
        <v>4.0000000000000001E-3</v>
      </c>
      <c r="D47" s="255"/>
      <c r="E47" s="228"/>
      <c r="F47" s="238"/>
      <c r="G47" s="239"/>
    </row>
    <row r="48" spans="1:7" s="206" customFormat="1" ht="13.5" customHeight="1">
      <c r="A48" s="247" t="s">
        <v>1508</v>
      </c>
      <c r="B48" s="202" t="s">
        <v>1547</v>
      </c>
      <c r="C48" s="227">
        <f>ROUND(F30/(1+'数据-取费表'!C42),4)</f>
        <v>5.33E-2</v>
      </c>
      <c r="D48" s="228" t="s">
        <v>1535</v>
      </c>
      <c r="E48" s="224"/>
      <c r="F48" s="229">
        <f>F30</f>
        <v>5.6000000000000001E-2</v>
      </c>
      <c r="G48" s="226" t="s">
        <v>1548</v>
      </c>
    </row>
    <row r="49" spans="1:7" ht="16.5" customHeight="1">
      <c r="A49" s="247" t="s">
        <v>1514</v>
      </c>
      <c r="B49" s="202" t="s">
        <v>1549</v>
      </c>
      <c r="C49" s="224">
        <f ca="1">ROUND((C33+C39+C41+C45)/(1-C40-D41-D45-C48),0)</f>
        <v>38562</v>
      </c>
      <c r="D49" s="224"/>
      <c r="E49" s="224"/>
      <c r="F49" s="256"/>
      <c r="G49" s="226" t="s">
        <v>1550</v>
      </c>
    </row>
    <row r="50" spans="1:7" s="250" customFormat="1" ht="24">
      <c r="A50" s="247" t="s">
        <v>1551</v>
      </c>
      <c r="B50" s="202" t="s">
        <v>1552</v>
      </c>
      <c r="C50" s="224"/>
      <c r="D50" s="224"/>
      <c r="E50" s="224"/>
      <c r="F50" s="256">
        <f>IF('数据-取费表'!B24=0,'数据-取费表'!N16,1)</f>
        <v>0.8</v>
      </c>
      <c r="G50" s="239" t="s">
        <v>1553</v>
      </c>
    </row>
    <row r="51" spans="1:7" ht="16.5" customHeight="1">
      <c r="A51" s="247" t="s">
        <v>1554</v>
      </c>
      <c r="B51" s="202" t="s">
        <v>1555</v>
      </c>
      <c r="C51" s="224">
        <f ca="1">ROUND(C49*F50,0)</f>
        <v>30850</v>
      </c>
      <c r="D51" s="224"/>
      <c r="E51" s="224"/>
      <c r="F51" s="256"/>
      <c r="G51" s="226" t="s">
        <v>1556</v>
      </c>
    </row>
    <row r="52" spans="1:7" s="200" customFormat="1" ht="16.5" thickBot="1">
      <c r="A52" s="257" t="s">
        <v>1557</v>
      </c>
      <c r="B52" s="258"/>
      <c r="C52" s="259">
        <f ca="1">C31+C51</f>
        <v>158521</v>
      </c>
      <c r="D52" s="258"/>
      <c r="E52" s="258"/>
      <c r="F52" s="258"/>
      <c r="G52" s="260"/>
    </row>
    <row r="55" spans="1:7" ht="15">
      <c r="B55" s="262" t="s">
        <v>1558</v>
      </c>
      <c r="C55" s="263"/>
    </row>
    <row r="56" spans="1:7">
      <c r="B56" s="265" t="s">
        <v>798</v>
      </c>
      <c r="C56" s="267">
        <f ca="1">1-C57</f>
        <v>0.80499999999999994</v>
      </c>
    </row>
    <row r="57" spans="1:7">
      <c r="B57" s="265" t="s">
        <v>799</v>
      </c>
      <c r="C57" s="266">
        <f ca="1">ROUND(C51/C52,3)</f>
        <v>0.19500000000000001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74"/>
      <c r="C1" s="1717" t="s">
        <v>1559</v>
      </c>
      <c r="D1" s="190"/>
      <c r="E1" s="190"/>
      <c r="F1" s="190"/>
      <c r="G1" s="1062">
        <f>MATCH(B1,'数据-取费表'!A6:A16,0)+5</f>
        <v>7</v>
      </c>
      <c r="H1" s="998" t="str">
        <f>IF(ISERROR(FIND("住宅",B1)),"非住宅","住宅")</f>
        <v>非住宅</v>
      </c>
    </row>
    <row r="2" spans="1:8" s="192" customFormat="1" ht="18" customHeight="1">
      <c r="A2" s="193" t="s">
        <v>1458</v>
      </c>
      <c r="B2" s="3123">
        <f ca="1">ROUND(IF(D2="——",C52/10000,C52/10000-E2),4)</f>
        <v>32929.508900000001</v>
      </c>
      <c r="C2" s="191" t="s">
        <v>1459</v>
      </c>
      <c r="D2" s="1711" t="s">
        <v>43</v>
      </c>
      <c r="E2" s="1089" t="e">
        <f ca="1">SUMIF(INDIRECT("'"&amp;G2&amp;"'"&amp;"!A:A"),"承租人权益价值",INDIRECT("'"&amp;G2&amp;"'"&amp;"!c:c"))</f>
        <v>#REF!</v>
      </c>
      <c r="F2" s="1712" t="s">
        <v>1459</v>
      </c>
      <c r="G2" s="1713"/>
    </row>
    <row r="3" spans="1:8" s="192" customFormat="1" ht="18" customHeight="1" thickBot="1">
      <c r="A3" s="195" t="s">
        <v>1460</v>
      </c>
      <c r="B3" s="196">
        <f ca="1">ROUND(B2*10000/(IF(B1="",'数据-汇总表'!E3,INDIRECT("'数据-取费表'!k"&amp;$G$1))),0)</f>
        <v>9049</v>
      </c>
      <c r="C3" s="191" t="s">
        <v>1461</v>
      </c>
      <c r="D3" s="191"/>
      <c r="E3" s="191"/>
      <c r="F3" s="191"/>
      <c r="G3" s="191"/>
    </row>
    <row r="4" spans="1:8" s="200" customFormat="1" ht="15.75">
      <c r="A4" s="197" t="s">
        <v>1462</v>
      </c>
      <c r="B4" s="198"/>
      <c r="C4" s="198"/>
      <c r="D4" s="198"/>
      <c r="E4" s="198"/>
      <c r="F4" s="198"/>
      <c r="G4" s="199"/>
    </row>
    <row r="5" spans="1:8" s="206" customFormat="1" ht="13.5" customHeight="1">
      <c r="A5" s="247" t="s">
        <v>1463</v>
      </c>
      <c r="B5" s="202" t="s">
        <v>1464</v>
      </c>
      <c r="C5" s="203">
        <f ca="1">C6+C7+C8</f>
        <v>7277854</v>
      </c>
      <c r="D5" s="203" t="s">
        <v>1465</v>
      </c>
      <c r="E5" s="204" t="s">
        <v>1466</v>
      </c>
      <c r="F5" s="204" t="s">
        <v>1467</v>
      </c>
      <c r="G5" s="205"/>
    </row>
    <row r="6" spans="1:8" s="206" customFormat="1" ht="13.5" customHeight="1">
      <c r="A6" s="732" t="s">
        <v>1468</v>
      </c>
      <c r="B6" s="207" t="s">
        <v>1469</v>
      </c>
      <c r="C6" s="208"/>
      <c r="D6" s="209"/>
      <c r="E6" s="210"/>
      <c r="F6" s="210"/>
      <c r="G6" s="211"/>
    </row>
    <row r="7" spans="1:8" s="206" customFormat="1" ht="13.5" customHeight="1">
      <c r="A7" s="732" t="s">
        <v>1470</v>
      </c>
      <c r="B7" s="207" t="s">
        <v>1471</v>
      </c>
      <c r="C7" s="212">
        <f>ROUND(C6*F7,0)</f>
        <v>0</v>
      </c>
      <c r="D7" s="212"/>
      <c r="E7" s="210"/>
      <c r="F7" s="213">
        <f>IF(项目基本情况!B8="出让",0,'数据-取费表'!B48+'数据-取费表'!B49)</f>
        <v>3.0499999999999999E-2</v>
      </c>
      <c r="G7" s="211"/>
    </row>
    <row r="8" spans="1:8" s="215" customFormat="1">
      <c r="A8" s="732" t="s">
        <v>1472</v>
      </c>
      <c r="B8" s="207" t="s">
        <v>1473</v>
      </c>
      <c r="C8" s="212">
        <f ca="1">IF(G8="已包含在土地购买价格中",0,C9+C10)</f>
        <v>7277854</v>
      </c>
      <c r="D8" s="214"/>
      <c r="E8" s="212"/>
      <c r="F8" s="213"/>
      <c r="G8" s="1714"/>
    </row>
    <row r="9" spans="1:8" s="206" customFormat="1" ht="13.5" customHeight="1">
      <c r="A9" s="733" t="s">
        <v>355</v>
      </c>
      <c r="B9" s="216" t="s">
        <v>1474</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1476</v>
      </c>
      <c r="C10" s="217">
        <f ca="1">ROUND(D10*E10,0)</f>
        <v>7277854</v>
      </c>
      <c r="D10" s="795">
        <f ca="1">IF(B1="",'数据-汇总表'!E6,IF(INDIRECT("'数据-取费表'!c"&amp;$G$1)="住宅",INDIRECT("'数据-取费表'!s"&amp;$G$1),INDIRECT("'数据-取费表'!k"&amp;$G$1)+INDIRECT("'数据-取费表'!s"&amp;$G$1)))</f>
        <v>36389.269999999997</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1560</v>
      </c>
      <c r="C12" s="203">
        <v>0</v>
      </c>
      <c r="D12" s="210"/>
      <c r="E12" s="220"/>
      <c r="F12" s="213">
        <v>3.0499999999999999E-2</v>
      </c>
      <c r="G12" s="211"/>
    </row>
    <row r="13" spans="1:8" s="206" customFormat="1" ht="13.5" hidden="1" customHeight="1">
      <c r="A13" s="219" t="s">
        <v>6</v>
      </c>
      <c r="B13" s="207" t="s">
        <v>1561</v>
      </c>
      <c r="C13" s="203"/>
      <c r="D13" s="210"/>
      <c r="E13" s="210"/>
      <c r="F13" s="210"/>
      <c r="G13" s="211"/>
    </row>
    <row r="14" spans="1:8" s="206" customFormat="1" ht="13.5" hidden="1" customHeight="1">
      <c r="A14" s="219" t="s">
        <v>7</v>
      </c>
      <c r="B14" s="207" t="s">
        <v>1473</v>
      </c>
      <c r="C14" s="203"/>
      <c r="D14" s="210"/>
      <c r="E14" s="210"/>
      <c r="F14" s="210"/>
      <c r="G14" s="211" t="s">
        <v>1562</v>
      </c>
    </row>
    <row r="15" spans="1:8" s="206" customFormat="1" ht="13.5" hidden="1" customHeight="1">
      <c r="A15" s="219" t="s">
        <v>8</v>
      </c>
      <c r="B15" s="207" t="s">
        <v>1563</v>
      </c>
      <c r="C15" s="212"/>
      <c r="D15" s="210"/>
      <c r="E15" s="210"/>
      <c r="F15" s="210"/>
      <c r="G15" s="211" t="s">
        <v>1564</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1565</v>
      </c>
      <c r="C17" s="221"/>
      <c r="D17" s="221"/>
      <c r="E17" s="221"/>
      <c r="F17" s="221"/>
      <c r="G17" s="211" t="s">
        <v>1564</v>
      </c>
    </row>
    <row r="18" spans="1:7" s="206" customFormat="1" ht="13.5" hidden="1" customHeight="1">
      <c r="A18" s="219" t="s">
        <v>11</v>
      </c>
      <c r="B18" s="207" t="s">
        <v>1566</v>
      </c>
      <c r="C18" s="212">
        <v>0</v>
      </c>
      <c r="D18" s="210"/>
      <c r="E18" s="210"/>
      <c r="F18" s="213">
        <v>3.0499999999999999E-2</v>
      </c>
      <c r="G18" s="211" t="s">
        <v>1567</v>
      </c>
    </row>
    <row r="19" spans="1:7" s="215" customFormat="1" ht="13.5" customHeight="1">
      <c r="A19" s="247" t="s">
        <v>1568</v>
      </c>
      <c r="B19" s="202" t="s">
        <v>1569</v>
      </c>
      <c r="C19" s="203">
        <f ca="1">IF(G19="已包含在土地取得成本中","0",ROUND(D19*E19,0))</f>
        <v>7277854</v>
      </c>
      <c r="D19" s="204">
        <f ca="1">D9+D10</f>
        <v>36389.269999999997</v>
      </c>
      <c r="E19" s="203">
        <f>'数据-取费表'!B31</f>
        <v>200</v>
      </c>
      <c r="F19" s="223"/>
      <c r="G19" s="1714"/>
    </row>
    <row r="20" spans="1:7" s="206" customFormat="1" ht="13.5" customHeight="1">
      <c r="A20" s="247" t="s">
        <v>1570</v>
      </c>
      <c r="B20" s="202" t="s">
        <v>1571</v>
      </c>
      <c r="C20" s="224">
        <f ca="1">ROUND((C5+C19)*F20,0)</f>
        <v>291114</v>
      </c>
      <c r="D20" s="224"/>
      <c r="E20" s="224"/>
      <c r="F20" s="225">
        <f>'数据-取费表'!B37</f>
        <v>0.02</v>
      </c>
      <c r="G20" s="226" t="s">
        <v>1572</v>
      </c>
    </row>
    <row r="21" spans="1:7" s="206" customFormat="1" ht="13.5" customHeight="1">
      <c r="A21" s="247" t="s">
        <v>1573</v>
      </c>
      <c r="B21" s="202" t="s">
        <v>1574</v>
      </c>
      <c r="C21" s="227">
        <f>F21</f>
        <v>0.02</v>
      </c>
      <c r="D21" s="228" t="s">
        <v>1575</v>
      </c>
      <c r="E21" s="224"/>
      <c r="F21" s="225">
        <f>'数据-取费表'!B38</f>
        <v>0.02</v>
      </c>
      <c r="G21" s="226" t="s">
        <v>1576</v>
      </c>
    </row>
    <row r="22" spans="1:7" s="206" customFormat="1" ht="13.5" customHeight="1">
      <c r="A22" s="247" t="s">
        <v>1577</v>
      </c>
      <c r="B22" s="202" t="s">
        <v>1578</v>
      </c>
      <c r="C22" s="224">
        <f ca="1">ROUND(SUM(C23:C25),0)</f>
        <v>1362906</v>
      </c>
      <c r="D22" s="227">
        <f ca="1">C26</f>
        <v>8.9999999999999998E-4</v>
      </c>
      <c r="E22" s="228" t="s">
        <v>1575</v>
      </c>
      <c r="F22" s="229">
        <f ca="1">'数据-取费表'!B40</f>
        <v>0.03</v>
      </c>
      <c r="G22" s="226" t="str">
        <f>IF('数据-取费表'!B22&lt;=1,"单利计息","复利计息")</f>
        <v>复利计息</v>
      </c>
    </row>
    <row r="23" spans="1:7" s="206" customFormat="1" ht="13.5" customHeight="1">
      <c r="A23" s="734" t="s">
        <v>1468</v>
      </c>
      <c r="B23" s="207" t="s">
        <v>1579</v>
      </c>
      <c r="C23" s="230">
        <f ca="1">ROUND(IF('数据-取费表'!B22&lt;=1,C5*F22*'数据-取费表'!B22,C5*(POWER((1+F22),'数据-取费表'!B22)-1)),0)</f>
        <v>674854</v>
      </c>
      <c r="D23" s="230"/>
      <c r="E23" s="230"/>
      <c r="F23" s="231"/>
      <c r="G23" s="232" t="s">
        <v>1580</v>
      </c>
    </row>
    <row r="24" spans="1:7" s="206" customFormat="1" ht="13.5" customHeight="1">
      <c r="A24" s="734" t="s">
        <v>1470</v>
      </c>
      <c r="B24" s="207" t="s">
        <v>1581</v>
      </c>
      <c r="C24" s="230">
        <f ca="1">ROUND(IF('数据-取费表'!B22&lt;=1,C19*F22*('数据-取费表'!B19/2+'数据-取费表'!B20),C19*(POWER((1+F22),('数据-取费表'!B19/2+'数据-取费表'!B20))-1)),0)</f>
        <v>674854</v>
      </c>
      <c r="D24" s="230"/>
      <c r="E24" s="230"/>
      <c r="F24" s="231"/>
      <c r="G24" s="232" t="s">
        <v>1582</v>
      </c>
    </row>
    <row r="25" spans="1:7" s="206" customFormat="1" ht="24">
      <c r="A25" s="734" t="s">
        <v>1472</v>
      </c>
      <c r="B25" s="207" t="s">
        <v>1583</v>
      </c>
      <c r="C25" s="230">
        <f ca="1">ROUND(IF('数据-取费表'!B22&lt;=1,C20*F22*'数据-取费表'!B22/2,C20*(POWER((1+F22),'数据-取费表'!B22/2)-1)),0)</f>
        <v>13198</v>
      </c>
      <c r="D25" s="230"/>
      <c r="E25" s="233"/>
      <c r="F25" s="231"/>
      <c r="G25" s="234" t="s">
        <v>1584</v>
      </c>
    </row>
    <row r="26" spans="1:7" s="206" customFormat="1">
      <c r="A26" s="734" t="s">
        <v>350</v>
      </c>
      <c r="B26" s="207" t="s">
        <v>1507</v>
      </c>
      <c r="C26" s="230">
        <f ca="1">ROUND(IF('数据-取费表'!B22&lt;=1,F21*F22*'数据-取费表'!B22/2,F21*(POWER((1+F22),'数据-取费表'!B22/2)-1)),4)</f>
        <v>8.9999999999999998E-4</v>
      </c>
      <c r="D26" s="230"/>
      <c r="E26" s="233"/>
      <c r="F26" s="231"/>
      <c r="G26" s="235"/>
    </row>
    <row r="27" spans="1:7" s="206" customFormat="1" ht="24.75">
      <c r="A27" s="247" t="s">
        <v>1508</v>
      </c>
      <c r="B27" s="236" t="s">
        <v>1509</v>
      </c>
      <c r="C27" s="237">
        <f ca="1">C28</f>
        <v>2969364</v>
      </c>
      <c r="D27" s="227">
        <f ca="1">C29</f>
        <v>4.0000000000000001E-3</v>
      </c>
      <c r="E27" s="228" t="s">
        <v>1510</v>
      </c>
      <c r="F27" s="238">
        <f ca="1">IF(B1="",'数据-取费表'!Q16,INDIRECT("'数据-取费表'!q"&amp;$G$1))</f>
        <v>0.2</v>
      </c>
      <c r="G27" s="239" t="s">
        <v>1511</v>
      </c>
    </row>
    <row r="28" spans="1:7" s="206" customFormat="1" ht="13.5" customHeight="1">
      <c r="A28" s="734" t="s">
        <v>346</v>
      </c>
      <c r="B28" s="240" t="s">
        <v>1512</v>
      </c>
      <c r="C28" s="241">
        <f ca="1">ROUND((C5+C19+C20)*F27,0)</f>
        <v>2969364</v>
      </c>
      <c r="D28" s="227"/>
      <c r="E28" s="228"/>
      <c r="F28" s="238"/>
      <c r="G28" s="239"/>
    </row>
    <row r="29" spans="1:7" s="206" customFormat="1" ht="13.5" customHeight="1">
      <c r="A29" s="734" t="s">
        <v>347</v>
      </c>
      <c r="B29" s="240" t="s">
        <v>1513</v>
      </c>
      <c r="C29" s="230">
        <f ca="1">ROUND(C21*F27,4)</f>
        <v>4.0000000000000001E-3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20806131</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279833487</v>
      </c>
      <c r="D33" s="224"/>
      <c r="E33" s="204"/>
      <c r="F33" s="233"/>
      <c r="G33" s="226"/>
    </row>
    <row r="34" spans="1:7" s="250" customFormat="1" ht="13.5" customHeight="1">
      <c r="A34" s="734" t="s">
        <v>346</v>
      </c>
      <c r="B34" s="207" t="s">
        <v>1521</v>
      </c>
      <c r="C34" s="212">
        <f ca="1">ROUND(IF(B1="",SUMPRODUCT('数据-取费表'!K6:K14,'数据-取费表'!L6:L14),INDIRECT("'数据-取费表'!l"&amp;$G$1)*INDIRECT("'数据-取费表'!k"&amp;$G$1)+'数据-取费表'!L14*INDIRECT("'数据-取费表'!S"&amp;$G$1)),0)</f>
        <v>254724890</v>
      </c>
      <c r="D34" s="209"/>
      <c r="E34" s="212"/>
      <c r="F34" s="249"/>
      <c r="G34" s="211"/>
    </row>
    <row r="35" spans="1:7" ht="13.5" customHeight="1">
      <c r="A35" s="734" t="s">
        <v>351</v>
      </c>
      <c r="B35" s="207" t="s">
        <v>1523</v>
      </c>
      <c r="C35" s="212">
        <f ca="1">ROUND(C34*F35,0)</f>
        <v>12736245</v>
      </c>
      <c r="D35" s="212"/>
      <c r="E35" s="212"/>
      <c r="F35" s="251">
        <f>'数据-取费表'!B33</f>
        <v>0.05</v>
      </c>
      <c r="G35" s="211" t="s">
        <v>1524</v>
      </c>
    </row>
    <row r="36" spans="1:7" ht="24">
      <c r="A36" s="734" t="s">
        <v>352</v>
      </c>
      <c r="B36" s="207" t="s">
        <v>1525</v>
      </c>
      <c r="C36" s="212">
        <f ca="1">ROUND(IF(B1="",SUM('数据-取费表'!AP6:AP13)*F36,IF(INDIRECT("'数据-取费表'!c"&amp;$G$1)="住宅",INDIRECT("'数据-取费表'!k"&amp;$G$1)*INDIRECT("'数据-取费表'!l"&amp;$G$1)*F36,0)),0)</f>
        <v>0</v>
      </c>
      <c r="D36" s="212"/>
      <c r="E36" s="212"/>
      <c r="F36" s="251">
        <f>'数据-取费表'!B34</f>
        <v>0</v>
      </c>
      <c r="G36" s="252" t="s">
        <v>1526</v>
      </c>
    </row>
    <row r="37" spans="1:7" s="250" customFormat="1" ht="13.5" customHeight="1">
      <c r="A37" s="734" t="s">
        <v>353</v>
      </c>
      <c r="B37" s="207" t="s">
        <v>1527</v>
      </c>
      <c r="C37" s="241">
        <f ca="1">ROUND(E37*D37,0)</f>
        <v>7277854</v>
      </c>
      <c r="D37" s="209">
        <f ca="1">D19</f>
        <v>36389.269999999997</v>
      </c>
      <c r="E37" s="241">
        <f>'数据-取费表'!B35</f>
        <v>200</v>
      </c>
      <c r="F37" s="251"/>
      <c r="G37" s="253"/>
    </row>
    <row r="38" spans="1:7" ht="13.5" customHeight="1">
      <c r="A38" s="734" t="s">
        <v>354</v>
      </c>
      <c r="B38" s="207" t="s">
        <v>1529</v>
      </c>
      <c r="C38" s="212">
        <f ca="1">ROUND(C34*F38,0)</f>
        <v>5094498</v>
      </c>
      <c r="D38" s="212"/>
      <c r="E38" s="212"/>
      <c r="F38" s="251">
        <f>'数据-取费表'!B36</f>
        <v>0.02</v>
      </c>
      <c r="G38" s="211" t="s">
        <v>1524</v>
      </c>
    </row>
    <row r="39" spans="1:7" s="206" customFormat="1" ht="13.5" customHeight="1">
      <c r="A39" s="247" t="s">
        <v>1530</v>
      </c>
      <c r="B39" s="202" t="s">
        <v>1531</v>
      </c>
      <c r="C39" s="224">
        <f ca="1">ROUND(C33*F20,0)</f>
        <v>5596670</v>
      </c>
      <c r="D39" s="224"/>
      <c r="E39" s="224"/>
      <c r="F39" s="225">
        <f>F20</f>
        <v>0.02</v>
      </c>
      <c r="G39" s="226" t="s">
        <v>1532</v>
      </c>
    </row>
    <row r="40" spans="1:7" s="206" customFormat="1" ht="13.5" customHeight="1">
      <c r="A40" s="247" t="s">
        <v>1533</v>
      </c>
      <c r="B40" s="202" t="s">
        <v>1534</v>
      </c>
      <c r="C40" s="227">
        <f>F21</f>
        <v>0.02</v>
      </c>
      <c r="D40" s="228" t="s">
        <v>1535</v>
      </c>
      <c r="E40" s="224"/>
      <c r="F40" s="225">
        <f>F21</f>
        <v>0.02</v>
      </c>
      <c r="G40" s="226" t="s">
        <v>1536</v>
      </c>
    </row>
    <row r="41" spans="1:7" s="206" customFormat="1" ht="13.5" customHeight="1">
      <c r="A41" s="247" t="s">
        <v>1537</v>
      </c>
      <c r="B41" s="202" t="s">
        <v>1538</v>
      </c>
      <c r="C41" s="224">
        <f ca="1">ROUND(SUM(C42:C43),0)</f>
        <v>12940214</v>
      </c>
      <c r="D41" s="227">
        <f ca="1">C44</f>
        <v>8.9999999999999998E-4</v>
      </c>
      <c r="E41" s="228" t="s">
        <v>1535</v>
      </c>
      <c r="F41" s="229">
        <f ca="1">F22</f>
        <v>0.03</v>
      </c>
      <c r="G41" s="226" t="str">
        <f>IF('数据-取费表'!B22&lt;=1,"单利计息","复利计息")</f>
        <v>复利计息</v>
      </c>
    </row>
    <row r="42" spans="1:7" ht="13.5" customHeight="1">
      <c r="A42" s="734" t="s">
        <v>346</v>
      </c>
      <c r="B42" s="207" t="s">
        <v>1539</v>
      </c>
      <c r="C42" s="230">
        <f ca="1">ROUND(IF('数据-取费表'!B22&lt;=1,C33*F22*'数据-取费表'!B20/2,C33*(POWER((1+F22),'数据-取费表'!B20/2)-1)),0)</f>
        <v>12686484</v>
      </c>
      <c r="D42" s="230"/>
      <c r="E42" s="230"/>
      <c r="F42" s="231"/>
      <c r="G42" s="3370" t="s">
        <v>1587</v>
      </c>
    </row>
    <row r="43" spans="1:7" ht="13.5" customHeight="1">
      <c r="A43" s="734" t="s">
        <v>347</v>
      </c>
      <c r="B43" s="207" t="s">
        <v>1541</v>
      </c>
      <c r="C43" s="230">
        <f ca="1">ROUND(IF('数据-取费表'!B22&lt;=1,C39*F22*'数据-取费表'!B20/2,C39*(POWER((1+F22),'数据-取费表'!B20/2)-1)),0)</f>
        <v>253730</v>
      </c>
      <c r="D43" s="230"/>
      <c r="E43" s="230"/>
      <c r="F43" s="231"/>
      <c r="G43" s="3371"/>
    </row>
    <row r="44" spans="1:7" ht="13.5" customHeight="1">
      <c r="A44" s="734" t="s">
        <v>348</v>
      </c>
      <c r="B44" s="207" t="s">
        <v>1542</v>
      </c>
      <c r="C44" s="230">
        <f ca="1">ROUND(IF('数据-取费表'!B22&lt;=1,C40*F22*'数据-取费表'!B20/2,C40*(POWER((1+F22),'数据-取费表'!B20/2)-1)),4)</f>
        <v>8.9999999999999998E-4</v>
      </c>
      <c r="D44" s="230"/>
      <c r="E44" s="230"/>
      <c r="F44" s="231"/>
      <c r="G44" s="3372"/>
    </row>
    <row r="45" spans="1:7" s="206" customFormat="1" ht="13.5" customHeight="1">
      <c r="A45" s="247" t="s">
        <v>1543</v>
      </c>
      <c r="B45" s="236" t="s">
        <v>1509</v>
      </c>
      <c r="C45" s="237">
        <f ca="1">C46</f>
        <v>57086031</v>
      </c>
      <c r="D45" s="227">
        <f ca="1">C47</f>
        <v>4.0000000000000001E-3</v>
      </c>
      <c r="E45" s="228" t="s">
        <v>1535</v>
      </c>
      <c r="F45" s="238">
        <f ca="1">F27</f>
        <v>0.2</v>
      </c>
      <c r="G45" s="239" t="s">
        <v>1544</v>
      </c>
    </row>
    <row r="46" spans="1:7" s="206" customFormat="1" ht="13.5" customHeight="1">
      <c r="A46" s="734" t="s">
        <v>346</v>
      </c>
      <c r="B46" s="240" t="s">
        <v>1545</v>
      </c>
      <c r="C46" s="241">
        <f ca="1">ROUND((C33+C39)*F27,0)</f>
        <v>57086031</v>
      </c>
      <c r="D46" s="255"/>
      <c r="E46" s="228"/>
      <c r="F46" s="238"/>
      <c r="G46" s="239"/>
    </row>
    <row r="47" spans="1:7" s="206" customFormat="1" ht="13.5" customHeight="1">
      <c r="A47" s="734" t="s">
        <v>347</v>
      </c>
      <c r="B47" s="240" t="s">
        <v>1546</v>
      </c>
      <c r="C47" s="230">
        <f ca="1">ROUND(C40*F27,4)</f>
        <v>4.0000000000000001E-3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385611198</v>
      </c>
      <c r="D49" s="224"/>
      <c r="E49" s="224"/>
      <c r="F49" s="256"/>
      <c r="G49" s="226" t="s">
        <v>1550</v>
      </c>
    </row>
    <row r="50" spans="1:7" s="250" customFormat="1">
      <c r="A50" s="247" t="s">
        <v>1551</v>
      </c>
      <c r="B50" s="202" t="s">
        <v>1552</v>
      </c>
      <c r="C50" s="224"/>
      <c r="D50" s="224"/>
      <c r="E50" s="224"/>
      <c r="F50" s="256">
        <f>IF('数据-取费表'!B24=0,'数据-取费表'!N16,1)</f>
        <v>0.8</v>
      </c>
      <c r="G50" s="239"/>
    </row>
    <row r="51" spans="1:7" ht="16.5" customHeight="1">
      <c r="A51" s="247" t="s">
        <v>1554</v>
      </c>
      <c r="B51" s="202" t="s">
        <v>1589</v>
      </c>
      <c r="C51" s="224">
        <f ca="1">ROUND(C49*F50,0)</f>
        <v>308488958</v>
      </c>
      <c r="D51" s="224"/>
      <c r="E51" s="224"/>
      <c r="F51" s="256"/>
      <c r="G51" s="226" t="s">
        <v>1556</v>
      </c>
    </row>
    <row r="52" spans="1:7" s="200" customFormat="1" ht="16.5" thickBot="1">
      <c r="A52" s="257" t="s">
        <v>1557</v>
      </c>
      <c r="B52" s="258"/>
      <c r="C52" s="259">
        <f ca="1">C31+C51</f>
        <v>329295089</v>
      </c>
      <c r="D52" s="258"/>
      <c r="E52" s="258"/>
      <c r="F52" s="258"/>
      <c r="G52" s="260"/>
    </row>
    <row r="55" spans="1:7" ht="15">
      <c r="B55" s="262" t="s">
        <v>1558</v>
      </c>
      <c r="C55" s="263"/>
    </row>
    <row r="56" spans="1:7">
      <c r="B56" s="265" t="s">
        <v>798</v>
      </c>
      <c r="C56" s="267">
        <f ca="1">1-C57</f>
        <v>6.2999999999999945E-2</v>
      </c>
    </row>
    <row r="57" spans="1:7">
      <c r="B57" s="265" t="s">
        <v>799</v>
      </c>
      <c r="C57" s="266">
        <f ca="1">ROUND(C51/C52,3)</f>
        <v>0.93700000000000006</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1590</v>
      </c>
      <c r="B1" s="121"/>
      <c r="C1" s="1110"/>
      <c r="D1" s="1109"/>
      <c r="E1" s="2568"/>
      <c r="F1" s="2568"/>
      <c r="G1" s="2449"/>
      <c r="H1" s="2568"/>
      <c r="I1" s="2568"/>
      <c r="J1" s="2568"/>
      <c r="K1" s="2569">
        <f>MATCH(C1,'数据-取费表'!A6:A16,0)+5</f>
        <v>7</v>
      </c>
    </row>
    <row r="2" spans="1:33" ht="18" customHeight="1">
      <c r="A2" s="193" t="s">
        <v>1458</v>
      </c>
      <c r="B2" s="196">
        <f ca="1">C32</f>
        <v>0</v>
      </c>
      <c r="C2" s="268" t="s">
        <v>1591</v>
      </c>
      <c r="D2" s="268"/>
      <c r="E2" s="2568"/>
      <c r="F2" s="2568"/>
      <c r="G2" s="2568"/>
      <c r="H2" s="2568"/>
      <c r="I2" s="2568"/>
      <c r="J2" s="2568"/>
      <c r="K2" s="2568"/>
    </row>
    <row r="3" spans="1:33" ht="18" customHeight="1" thickBot="1">
      <c r="A3" s="195" t="s">
        <v>1460</v>
      </c>
      <c r="B3" s="196">
        <f ca="1">ROUND(B2*10000/IF(C1="",'数据-汇总表'!E3,INDIRECT("'数据-取费表'!K"&amp;$K$1)),0)</f>
        <v>0</v>
      </c>
      <c r="C3" s="268" t="s">
        <v>1592</v>
      </c>
      <c r="D3" s="268"/>
      <c r="E3" s="2568"/>
      <c r="F3" s="2568"/>
      <c r="G3" s="2568"/>
      <c r="H3" s="2568"/>
      <c r="I3" s="2568"/>
      <c r="J3" s="2568"/>
      <c r="K3" s="2568"/>
    </row>
    <row r="4" spans="1:33" s="739" customFormat="1" ht="16.5" customHeight="1">
      <c r="A4" s="736" t="s">
        <v>1593</v>
      </c>
      <c r="B4" s="737"/>
      <c r="C4" s="775">
        <f>SUM(C8:K8)</f>
        <v>0</v>
      </c>
      <c r="D4" s="737"/>
      <c r="E4" s="737"/>
      <c r="F4" s="737"/>
      <c r="G4" s="737"/>
      <c r="H4" s="737"/>
      <c r="I4" s="737"/>
      <c r="J4" s="737"/>
      <c r="K4" s="738"/>
    </row>
    <row r="5" spans="1:33" s="743" customFormat="1" ht="15">
      <c r="A5" s="740" t="s">
        <v>1594</v>
      </c>
      <c r="B5" s="741" t="s">
        <v>1595</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1596</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1597</v>
      </c>
      <c r="B7" s="123" t="s">
        <v>1598</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1599</v>
      </c>
      <c r="B8" s="156" t="s">
        <v>1600</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1601</v>
      </c>
      <c r="B9" s="737"/>
      <c r="C9" s="737"/>
      <c r="D9" s="737"/>
      <c r="E9" s="737"/>
      <c r="F9" s="737"/>
      <c r="G9" s="737"/>
      <c r="H9" s="737"/>
      <c r="I9" s="737"/>
      <c r="J9" s="737"/>
      <c r="K9" s="738"/>
    </row>
    <row r="10" spans="1:33" s="751" customFormat="1" ht="13.5" customHeight="1">
      <c r="A10" s="740" t="s">
        <v>1602</v>
      </c>
      <c r="B10" s="5" t="s">
        <v>1603</v>
      </c>
      <c r="C10" s="747" t="s">
        <v>1604</v>
      </c>
      <c r="D10" s="748" t="s">
        <v>1605</v>
      </c>
      <c r="E10" s="748" t="s">
        <v>1606</v>
      </c>
      <c r="F10" s="748" t="s">
        <v>1607</v>
      </c>
      <c r="G10" s="5"/>
      <c r="H10" s="749"/>
      <c r="I10" s="749"/>
      <c r="J10" s="749"/>
      <c r="K10" s="750"/>
    </row>
    <row r="11" spans="1:33" s="755" customFormat="1" ht="13.5" customHeight="1">
      <c r="A11" s="752" t="s">
        <v>635</v>
      </c>
      <c r="B11" s="753" t="s">
        <v>1608</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1609</v>
      </c>
      <c r="C12" s="21">
        <f ca="1">ROUND(C11*F12,0)</f>
        <v>0</v>
      </c>
      <c r="D12" s="754"/>
      <c r="E12" s="138"/>
      <c r="F12" s="764">
        <f>'数据-取费表'!B33</f>
        <v>0.05</v>
      </c>
      <c r="G12" s="5" t="s">
        <v>1610</v>
      </c>
      <c r="H12" s="749"/>
      <c r="I12" s="749"/>
      <c r="J12" s="749"/>
      <c r="K12" s="750"/>
    </row>
    <row r="13" spans="1:33" s="755" customFormat="1" ht="13.5" customHeight="1">
      <c r="A13" s="752" t="s">
        <v>637</v>
      </c>
      <c r="B13" s="753" t="s">
        <v>1611</v>
      </c>
      <c r="C13" s="21">
        <f ca="1">ROUND(IF(C1="",SUMIF('数据-取费表'!C:C,"住宅",'数据-取费表'!P:P)*F13,IF(INDIRECT("'数据-取费表'!c"&amp;$K$1)="住宅",INDIRECT("'数据-取费表'!P"&amp;$K$1)*F13,0)),0)</f>
        <v>0</v>
      </c>
      <c r="D13" s="796"/>
      <c r="E13" s="138"/>
      <c r="F13" s="764">
        <f>'数据-取费表'!B34</f>
        <v>0</v>
      </c>
      <c r="G13" s="5" t="s">
        <v>1612</v>
      </c>
      <c r="H13" s="749"/>
      <c r="I13" s="749"/>
      <c r="J13" s="749"/>
      <c r="K13" s="750"/>
    </row>
    <row r="14" spans="1:33" s="757" customFormat="1" ht="13.5" customHeight="1">
      <c r="A14" s="752" t="s">
        <v>638</v>
      </c>
      <c r="B14" s="753" t="s">
        <v>1613</v>
      </c>
      <c r="C14" s="21">
        <f ca="1">ROUND(D14*E14*F11/10000,0)</f>
        <v>0</v>
      </c>
      <c r="D14" s="796">
        <f ca="1">IF(C1="",'数据-汇总表'!E3,INDIRECT("'数据-取费表'!K"&amp;$K$1)+INDIRECT("'数据-取费表'!S"&amp;$K$1))</f>
        <v>36389.269999999997</v>
      </c>
      <c r="E14" s="21">
        <f>'数据-取费表'!B35</f>
        <v>200</v>
      </c>
      <c r="F14" s="756"/>
      <c r="G14" s="5" t="s">
        <v>1614</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1615</v>
      </c>
      <c r="C15" s="763">
        <f ca="1">ROUND(C11*F15,0)</f>
        <v>0</v>
      </c>
      <c r="D15" s="758"/>
      <c r="E15" s="763"/>
      <c r="F15" s="764">
        <f>'数据-取费表'!B36</f>
        <v>0.02</v>
      </c>
      <c r="G15" s="123" t="s">
        <v>1616</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1617</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1618</v>
      </c>
      <c r="C17" s="21">
        <f ca="1">ROUND(D17*E17/10000,0)</f>
        <v>0</v>
      </c>
      <c r="D17" s="796">
        <f ca="1">D14</f>
        <v>36389.269999999997</v>
      </c>
      <c r="E17" s="21">
        <f>'数据-取费表'!B32</f>
        <v>0</v>
      </c>
      <c r="F17" s="758"/>
      <c r="G17" s="123" t="s">
        <v>1619</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1620</v>
      </c>
      <c r="C18" s="21">
        <f ca="1">C19+C20-IF(C1="",'数据-取费表'!B29,IF(G18="已全部缴纳",C19+C20,H18))</f>
        <v>0</v>
      </c>
      <c r="D18" s="796"/>
      <c r="E18" s="21"/>
      <c r="F18" s="756"/>
      <c r="G18" s="1720"/>
      <c r="H18" s="1106"/>
      <c r="I18" s="1721" t="s">
        <v>1621</v>
      </c>
      <c r="J18" s="759"/>
      <c r="K18" s="760"/>
    </row>
    <row r="19" spans="1:33" s="755" customFormat="1" ht="13.5" customHeight="1">
      <c r="A19" s="752" t="s">
        <v>360</v>
      </c>
      <c r="B19" s="753" t="s">
        <v>1622</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1623</v>
      </c>
      <c r="C20" s="21">
        <f ca="1">ROUND(D20*E20/10000,0)</f>
        <v>728</v>
      </c>
      <c r="D20" s="796">
        <f ca="1">IF(C1="",'数据-汇总表'!E6,IF(INDIRECT("'数据-取费表'!c"&amp;$K$1)="住宅",INDIRECT("'数据-取费表'!s"&amp;$K$1),INDIRECT("'数据-取费表'!k"&amp;$K$1)+INDIRECT("'数据-取费表'!s"&amp;$K$1)))</f>
        <v>36389.269999999997</v>
      </c>
      <c r="E20" s="21">
        <f>'数据-取费表'!B28</f>
        <v>200</v>
      </c>
      <c r="F20" s="756"/>
      <c r="G20" s="12"/>
      <c r="H20" s="761"/>
      <c r="I20" s="761"/>
      <c r="J20" s="761"/>
      <c r="K20" s="762"/>
    </row>
    <row r="21" spans="1:33" s="755" customFormat="1" ht="13.5" customHeight="1">
      <c r="A21" s="744" t="s">
        <v>357</v>
      </c>
      <c r="B21" s="765" t="s">
        <v>1624</v>
      </c>
      <c r="C21" s="766">
        <f ca="1">C16+C17+C18</f>
        <v>0</v>
      </c>
      <c r="D21" s="767"/>
      <c r="E21" s="273"/>
      <c r="F21" s="273"/>
      <c r="G21" s="123" t="s">
        <v>1625</v>
      </c>
      <c r="H21" s="759"/>
      <c r="I21" s="759"/>
      <c r="J21" s="759"/>
      <c r="K21" s="760"/>
    </row>
    <row r="22" spans="1:33" s="755" customFormat="1" ht="13.5" customHeight="1">
      <c r="A22" s="744" t="s">
        <v>1597</v>
      </c>
      <c r="B22" s="765" t="s">
        <v>1626</v>
      </c>
      <c r="C22" s="766">
        <f ca="1">ROUND(C21*F22,0)</f>
        <v>0</v>
      </c>
      <c r="D22" s="273"/>
      <c r="E22" s="273"/>
      <c r="F22" s="768">
        <f>'数据-取费表'!B37</f>
        <v>0.02</v>
      </c>
      <c r="G22" s="5" t="s">
        <v>1627</v>
      </c>
      <c r="H22" s="749"/>
      <c r="I22" s="749"/>
      <c r="J22" s="749"/>
      <c r="K22" s="750"/>
    </row>
    <row r="23" spans="1:33" s="755" customFormat="1" ht="13.5" customHeight="1">
      <c r="A23" s="744" t="s">
        <v>1599</v>
      </c>
      <c r="B23" s="765" t="s">
        <v>1628</v>
      </c>
      <c r="C23" s="766">
        <f ca="1">ROUND(C4*F23*F11,0)</f>
        <v>0</v>
      </c>
      <c r="D23" s="273"/>
      <c r="E23" s="273"/>
      <c r="F23" s="768">
        <f>'数据-取费表'!B38</f>
        <v>0.02</v>
      </c>
      <c r="G23" s="5" t="s">
        <v>1629</v>
      </c>
      <c r="H23" s="749"/>
      <c r="I23" s="749"/>
      <c r="J23" s="749"/>
      <c r="K23" s="750"/>
    </row>
    <row r="24" spans="1:33" s="755" customFormat="1" ht="13.5" customHeight="1">
      <c r="A24" s="744" t="s">
        <v>1630</v>
      </c>
      <c r="B24" s="765" t="s">
        <v>1631</v>
      </c>
      <c r="C24" s="272">
        <f>ROUND(F24/(1+'数据-取费表'!C42),4)</f>
        <v>2.9000000000000001E-2</v>
      </c>
      <c r="D24" s="273" t="s">
        <v>12</v>
      </c>
      <c r="E24" s="273"/>
      <c r="F24" s="768">
        <f>IF(项目基本情况!B8="出让",0,'数据-取费表'!B48+'数据-取费表'!B49)</f>
        <v>3.0499999999999999E-2</v>
      </c>
      <c r="G24" s="5" t="s">
        <v>1632</v>
      </c>
      <c r="H24" s="770"/>
      <c r="I24" s="770"/>
      <c r="J24" s="770"/>
      <c r="K24" s="55"/>
    </row>
    <row r="25" spans="1:33" s="755" customFormat="1" ht="13.5" customHeight="1">
      <c r="A25" s="744" t="s">
        <v>1633</v>
      </c>
      <c r="B25" s="767" t="s">
        <v>1634</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1635</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1636</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1637</v>
      </c>
      <c r="B28" s="1723" t="s">
        <v>1638</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1639</v>
      </c>
      <c r="C29" s="276">
        <f ca="1">ROUND((1+C24)*F28*'数据-取费表'!B24/'数据-取费表'!B20,4)</f>
        <v>0</v>
      </c>
      <c r="D29" s="276"/>
      <c r="E29" s="277"/>
      <c r="F29" s="282"/>
      <c r="G29" s="123" t="s">
        <v>1640</v>
      </c>
      <c r="H29" s="759"/>
      <c r="I29" s="759"/>
      <c r="J29" s="759"/>
      <c r="K29" s="760"/>
    </row>
    <row r="30" spans="1:33" s="283" customFormat="1" ht="13.5" customHeight="1">
      <c r="A30" s="752" t="s">
        <v>359</v>
      </c>
      <c r="B30" s="773" t="s">
        <v>1641</v>
      </c>
      <c r="C30" s="284">
        <f ca="1">ROUND((C21+C22+C23)*F28,0)</f>
        <v>0</v>
      </c>
      <c r="D30" s="276"/>
      <c r="E30" s="277"/>
      <c r="F30" s="282"/>
      <c r="G30" s="123"/>
      <c r="H30" s="759"/>
      <c r="I30" s="759"/>
      <c r="J30" s="759"/>
      <c r="K30" s="760"/>
    </row>
    <row r="31" spans="1:33" s="755" customFormat="1" ht="13.5" customHeight="1" thickBot="1">
      <c r="A31" s="1724" t="s">
        <v>1642</v>
      </c>
      <c r="B31" s="783" t="s">
        <v>1643</v>
      </c>
      <c r="C31" s="784">
        <f>ROUND(C4*F31/(1+'数据-取费表'!C42),0)</f>
        <v>0</v>
      </c>
      <c r="D31" s="785"/>
      <c r="E31" s="786"/>
      <c r="F31" s="787">
        <f>'数据-取费表'!B41</f>
        <v>5.6000000000000001E-2</v>
      </c>
      <c r="G31" s="788" t="s">
        <v>1644</v>
      </c>
      <c r="H31" s="789"/>
      <c r="I31" s="789"/>
      <c r="J31" s="789"/>
      <c r="K31" s="790"/>
    </row>
    <row r="32" spans="1:33" s="751" customFormat="1" ht="13.5" customHeight="1" thickBot="1">
      <c r="A32" s="449" t="s">
        <v>1645</v>
      </c>
      <c r="B32" s="779"/>
      <c r="C32" s="780">
        <f ca="1">ROUND((C4-C21-C22-C23-C25-C28-C31)/(1+C24+D25+D28),0)</f>
        <v>0</v>
      </c>
      <c r="D32" s="779"/>
      <c r="E32" s="779"/>
      <c r="F32" s="779"/>
      <c r="G32" s="781" t="s">
        <v>1646</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 zoomScaleNormal="80" zoomScaleSheetLayoutView="100" workbookViewId="0">
      <selection activeCell="H31" sqref="H3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1922</v>
      </c>
      <c r="B1" s="189"/>
      <c r="C1" s="193" t="s">
        <v>1923</v>
      </c>
      <c r="D1" s="333">
        <f>SUM(D33:D34,D37:D42)</f>
        <v>36389.269999999997</v>
      </c>
      <c r="E1" s="1842"/>
      <c r="F1" s="1842"/>
      <c r="G1" s="1842"/>
      <c r="H1" s="1842"/>
      <c r="I1" s="1842"/>
      <c r="J1" s="1842"/>
      <c r="K1" s="1056"/>
      <c r="L1" s="1843" t="s">
        <v>1924</v>
      </c>
      <c r="M1" s="810">
        <f>SUMPRODUCT((区片价!B5:B9=I2)*(区片价!C3:G3=E2)*(区片价!C5:G9))</f>
        <v>0</v>
      </c>
      <c r="N1" s="813">
        <f>SUMPRODUCT((因素修正幅度!B5:B9=I2)*(因素修正幅度!C3:G3=E2)*(因素修正幅度!C5:G9))</f>
        <v>0</v>
      </c>
      <c r="O1" s="1844"/>
      <c r="P1" s="1844"/>
      <c r="Q1" s="1056"/>
      <c r="R1" s="1129" t="s">
        <v>1925</v>
      </c>
      <c r="S1" s="1129" t="s">
        <v>1926</v>
      </c>
      <c r="T1" s="1129" t="s">
        <v>1927</v>
      </c>
      <c r="U1" s="1129" t="s">
        <v>1928</v>
      </c>
      <c r="V1" s="1129" t="s">
        <v>1929</v>
      </c>
      <c r="W1" s="1133"/>
      <c r="X1" s="1133"/>
      <c r="Y1" s="1133"/>
      <c r="Z1" s="1133"/>
      <c r="AA1" s="1133"/>
      <c r="AB1" s="1133"/>
      <c r="AC1" s="1134"/>
      <c r="AD1" s="1135"/>
      <c r="AE1" s="1135"/>
      <c r="AF1" s="1135"/>
      <c r="AG1" s="1135"/>
      <c r="AH1" s="1135"/>
      <c r="AI1" s="1135"/>
      <c r="AJ1" s="1136"/>
    </row>
    <row r="2" spans="1:36" ht="15.75">
      <c r="A2" s="193" t="s">
        <v>1930</v>
      </c>
      <c r="B2" s="196">
        <f>C30</f>
        <v>85967</v>
      </c>
      <c r="C2" s="1846" t="s">
        <v>1931</v>
      </c>
      <c r="D2" s="162" t="s">
        <v>1932</v>
      </c>
      <c r="E2" s="3121" t="s">
        <v>669</v>
      </c>
      <c r="F2" s="162" t="s">
        <v>1933</v>
      </c>
      <c r="G2" s="163" t="str">
        <f>IF(E2="商业",项目基本情况!B37,IF(E2="办公",项目基本情况!C37,IF(E2="住宅",项目基本情况!D37,IF(E2="工业",项目基本情况!E37,项目基本情况!F37))))</f>
        <v>二级</v>
      </c>
      <c r="H2" s="162" t="s">
        <v>1934</v>
      </c>
      <c r="I2" s="163" t="str">
        <f>IF(E2="商业",项目基本情况!B38,IF(E2="办公",项目基本情况!C38,IF(E2="住宅",项目基本情况!D38,IF(E2="工业",项目基本情况!E38,项目基本情况!F38))))</f>
        <v>Ⅱ—15</v>
      </c>
      <c r="J2" s="1842"/>
      <c r="K2" s="1056"/>
      <c r="L2" s="1847" t="s">
        <v>1935</v>
      </c>
      <c r="M2" s="811">
        <f>SUMPRODUCT((区片价!B10:B29=I2)*(区片价!C3:G3=E2)*(区片价!C10:G29))</f>
        <v>27930</v>
      </c>
      <c r="N2" s="813">
        <f>SUMPRODUCT((因素修正幅度!B10:B29=I2)*(因素修正幅度!C3:G3=E2)*(因素修正幅度!C10:G29))</f>
        <v>9.5000000000000001E-2</v>
      </c>
      <c r="O2" s="1056"/>
      <c r="P2" s="1056"/>
      <c r="Q2" s="1056"/>
      <c r="R2" s="1129">
        <v>1</v>
      </c>
      <c r="S2" s="3064">
        <f>ROUND(SUMPRODUCT((B106:B110=R2)*(C105:N105=G2)*(C106:N110)),4)</f>
        <v>1.5206</v>
      </c>
      <c r="T2" s="3064">
        <f t="shared" ref="T2:T16" si="0">ROUND($C$5*$C$22*$C$23*$C$24*S2*$C$28,0)</f>
        <v>33207</v>
      </c>
      <c r="U2" s="1130">
        <f>面积!I25</f>
        <v>7266.3759999999993</v>
      </c>
      <c r="V2" s="3064">
        <f>ROUND(T2*U2/10000,0)</f>
        <v>24129</v>
      </c>
      <c r="W2" s="1133"/>
      <c r="X2" s="1133"/>
      <c r="Y2" s="1133"/>
      <c r="Z2" s="1133"/>
      <c r="AA2" s="1133"/>
      <c r="AB2" s="1133"/>
      <c r="AC2" s="1134"/>
      <c r="AD2" s="1135"/>
      <c r="AE2" s="1135"/>
      <c r="AF2" s="1135"/>
      <c r="AG2" s="1135"/>
      <c r="AH2" s="1135"/>
      <c r="AI2" s="1135"/>
      <c r="AJ2" s="1136"/>
    </row>
    <row r="3" spans="1:36" ht="15.75">
      <c r="A3" s="195" t="s">
        <v>1936</v>
      </c>
      <c r="B3" s="196">
        <f>ROUND(B2*10000/D1,0)</f>
        <v>23624</v>
      </c>
      <c r="C3" s="1846" t="s">
        <v>1937</v>
      </c>
      <c r="D3" s="162" t="s">
        <v>1938</v>
      </c>
      <c r="E3" s="3119" t="s">
        <v>2426</v>
      </c>
      <c r="F3" s="1848" t="s">
        <v>3417</v>
      </c>
      <c r="G3" s="708">
        <f>IF(F3="宗地容积率",'数据-汇总表'!I4,IF(F3="估价对象容积率",'数据-汇总表'!I6,'数据-汇总表'!I7))</f>
        <v>3.5</v>
      </c>
      <c r="H3" s="162" t="s">
        <v>1939</v>
      </c>
      <c r="I3" s="729">
        <v>1</v>
      </c>
      <c r="J3" s="1842" t="s">
        <v>1940</v>
      </c>
      <c r="K3" s="1056"/>
      <c r="L3" s="1847" t="s">
        <v>1941</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26363</v>
      </c>
      <c r="U3" s="1130">
        <f>面积!I26</f>
        <v>7266.3759999999993</v>
      </c>
      <c r="V3" s="3064">
        <f t="shared" ref="V3:V16" si="1">ROUND(T3*U3/10000,0)</f>
        <v>19156</v>
      </c>
      <c r="W3" s="1133"/>
      <c r="X3" s="1133"/>
      <c r="Y3" s="1133"/>
      <c r="Z3" s="1133"/>
      <c r="AA3" s="1133"/>
      <c r="AB3" s="1133"/>
      <c r="AC3" s="1134"/>
      <c r="AD3" s="1135"/>
      <c r="AE3" s="1135"/>
      <c r="AF3" s="1135"/>
      <c r="AG3" s="1135"/>
      <c r="AH3" s="1135"/>
      <c r="AI3" s="1135"/>
      <c r="AJ3" s="1136"/>
    </row>
    <row r="4" spans="1:36" ht="15.75">
      <c r="A4" s="3380"/>
      <c r="B4" s="3381"/>
      <c r="C4" s="3381"/>
      <c r="D4" s="3382"/>
      <c r="E4" s="3382"/>
      <c r="F4" s="3382"/>
      <c r="G4" s="3382"/>
      <c r="H4" s="3382"/>
      <c r="I4" s="3382"/>
      <c r="J4" s="3383"/>
      <c r="K4" s="1056"/>
      <c r="L4" s="1847" t="s">
        <v>1942</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22779</v>
      </c>
      <c r="U4" s="1130">
        <f>面积!I27</f>
        <v>7266.3759999999993</v>
      </c>
      <c r="V4" s="3064">
        <f t="shared" si="1"/>
        <v>16552</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1943</v>
      </c>
      <c r="C5" s="709">
        <f>ROUND(IF(E2="商业",C6*C7*C17+C20,(IF(E2="住宅",C6*C13*C17+C20,IF(E2="办公",C6*C12*C17+C20,C6+C20)))),0)</f>
        <v>27930</v>
      </c>
      <c r="D5" s="1252">
        <f>ROUND(C6*C17+C20,0)</f>
        <v>27930</v>
      </c>
      <c r="E5" s="1252"/>
      <c r="F5" s="1851"/>
      <c r="G5" s="1852"/>
      <c r="H5" s="1852"/>
      <c r="I5" s="1852"/>
      <c r="J5" s="1853"/>
      <c r="K5" s="1854"/>
      <c r="L5" s="1847" t="s">
        <v>1944</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20613</v>
      </c>
      <c r="U5" s="1130">
        <f>面积!I28</f>
        <v>7266.3759999999993</v>
      </c>
      <c r="V5" s="3064">
        <f t="shared" si="1"/>
        <v>14978</v>
      </c>
      <c r="W5" s="1133"/>
      <c r="X5" s="1133"/>
      <c r="Y5" s="1133"/>
      <c r="Z5" s="1133"/>
      <c r="AA5" s="1133"/>
      <c r="AB5" s="1133"/>
      <c r="AC5" s="1855"/>
      <c r="AD5" s="1856"/>
      <c r="AE5" s="1856"/>
      <c r="AF5" s="1856"/>
      <c r="AG5" s="1856"/>
      <c r="AH5" s="1856"/>
      <c r="AI5" s="1856"/>
      <c r="AJ5" s="1857"/>
    </row>
    <row r="6" spans="1:36" ht="15.75" thickBot="1">
      <c r="A6" s="1859" t="s">
        <v>1945</v>
      </c>
      <c r="B6" s="1860" t="s">
        <v>1946</v>
      </c>
      <c r="C6" s="710">
        <f>SUMIF(L1:L12,G2,M1:M12)</f>
        <v>27930</v>
      </c>
      <c r="D6" s="1861"/>
      <c r="E6" s="1862"/>
      <c r="F6" s="1862"/>
      <c r="G6" s="1863"/>
      <c r="H6" s="1863"/>
      <c r="I6" s="1863"/>
      <c r="J6" s="1864"/>
      <c r="K6" s="1292"/>
      <c r="L6" s="1847" t="s">
        <v>1947</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19645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3224</v>
      </c>
      <c r="B7" s="1865" t="s">
        <v>1948</v>
      </c>
      <c r="C7" s="711">
        <f>IF(C8="不临65条商业街",1,ROUND(1+(1.6*E8+1.2*E9+0.8*E10+0.4*E11)*C9,4))</f>
        <v>1</v>
      </c>
      <c r="D7" s="1866" t="s">
        <v>1949</v>
      </c>
      <c r="E7" s="730"/>
      <c r="F7" s="1867"/>
      <c r="G7" s="1868"/>
      <c r="H7" s="1868"/>
      <c r="I7" s="1868"/>
      <c r="J7" s="1869"/>
      <c r="K7" s="1292"/>
      <c r="L7" s="1847" t="s">
        <v>1950</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1951</v>
      </c>
      <c r="X7" s="1131" t="str">
        <f>G2</f>
        <v>二级</v>
      </c>
      <c r="Y7" s="1131" t="s">
        <v>1952</v>
      </c>
      <c r="Z7" s="1132">
        <f>G3</f>
        <v>3.5</v>
      </c>
      <c r="AA7" s="1133"/>
      <c r="AB7" s="1133"/>
      <c r="AC7" s="1134"/>
      <c r="AD7" s="1135"/>
      <c r="AE7" s="1135"/>
      <c r="AF7" s="1135"/>
      <c r="AG7" s="1135"/>
      <c r="AH7" s="1135"/>
      <c r="AI7" s="1135"/>
      <c r="AJ7" s="1136"/>
    </row>
    <row r="8" spans="1:36" ht="25.5">
      <c r="A8" s="3010"/>
      <c r="B8" s="162" t="s">
        <v>1953</v>
      </c>
      <c r="C8" s="1870" t="s">
        <v>3418</v>
      </c>
      <c r="D8" s="712" t="s">
        <v>112</v>
      </c>
      <c r="E8" s="713" t="e">
        <f>ROUND(C11/E7,4)</f>
        <v>#DIV/0!</v>
      </c>
      <c r="F8" s="1871" t="s">
        <v>1954</v>
      </c>
      <c r="G8" s="1872"/>
      <c r="H8" s="1872"/>
      <c r="I8" s="1872"/>
      <c r="J8" s="1873"/>
      <c r="K8" s="1056"/>
      <c r="L8" s="1847" t="s">
        <v>1955</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7" t="s">
        <v>1956</v>
      </c>
      <c r="X8" s="3378"/>
      <c r="Y8" s="1137" t="s">
        <v>1957</v>
      </c>
      <c r="Z8" s="1137" t="s">
        <v>1958</v>
      </c>
      <c r="AA8" s="1137" t="s">
        <v>1959</v>
      </c>
      <c r="AB8" s="1137" t="s">
        <v>1960</v>
      </c>
      <c r="AC8" s="1137" t="s">
        <v>1961</v>
      </c>
      <c r="AD8" s="1137" t="s">
        <v>1962</v>
      </c>
      <c r="AE8" s="1137" t="s">
        <v>1963</v>
      </c>
      <c r="AF8" s="1137" t="s">
        <v>1964</v>
      </c>
      <c r="AG8" s="1137" t="s">
        <v>1965</v>
      </c>
      <c r="AH8" s="1137" t="s">
        <v>1966</v>
      </c>
      <c r="AI8" s="1137" t="s">
        <v>1967</v>
      </c>
      <c r="AJ8" s="1137" t="s">
        <v>1968</v>
      </c>
    </row>
    <row r="9" spans="1:36" ht="15">
      <c r="A9" s="3010"/>
      <c r="B9" s="162" t="s">
        <v>1969</v>
      </c>
      <c r="C9" s="714">
        <f>SUMIF(修正!C73:C140,C8,修正!E73:E140)</f>
        <v>0</v>
      </c>
      <c r="D9" s="163" t="s">
        <v>113</v>
      </c>
      <c r="E9" s="163" t="e">
        <f>ROUND(C11/E7,4)</f>
        <v>#DIV/0!</v>
      </c>
      <c r="F9" s="1871" t="s">
        <v>1970</v>
      </c>
      <c r="G9" s="1872"/>
      <c r="H9" s="1872"/>
      <c r="I9" s="1872"/>
      <c r="J9" s="1873"/>
      <c r="K9" s="1056"/>
      <c r="L9" s="1847" t="s">
        <v>1971</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9"/>
      <c r="X9" s="3065" t="s">
        <v>3255</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1972</v>
      </c>
      <c r="C10" s="163">
        <f>SUMIF(修正!C73:C140,C8,修正!F73:F140)</f>
        <v>0</v>
      </c>
      <c r="D10" s="163" t="s">
        <v>114</v>
      </c>
      <c r="E10" s="163" t="e">
        <f>ROUND(C11/E7,4)</f>
        <v>#DIV/0!</v>
      </c>
      <c r="F10" s="1871" t="s">
        <v>1973</v>
      </c>
      <c r="G10" s="1872"/>
      <c r="H10" s="1872"/>
      <c r="I10" s="1872"/>
      <c r="J10" s="1873"/>
      <c r="K10" s="1056"/>
      <c r="L10" s="1847" t="s">
        <v>1974</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1975</v>
      </c>
      <c r="C11" s="715">
        <f>C10/4</f>
        <v>0</v>
      </c>
      <c r="D11" s="715" t="s">
        <v>115</v>
      </c>
      <c r="E11" s="715" t="e">
        <f>ROUND(C11/E7,4)</f>
        <v>#DIV/0!</v>
      </c>
      <c r="F11" s="1875" t="s">
        <v>1976</v>
      </c>
      <c r="G11" s="1876"/>
      <c r="H11" s="1876"/>
      <c r="I11" s="1876"/>
      <c r="J11" s="1877"/>
      <c r="K11" s="1056"/>
      <c r="L11" s="1847" t="s">
        <v>1977</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3225</v>
      </c>
      <c r="B12" s="3014" t="s">
        <v>3226</v>
      </c>
      <c r="C12" s="3015">
        <v>1</v>
      </c>
      <c r="D12" s="3016" t="s">
        <v>3227</v>
      </c>
      <c r="E12" s="3017" t="s">
        <v>3228</v>
      </c>
      <c r="F12" s="3018"/>
      <c r="G12" s="3019"/>
      <c r="H12" s="3019"/>
      <c r="I12" s="3019"/>
      <c r="J12" s="3020"/>
      <c r="K12" s="1056"/>
      <c r="L12" s="1796" t="s">
        <v>1980</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3229</v>
      </c>
      <c r="B13" s="1878" t="s">
        <v>1978</v>
      </c>
      <c r="C13" s="711">
        <f>ROUND(C16*D16*E16*F16*G16*H16*I16*J16,4)</f>
        <v>0</v>
      </c>
      <c r="D13" s="1879" t="s">
        <v>1979</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1981</v>
      </c>
      <c r="C14" s="1884" t="s">
        <v>1982</v>
      </c>
      <c r="D14" s="1261" t="s">
        <v>1983</v>
      </c>
      <c r="E14" s="27" t="s">
        <v>1984</v>
      </c>
      <c r="F14" s="3021" t="s">
        <v>3230</v>
      </c>
      <c r="G14" s="3021" t="s">
        <v>3230</v>
      </c>
      <c r="H14" s="3021" t="s">
        <v>3230</v>
      </c>
      <c r="I14" s="3021" t="s">
        <v>3230</v>
      </c>
      <c r="J14" s="3021" t="s">
        <v>3230</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3231</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1985</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3232</v>
      </c>
      <c r="B17" s="3028" t="s">
        <v>3233</v>
      </c>
      <c r="C17" s="3037">
        <f>ROUND(IF(OR(E2="工业",E2="公共服务"),1,IF(AND(E18=0,E19=0),1,IF(AND(E18=J24,E19=G19),0.8,IF(E19=0,1+E17*(-0.2),1+E17*G17*(-0.2))))),4)</f>
        <v>1</v>
      </c>
      <c r="D17" s="3029" t="s">
        <v>3234</v>
      </c>
      <c r="E17" s="3037">
        <f>ROUND(G18/I18,2)</f>
        <v>0</v>
      </c>
      <c r="F17" s="3029" t="s">
        <v>3237</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3235</v>
      </c>
      <c r="E18" s="2357"/>
      <c r="F18" s="3031" t="s">
        <v>3238</v>
      </c>
      <c r="G18" s="3035">
        <f>ROUND(1-(1/(POWER(1+G24,E18))),4)</f>
        <v>0</v>
      </c>
      <c r="H18" s="3031" t="s">
        <v>3240</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3236</v>
      </c>
      <c r="E19" s="3044"/>
      <c r="F19" s="3045" t="s">
        <v>3239</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84" t="s">
        <v>3241</v>
      </c>
      <c r="B20" s="159" t="s">
        <v>1990</v>
      </c>
      <c r="C20" s="3032">
        <f>ROUND(IF(F21="与级别开发程度一致",0,(G21-E21)/C21),0)</f>
        <v>0</v>
      </c>
      <c r="D20" s="3047" t="s">
        <v>1994</v>
      </c>
      <c r="E20" s="3048"/>
      <c r="F20" s="3390" t="s">
        <v>1991</v>
      </c>
      <c r="G20" s="339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85"/>
      <c r="B21" s="2002" t="s">
        <v>1993</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3419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1996</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1997</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1998</v>
      </c>
      <c r="E23" s="717">
        <v>44197</v>
      </c>
      <c r="F23" s="1896" t="s">
        <v>1999</v>
      </c>
      <c r="G23" s="718">
        <f>'数据-取费表'!B2</f>
        <v>45889</v>
      </c>
      <c r="H23" s="3049" t="s">
        <v>3243</v>
      </c>
      <c r="I23" s="3050" t="str">
        <f>IF(H23="季度增幅（自定义）",SUMIF(N25:N28,E2,O25:O28),"")</f>
        <v/>
      </c>
      <c r="J23" s="3142" t="s">
        <v>3242</v>
      </c>
      <c r="K23" s="1061"/>
      <c r="L23" s="1897" t="s">
        <v>2000</v>
      </c>
      <c r="M23" s="1241">
        <f>ROUND(SUMIF(地价!B2:G2,E2,地价!B16:G16),0)</f>
        <v>350</v>
      </c>
      <c r="N23" s="1898" t="s">
        <v>2001</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2002</v>
      </c>
      <c r="C24" s="720">
        <f>ROUND(POWER(1+G24,J24-I24)*(POWER(1+G24,I24)-1)/(POWER(1+G24,J24)-1),4)</f>
        <v>0.72409999999999997</v>
      </c>
      <c r="D24" s="1902" t="s">
        <v>2003</v>
      </c>
      <c r="E24" s="1248">
        <f>存贷款利率!E28/100</f>
        <v>4.3499999999999997E-2</v>
      </c>
      <c r="F24" s="1902" t="s">
        <v>1995</v>
      </c>
      <c r="G24" s="724">
        <f>SUMIF(M30:Q30,E2,M33:Q33)</f>
        <v>5.5E-2</v>
      </c>
      <c r="H24" s="1902" t="s">
        <v>2004</v>
      </c>
      <c r="I24" s="725">
        <f>SUMIF('数据-取费表'!C6:C15,E2,'数据-取费表'!F6:F15)/COUNTIF('数据-取费表'!C6:C15,E2)</f>
        <v>19.03</v>
      </c>
      <c r="J24" s="726">
        <f>IF(E2="住宅",70,IF(E2="商业",40,50))</f>
        <v>40</v>
      </c>
      <c r="K24" s="1061"/>
      <c r="L24" s="1903" t="s">
        <v>2005</v>
      </c>
      <c r="M24" s="1242">
        <f>ROUND(SUMPRODUCT((地价!A4:A16=YEAR(G23)&amp;"-"&amp;ROUNDUP(MONTH(G23)/3,0))*(地价!B2:G2=E2)*(地价!B4:G16)),0)</f>
        <v>0</v>
      </c>
      <c r="N24" s="1904" t="s">
        <v>2006</v>
      </c>
      <c r="O24" s="1905" t="s">
        <v>2007</v>
      </c>
      <c r="P24" s="1906" t="s">
        <v>2008</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3433</v>
      </c>
      <c r="C25" s="461">
        <f>IF(B25="容积率修正",IF(G3&lt;10,D26,J26),C27)</f>
        <v>1.5206</v>
      </c>
      <c r="D25" s="1909"/>
      <c r="E25" s="1909"/>
      <c r="F25" s="1909"/>
      <c r="G25" s="1909"/>
      <c r="H25" s="1909"/>
      <c r="I25" s="1909"/>
      <c r="J25" s="1910"/>
      <c r="K25" s="1061"/>
      <c r="L25" s="2553"/>
      <c r="M25" s="2553"/>
      <c r="N25" s="1911" t="s">
        <v>2009</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2010</v>
      </c>
      <c r="B26" s="1912" t="s">
        <v>2011</v>
      </c>
      <c r="C26" s="1912" t="s">
        <v>3244</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3245</v>
      </c>
      <c r="J26" s="374" t="str">
        <f>IF(G3&gt;=10,D115,"——")</f>
        <v>——</v>
      </c>
      <c r="K26" s="1061"/>
      <c r="L26" s="2553"/>
      <c r="M26" s="2553"/>
      <c r="N26" s="1911" t="s">
        <v>2012</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2013</v>
      </c>
      <c r="B27" s="1913" t="s">
        <v>2014</v>
      </c>
      <c r="C27" s="791">
        <f>ROUND(IF(I3&lt;6,SUMPRODUCT((B106:B110=I3)*(C105:N105=G2)*(C106:N110)),SUMIF(C105:N105,G2,C112:N112)),4)</f>
        <v>1.5206</v>
      </c>
      <c r="D27" s="1842"/>
      <c r="E27" s="1842"/>
      <c r="F27" s="1914"/>
      <c r="G27" s="1915"/>
      <c r="H27" s="1916"/>
      <c r="I27" s="1917"/>
      <c r="J27" s="1918"/>
      <c r="K27" s="1056"/>
      <c r="L27" s="1844"/>
      <c r="M27" s="1844"/>
      <c r="N27" s="1911" t="s">
        <v>2015</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2016</v>
      </c>
      <c r="C28" s="716">
        <f>SUMIF(A47:A101,E2,B47:B101)</f>
        <v>1.0508999999999999</v>
      </c>
      <c r="D28" s="1894"/>
      <c r="E28" s="1919"/>
      <c r="F28" s="1919"/>
      <c r="G28" s="1919"/>
      <c r="H28" s="1919"/>
      <c r="I28" s="1919"/>
      <c r="J28" s="1920"/>
      <c r="K28" s="1061"/>
      <c r="L28" s="2553"/>
      <c r="M28" s="2553"/>
      <c r="N28" s="1921" t="s">
        <v>2017</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2018</v>
      </c>
      <c r="C29" s="721"/>
      <c r="D29" s="1868"/>
      <c r="E29" s="1868"/>
      <c r="F29" s="1923"/>
      <c r="G29" s="1868"/>
      <c r="H29" s="1868"/>
      <c r="I29" s="1868"/>
      <c r="J29" s="1869"/>
      <c r="K29" s="1056"/>
      <c r="L29" s="1844"/>
      <c r="M29" s="1844"/>
      <c r="N29" s="2550" t="s">
        <v>2019</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2020</v>
      </c>
      <c r="C30" s="2145">
        <f>IF(B25="容积率修正",E33+SUM(E37:E42),SUM(V2:V16)+SUM(E37:E42))</f>
        <v>85967</v>
      </c>
      <c r="D30" s="1925"/>
      <c r="E30" s="1842"/>
      <c r="F30" s="1926"/>
      <c r="G30" s="1842"/>
      <c r="H30" s="1842"/>
      <c r="I30" s="1842"/>
      <c r="J30" s="1927"/>
      <c r="K30" s="1056"/>
      <c r="L30" s="3056" t="s">
        <v>1932</v>
      </c>
      <c r="M30" s="3057" t="s">
        <v>1986</v>
      </c>
      <c r="N30" s="3057" t="s">
        <v>1987</v>
      </c>
      <c r="O30" s="3057" t="s">
        <v>1988</v>
      </c>
      <c r="P30" s="3057" t="s">
        <v>1989</v>
      </c>
      <c r="Q30" s="3060" t="s">
        <v>3249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2021</v>
      </c>
      <c r="C31" s="722">
        <f>E34+SUM(I37:I42)</f>
        <v>2788</v>
      </c>
      <c r="D31" s="1929"/>
      <c r="E31" s="1930"/>
      <c r="F31" s="1931"/>
      <c r="G31" s="1930"/>
      <c r="H31" s="1930"/>
      <c r="I31" s="1930"/>
      <c r="J31" s="1932"/>
      <c r="K31" s="1056"/>
      <c r="L31" s="3058" t="s">
        <v>1992</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2022</v>
      </c>
      <c r="C32" s="1935" t="s">
        <v>2023</v>
      </c>
      <c r="D32" s="1935" t="s">
        <v>2024</v>
      </c>
      <c r="E32" s="1936" t="s">
        <v>2025</v>
      </c>
      <c r="F32" s="1937"/>
      <c r="G32" s="1881"/>
      <c r="H32" s="1881"/>
      <c r="I32" s="1881"/>
      <c r="J32" s="1882"/>
      <c r="K32" s="1056"/>
      <c r="L32" s="3059" t="s">
        <v>1995</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2026</v>
      </c>
      <c r="C33" s="167">
        <f>ROUND(C5*C22*C23*C24*C25*C28,0)</f>
        <v>33207</v>
      </c>
      <c r="D33" s="1940">
        <f>'数据-汇总表'!F19</f>
        <v>29065.503999999997</v>
      </c>
      <c r="E33" s="727">
        <f>ROUND(C33*D33/10000,0)</f>
        <v>96518</v>
      </c>
      <c r="F33" s="3051" t="s">
        <v>3247</v>
      </c>
      <c r="G33" s="1941"/>
      <c r="H33" s="1941"/>
      <c r="I33" s="1941"/>
      <c r="J33" s="1942"/>
      <c r="K33" s="1056"/>
      <c r="L33" s="3054" t="s">
        <v>3250</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2027</v>
      </c>
      <c r="C34" s="179" t="e">
        <f>ROUND(IF(E2="工业",C33*M42,IF(B25="楼层修正",SUM(V2:V16)*M41*10000/D34,C33*M41)),0)</f>
        <v>#DIV/0!</v>
      </c>
      <c r="D34" s="1945"/>
      <c r="E34" s="727">
        <f>ROUND(IF(B25="楼层修正",SUM(V2:V16)*M40,C34*D34/10000),0)</f>
        <v>0</v>
      </c>
      <c r="F34" s="1946" t="s">
        <v>2028</v>
      </c>
      <c r="G34" s="1947"/>
      <c r="H34" s="1947"/>
      <c r="I34" s="1947"/>
      <c r="J34" s="1948"/>
      <c r="K34" s="1056"/>
      <c r="L34" s="3054" t="s">
        <v>3251</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2029</v>
      </c>
      <c r="C35" s="3052" t="s">
        <v>3248</v>
      </c>
      <c r="D35" s="1881"/>
      <c r="E35" s="1951"/>
      <c r="F35" s="1951"/>
      <c r="G35" s="1879" t="s">
        <v>2030</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2023</v>
      </c>
      <c r="D36" s="433" t="s">
        <v>2024</v>
      </c>
      <c r="E36" s="433" t="s">
        <v>2025</v>
      </c>
      <c r="F36" s="333" t="s">
        <v>2031</v>
      </c>
      <c r="G36" s="1954" t="s">
        <v>2023</v>
      </c>
      <c r="H36" s="1954" t="s">
        <v>2024</v>
      </c>
      <c r="I36" s="1954" t="s">
        <v>2025</v>
      </c>
      <c r="J36" s="235"/>
      <c r="K36" s="1964" t="s">
        <v>3252</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8"/>
      <c r="B37" s="1955" t="s">
        <v>2032</v>
      </c>
      <c r="C37" s="167">
        <f>ROUND(D5*C22*C23*C24*C28*F37,0)</f>
        <v>15287</v>
      </c>
      <c r="D37" s="1940">
        <f>面积!I24</f>
        <v>7266.3759999999993</v>
      </c>
      <c r="E37" s="163">
        <f>ROUND(C37*D37/10000,0)</f>
        <v>11108</v>
      </c>
      <c r="F37" s="163">
        <f>SUMIF(修正!A59:A70,G2,修正!B59:B70)</f>
        <v>0.7</v>
      </c>
      <c r="G37" s="163">
        <f>ROUND(IF(E2="工业",C37*$M$42,C37*$M$41),0)</f>
        <v>3822</v>
      </c>
      <c r="H37" s="163">
        <f>D37</f>
        <v>7266.3759999999993</v>
      </c>
      <c r="I37" s="163">
        <f>ROUND(G37*H37/10000,0)</f>
        <v>2777</v>
      </c>
      <c r="J37" s="2755"/>
      <c r="K37" s="3062" t="s">
        <v>3253</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9"/>
      <c r="B38" s="1884" t="s">
        <v>2033</v>
      </c>
      <c r="C38" s="167">
        <f>ROUND(D5*C22*C23*C24*C28*F38,0)</f>
        <v>8735</v>
      </c>
      <c r="D38" s="1940"/>
      <c r="E38" s="163">
        <f t="shared" ref="E38:E42" si="4">ROUND(C38*D38/10000,0)</f>
        <v>0</v>
      </c>
      <c r="F38" s="163">
        <f>SUMIF(修正!A59:A70,G2,修正!C59:C70)</f>
        <v>0.4</v>
      </c>
      <c r="G38" s="163">
        <f>ROUND(IF(E2="工业",C38*$M$42,C38*$M$41),0)</f>
        <v>2184</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9"/>
      <c r="B39" s="1884" t="s">
        <v>3246</v>
      </c>
      <c r="C39" s="167">
        <f>ROUND(D5*C22*C23*C24*C28*F39,0)</f>
        <v>6551</v>
      </c>
      <c r="D39" s="1940"/>
      <c r="E39" s="163">
        <f t="shared" si="4"/>
        <v>0</v>
      </c>
      <c r="F39" s="163">
        <f>SUMIF(修正!A59:A70,G2,修正!D59:D70)</f>
        <v>0.3</v>
      </c>
      <c r="G39" s="163">
        <f>ROUND(IF(E2="工业",C39*$M$42,C39*$M$41),0)</f>
        <v>1638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2034</v>
      </c>
      <c r="C40" s="163">
        <f>ROUND(D5*C22*C23*C24*C28*F40,0)</f>
        <v>6551</v>
      </c>
      <c r="D40" s="1940"/>
      <c r="E40" s="163">
        <f t="shared" si="4"/>
        <v>0</v>
      </c>
      <c r="F40" s="167">
        <f>SUMIF(修正!A59:A70,G2,修正!E59:E70)</f>
        <v>0.3</v>
      </c>
      <c r="G40" s="163">
        <f>ROUND(IF(E2="工业",C40*$M$42,C40*$M$41),0)</f>
        <v>1638</v>
      </c>
      <c r="H40" s="163">
        <f t="shared" si="5"/>
        <v>0</v>
      </c>
      <c r="I40" s="163">
        <f t="shared" si="6"/>
        <v>0</v>
      </c>
      <c r="J40" s="939"/>
      <c r="L40" s="1957" t="s">
        <v>2035</v>
      </c>
      <c r="M40" s="1958"/>
      <c r="Z40" s="1057"/>
      <c r="AA40" s="1057"/>
      <c r="AB40" s="1057"/>
      <c r="AC40" s="1057"/>
      <c r="AD40" s="1057"/>
      <c r="AE40" s="1057"/>
      <c r="AF40" s="1057"/>
      <c r="AG40" s="1057"/>
      <c r="AH40" s="1057"/>
      <c r="AI40" s="1057"/>
      <c r="AJ40" s="1057"/>
    </row>
    <row r="41" spans="1:37" s="1056" customFormat="1">
      <c r="A41" s="1956"/>
      <c r="B41" s="1884" t="s">
        <v>2036</v>
      </c>
      <c r="C41" s="163">
        <f>ROUND(D5*C22*C23*C44*C28*F41,0)</f>
        <v>7663</v>
      </c>
      <c r="D41" s="1940">
        <f>'数据-基础表'!M13</f>
        <v>57.39</v>
      </c>
      <c r="E41" s="163">
        <f t="shared" si="4"/>
        <v>44</v>
      </c>
      <c r="F41" s="167">
        <f>SUMIF(修正!A59:A70,G2,修正!F59:F70)</f>
        <v>0.3</v>
      </c>
      <c r="G41" s="163">
        <f>ROUND(IF(E2="工业",C41*$M$42,C41*$M$41),0)</f>
        <v>1916</v>
      </c>
      <c r="H41" s="163">
        <f t="shared" si="5"/>
        <v>57.39</v>
      </c>
      <c r="I41" s="163">
        <f t="shared" si="6"/>
        <v>11</v>
      </c>
      <c r="J41" s="939"/>
      <c r="L41" s="3063" t="s">
        <v>3254</v>
      </c>
      <c r="M41" s="1959">
        <v>0.25</v>
      </c>
      <c r="Z41" s="1057"/>
      <c r="AA41" s="1057"/>
      <c r="AB41" s="1057"/>
      <c r="AC41" s="1057"/>
      <c r="AD41" s="1057"/>
      <c r="AE41" s="1057"/>
      <c r="AF41" s="1057"/>
      <c r="AG41" s="1057"/>
      <c r="AH41" s="1057"/>
      <c r="AI41" s="1057"/>
      <c r="AJ41" s="1057"/>
    </row>
    <row r="42" spans="1:37" s="1056" customFormat="1" ht="13.5" thickBot="1">
      <c r="A42" s="1943"/>
      <c r="B42" s="1960" t="s">
        <v>2037</v>
      </c>
      <c r="C42" s="179">
        <f>ROUND(D5*C22*C23*C44*C28*F42,0)</f>
        <v>5109</v>
      </c>
      <c r="D42" s="1945"/>
      <c r="E42" s="179">
        <f t="shared" si="4"/>
        <v>0</v>
      </c>
      <c r="F42" s="723">
        <f>SUMIF(修正!A59:A70,G2,修正!G59:G70)</f>
        <v>0.2</v>
      </c>
      <c r="G42" s="179">
        <f>ROUND(IF(E2="工业",C42*$M$42,C42*$M$41),0)</f>
        <v>1277</v>
      </c>
      <c r="H42" s="179">
        <f t="shared" si="5"/>
        <v>0</v>
      </c>
      <c r="I42" s="179">
        <f t="shared" si="6"/>
        <v>0</v>
      </c>
      <c r="J42" s="1961"/>
      <c r="L42" s="1962" t="s">
        <v>1989</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2118</v>
      </c>
      <c r="C44" s="333">
        <f>ROUND(POWER(1+E44,H44-G44)*(POWER(1+E44,G44)-1)/(POWER(1+E44,H44)-1),4)</f>
        <v>0.84699999999999998</v>
      </c>
      <c r="D44" s="163" t="s">
        <v>1995</v>
      </c>
      <c r="E44" s="1991">
        <f>G24</f>
        <v>5.5E-2</v>
      </c>
      <c r="F44" s="163" t="s">
        <v>2004</v>
      </c>
      <c r="G44" s="175">
        <f>项目基本情况!F15</f>
        <v>29.04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2038</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2039</v>
      </c>
      <c r="B48" s="1968">
        <f>1+E50</f>
        <v>1.0508999999999999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2040</v>
      </c>
      <c r="B49" s="1262" t="s">
        <v>2041</v>
      </c>
      <c r="C49" s="1262" t="s">
        <v>2042</v>
      </c>
      <c r="D49" s="1262" t="s">
        <v>2043</v>
      </c>
      <c r="E49" s="701" t="s">
        <v>2044</v>
      </c>
      <c r="F49" s="1971" t="s">
        <v>2045</v>
      </c>
      <c r="G49" s="1262" t="s">
        <v>310</v>
      </c>
      <c r="H49" s="1972" t="s">
        <v>2046</v>
      </c>
      <c r="I49" s="1262" t="s">
        <v>2047</v>
      </c>
      <c r="J49" s="530" t="s">
        <v>1717</v>
      </c>
      <c r="K49" s="530" t="s">
        <v>1718</v>
      </c>
      <c r="L49" s="530" t="s">
        <v>1719</v>
      </c>
      <c r="M49" s="530" t="s">
        <v>1720</v>
      </c>
      <c r="N49" s="530" t="s">
        <v>1721</v>
      </c>
      <c r="AA49" s="1057"/>
      <c r="AB49" s="1057"/>
      <c r="AC49" s="1057"/>
      <c r="AD49" s="1057"/>
      <c r="AE49" s="1057"/>
      <c r="AF49" s="1057"/>
      <c r="AG49" s="1057"/>
      <c r="AH49" s="1057"/>
      <c r="AI49" s="1057"/>
      <c r="AJ49" s="1057"/>
      <c r="AK49" s="1057"/>
    </row>
    <row r="50" spans="1:37" s="1056" customFormat="1" ht="24.75">
      <c r="A50" s="1970" t="s">
        <v>2048</v>
      </c>
      <c r="B50" s="1973">
        <f>估价对象房地状况!C4</f>
        <v>0</v>
      </c>
      <c r="C50" s="1887" t="s">
        <v>3434</v>
      </c>
      <c r="D50" s="1002">
        <f t="shared" ref="D50:D58" si="7">SUMIF($J$49:$N$49,C50,J50:N50)</f>
        <v>1.4200000000000001E-2</v>
      </c>
      <c r="E50" s="702">
        <f>ROUND(SUM(D50:D58),4)</f>
        <v>5.0900000000000001E-2</v>
      </c>
      <c r="F50" s="1675">
        <f>IF(E2="商业",SUMIF(L1:L12,G2,N1:N12),"——")</f>
        <v>9.5000000000000001E-2</v>
      </c>
      <c r="G50" s="1000">
        <f>H50</f>
        <v>1.4200000000000001E-2</v>
      </c>
      <c r="H50" s="1003">
        <f t="shared" ref="H50:H58" si="8">IFERROR(ROUNDDOWN($F$50*I50/2,4),"——")</f>
        <v>1.4200000000000001E-2</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14.25">
      <c r="A51" s="1970" t="s">
        <v>2049</v>
      </c>
      <c r="B51" s="1262">
        <f>估价对象房地状况!C18</f>
        <v>0</v>
      </c>
      <c r="C51" s="1887" t="s">
        <v>3434</v>
      </c>
      <c r="D51" s="1002">
        <f t="shared" si="7"/>
        <v>1.04E-2</v>
      </c>
      <c r="E51" s="703"/>
      <c r="F51" s="1675"/>
      <c r="G51" s="1000">
        <f t="shared" ref="G51:G58" si="12">H51</f>
        <v>1.04E-2</v>
      </c>
      <c r="H51" s="1003">
        <f t="shared" si="8"/>
        <v>1.04E-2</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1" t="s">
        <v>3256</v>
      </c>
      <c r="B52" s="1262">
        <f>估价对象房地状况!C19</f>
        <v>0</v>
      </c>
      <c r="C52" s="1887" t="s">
        <v>3434</v>
      </c>
      <c r="D52" s="1002">
        <f t="shared" si="7"/>
        <v>5.7000000000000002E-3</v>
      </c>
      <c r="E52" s="703"/>
      <c r="F52" s="1675"/>
      <c r="G52" s="1000">
        <f t="shared" si="12"/>
        <v>5.7000000000000002E-3</v>
      </c>
      <c r="H52" s="1003">
        <f t="shared" si="8"/>
        <v>5.7000000000000002E-3</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2050</v>
      </c>
      <c r="B53" s="1974" t="s">
        <v>2051</v>
      </c>
      <c r="C53" s="1887" t="s">
        <v>3434</v>
      </c>
      <c r="D53" s="1002">
        <f t="shared" si="7"/>
        <v>2.3E-3</v>
      </c>
      <c r="E53" s="703"/>
      <c r="F53" s="1675"/>
      <c r="G53" s="1000">
        <f t="shared" si="12"/>
        <v>2.3E-3</v>
      </c>
      <c r="H53" s="1003">
        <f t="shared" si="8"/>
        <v>2.3E-3</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2052</v>
      </c>
      <c r="B54" s="1262">
        <f>估价对象房地状况!C24</f>
        <v>0</v>
      </c>
      <c r="C54" s="1887" t="s">
        <v>3434</v>
      </c>
      <c r="D54" s="1002">
        <f t="shared" si="7"/>
        <v>3.8E-3</v>
      </c>
      <c r="E54" s="703"/>
      <c r="F54" s="1675"/>
      <c r="G54" s="1000">
        <f t="shared" si="12"/>
        <v>3.8E-3</v>
      </c>
      <c r="H54" s="1003">
        <f t="shared" si="8"/>
        <v>3.8E-3</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2053</v>
      </c>
      <c r="B55" s="1975" t="s">
        <v>2054</v>
      </c>
      <c r="C55" s="1887" t="s">
        <v>3434</v>
      </c>
      <c r="D55" s="1002">
        <f t="shared" si="7"/>
        <v>2.3E-3</v>
      </c>
      <c r="E55" s="703"/>
      <c r="F55" s="1675"/>
      <c r="G55" s="1000">
        <f t="shared" si="12"/>
        <v>2.3E-3</v>
      </c>
      <c r="H55" s="1003">
        <f t="shared" si="8"/>
        <v>2.3E-3</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4">
      <c r="A56" s="1976" t="s">
        <v>2055</v>
      </c>
      <c r="B56" s="1240">
        <f>估价对象房地状况!C21</f>
        <v>0</v>
      </c>
      <c r="C56" s="1887" t="s">
        <v>3434</v>
      </c>
      <c r="D56" s="1002">
        <f t="shared" si="7"/>
        <v>2.3E-3</v>
      </c>
      <c r="E56" s="703"/>
      <c r="F56" s="1675"/>
      <c r="G56" s="1000">
        <f t="shared" si="12"/>
        <v>2.3E-3</v>
      </c>
      <c r="H56" s="1003">
        <f t="shared" si="8"/>
        <v>2.3E-3</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4">
      <c r="A57" s="1976" t="s">
        <v>2056</v>
      </c>
      <c r="B57" s="1262">
        <f>估价对象房地状况!C22</f>
        <v>0</v>
      </c>
      <c r="C57" s="1887" t="s">
        <v>3435</v>
      </c>
      <c r="D57" s="1002">
        <f t="shared" si="7"/>
        <v>7.6E-3</v>
      </c>
      <c r="E57" s="703"/>
      <c r="F57" s="1675"/>
      <c r="G57" s="1000">
        <f t="shared" si="12"/>
        <v>3.8E-3</v>
      </c>
      <c r="H57" s="1003">
        <f t="shared" si="8"/>
        <v>3.8E-3</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4.75" thickBot="1">
      <c r="A58" s="1977" t="s">
        <v>2057</v>
      </c>
      <c r="B58" s="1978">
        <f>估价对象房地状况!C20</f>
        <v>0</v>
      </c>
      <c r="C58" s="1887" t="s">
        <v>3434</v>
      </c>
      <c r="D58" s="1002">
        <f t="shared" si="7"/>
        <v>2.3E-3</v>
      </c>
      <c r="E58" s="704"/>
      <c r="F58" s="1675"/>
      <c r="G58" s="1000">
        <f t="shared" si="12"/>
        <v>2.3E-3</v>
      </c>
      <c r="H58" s="1003">
        <f t="shared" si="8"/>
        <v>2.3E-3</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2058</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2040</v>
      </c>
      <c r="B60" s="1262"/>
      <c r="C60" s="1262" t="s">
        <v>2042</v>
      </c>
      <c r="D60" s="1262" t="s">
        <v>2043</v>
      </c>
      <c r="E60" s="701" t="s">
        <v>2044</v>
      </c>
      <c r="F60" s="1971" t="s">
        <v>2059</v>
      </c>
      <c r="G60" s="1262" t="s">
        <v>310</v>
      </c>
      <c r="H60" s="1972" t="s">
        <v>2046</v>
      </c>
      <c r="I60" s="1262" t="s">
        <v>2047</v>
      </c>
      <c r="J60" s="530" t="s">
        <v>1717</v>
      </c>
      <c r="K60" s="530" t="s">
        <v>1718</v>
      </c>
      <c r="L60" s="530" t="s">
        <v>1719</v>
      </c>
      <c r="M60" s="530" t="s">
        <v>1720</v>
      </c>
      <c r="N60" s="530" t="s">
        <v>1721</v>
      </c>
      <c r="AA60" s="1057"/>
      <c r="AB60" s="1057"/>
      <c r="AC60" s="1057"/>
      <c r="AD60" s="1057"/>
      <c r="AE60" s="1057"/>
      <c r="AF60" s="1057"/>
      <c r="AG60" s="1057"/>
      <c r="AH60" s="1057"/>
      <c r="AI60" s="1057"/>
      <c r="AJ60" s="1057"/>
      <c r="AK60" s="1057"/>
    </row>
    <row r="61" spans="1:37" s="1056" customFormat="1" ht="24">
      <c r="A61" s="1970" t="s">
        <v>2060</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2049</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3256</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2050</v>
      </c>
      <c r="B64" s="1974" t="s">
        <v>2051</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2052</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2053</v>
      </c>
      <c r="B66" s="1975" t="s">
        <v>2054</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2055</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2056</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2057</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2061</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2040</v>
      </c>
      <c r="B71" s="1262"/>
      <c r="C71" s="1262" t="s">
        <v>2042</v>
      </c>
      <c r="D71" s="1262" t="s">
        <v>2043</v>
      </c>
      <c r="E71" s="701" t="s">
        <v>2044</v>
      </c>
      <c r="F71" s="1971" t="s">
        <v>2059</v>
      </c>
      <c r="G71" s="1262" t="s">
        <v>310</v>
      </c>
      <c r="H71" s="1972" t="s">
        <v>2046</v>
      </c>
      <c r="I71" s="1262" t="s">
        <v>2047</v>
      </c>
      <c r="J71" s="530" t="s">
        <v>1717</v>
      </c>
      <c r="K71" s="530" t="s">
        <v>1718</v>
      </c>
      <c r="L71" s="530" t="s">
        <v>1719</v>
      </c>
      <c r="M71" s="530" t="s">
        <v>1720</v>
      </c>
      <c r="N71" s="530" t="s">
        <v>1721</v>
      </c>
      <c r="AA71" s="1057"/>
      <c r="AB71" s="1057"/>
      <c r="AC71" s="1057"/>
      <c r="AD71" s="1057"/>
      <c r="AE71" s="1057"/>
      <c r="AF71" s="1057"/>
      <c r="AG71" s="1057"/>
      <c r="AH71" s="1057"/>
      <c r="AI71" s="1057"/>
      <c r="AJ71" s="1057"/>
      <c r="AK71" s="1057"/>
    </row>
    <row r="72" spans="1:37" s="1056" customFormat="1" ht="24">
      <c r="A72" s="1970" t="s">
        <v>2062</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2049</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3256</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2063</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2055</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2056</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2053</v>
      </c>
      <c r="B78" s="1975" t="s">
        <v>2054</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2057</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2064</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2065</v>
      </c>
      <c r="B81" s="1968">
        <f>1+E83</f>
        <v>1</v>
      </c>
      <c r="C81" s="699"/>
      <c r="D81" s="699"/>
      <c r="E81" s="700"/>
      <c r="F81" s="1969"/>
      <c r="G81" s="3"/>
      <c r="H81" s="3"/>
      <c r="I81" s="3"/>
      <c r="J81" s="4"/>
      <c r="K81" s="4"/>
      <c r="L81" s="4"/>
      <c r="M81" s="4"/>
      <c r="N81" s="4"/>
      <c r="Z81" s="1845"/>
      <c r="AA81" s="1895"/>
      <c r="AG81" s="1058"/>
      <c r="AK81" s="1895"/>
    </row>
    <row r="82" spans="1:37" ht="24.75">
      <c r="A82" s="1970" t="s">
        <v>2040</v>
      </c>
      <c r="B82" s="1262"/>
      <c r="C82" s="1262" t="s">
        <v>2042</v>
      </c>
      <c r="D82" s="1262" t="s">
        <v>2043</v>
      </c>
      <c r="E82" s="701" t="s">
        <v>2044</v>
      </c>
      <c r="F82" s="1971" t="s">
        <v>2059</v>
      </c>
      <c r="G82" s="1262" t="s">
        <v>310</v>
      </c>
      <c r="H82" s="1972" t="s">
        <v>2046</v>
      </c>
      <c r="I82" s="1262" t="s">
        <v>2047</v>
      </c>
      <c r="J82" s="530" t="s">
        <v>1717</v>
      </c>
      <c r="K82" s="530" t="s">
        <v>1718</v>
      </c>
      <c r="L82" s="530" t="s">
        <v>1719</v>
      </c>
      <c r="M82" s="530" t="s">
        <v>1720</v>
      </c>
      <c r="N82" s="530" t="s">
        <v>1721</v>
      </c>
      <c r="Z82" s="1845"/>
      <c r="AA82" s="1895"/>
      <c r="AG82" s="1058"/>
      <c r="AK82" s="1895"/>
    </row>
    <row r="83" spans="1:37" ht="24">
      <c r="A83" s="1970" t="s">
        <v>2066</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2049</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3257</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2063</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2055</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2056</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2053</v>
      </c>
      <c r="B89" s="1975" t="s">
        <v>2067</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2068</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2599</v>
      </c>
      <c r="B91" s="3080">
        <f>1+E93</f>
        <v>1</v>
      </c>
      <c r="C91" s="3073"/>
      <c r="D91" s="3074"/>
      <c r="E91" s="1675"/>
      <c r="F91" s="1675"/>
      <c r="G91" s="3075"/>
      <c r="H91" s="3076"/>
      <c r="I91" s="3077"/>
      <c r="J91" s="3078"/>
      <c r="K91" s="3078"/>
      <c r="L91" s="3078"/>
      <c r="M91" s="3078"/>
      <c r="N91" s="3078"/>
    </row>
    <row r="92" spans="1:37" ht="24.75">
      <c r="A92" s="3081" t="s">
        <v>3258</v>
      </c>
      <c r="B92" s="2310"/>
      <c r="C92" s="2310" t="s">
        <v>3267</v>
      </c>
      <c r="D92" s="2310" t="s">
        <v>3268</v>
      </c>
      <c r="E92" s="3053" t="s">
        <v>3269</v>
      </c>
      <c r="F92" s="3083" t="s">
        <v>3270</v>
      </c>
      <c r="G92" s="2310" t="s">
        <v>3271</v>
      </c>
      <c r="H92" s="3090" t="s">
        <v>3274</v>
      </c>
      <c r="I92" s="2310" t="s">
        <v>3275</v>
      </c>
      <c r="J92" s="2150" t="s">
        <v>3276</v>
      </c>
      <c r="K92" s="2150" t="s">
        <v>3277</v>
      </c>
      <c r="L92" s="2150" t="s">
        <v>3278</v>
      </c>
      <c r="M92" s="2150" t="s">
        <v>3279</v>
      </c>
      <c r="N92" s="2150" t="s">
        <v>3280</v>
      </c>
    </row>
    <row r="93" spans="1:37" ht="24">
      <c r="A93" s="3071" t="s">
        <v>3259</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3260</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3256</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3261</v>
      </c>
      <c r="B96" s="3087" t="s">
        <v>3272</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3262</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3263</v>
      </c>
      <c r="B98" s="3088" t="s">
        <v>3273</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3264</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3265</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3266</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86" t="s">
        <v>3281</v>
      </c>
      <c r="B103" s="3386"/>
      <c r="C103" s="3386"/>
      <c r="D103" s="3386"/>
      <c r="E103" s="3386"/>
      <c r="F103" s="3386"/>
      <c r="G103" s="3386"/>
      <c r="H103" s="3386"/>
      <c r="I103" s="3386"/>
      <c r="J103" s="3386"/>
      <c r="K103" s="1667"/>
      <c r="L103" s="1667"/>
      <c r="M103" s="1667"/>
      <c r="N103" s="1667"/>
    </row>
    <row r="104" spans="1:14">
      <c r="A104" s="3387" t="s">
        <v>3282</v>
      </c>
      <c r="B104" s="3387" t="s">
        <v>3283</v>
      </c>
      <c r="C104" s="3091" t="s">
        <v>3284</v>
      </c>
      <c r="D104" s="3092"/>
      <c r="E104" s="3092"/>
      <c r="F104" s="3092"/>
      <c r="G104" s="3092"/>
      <c r="H104" s="3092"/>
      <c r="I104" s="3092"/>
      <c r="J104" s="3093"/>
      <c r="K104" s="3094"/>
      <c r="L104" s="3094"/>
      <c r="M104" s="3094"/>
      <c r="N104" s="3094"/>
    </row>
    <row r="105" spans="1:14">
      <c r="A105" s="3387"/>
      <c r="B105" s="3387"/>
      <c r="C105" s="3095" t="s">
        <v>3285</v>
      </c>
      <c r="D105" s="3095" t="s">
        <v>3286</v>
      </c>
      <c r="E105" s="3095" t="s">
        <v>3287</v>
      </c>
      <c r="F105" s="3095" t="s">
        <v>3288</v>
      </c>
      <c r="G105" s="3095" t="s">
        <v>3289</v>
      </c>
      <c r="H105" s="3095" t="s">
        <v>3290</v>
      </c>
      <c r="I105" s="3095" t="s">
        <v>3291</v>
      </c>
      <c r="J105" s="3095" t="s">
        <v>3292</v>
      </c>
      <c r="K105" s="3095" t="s">
        <v>3293</v>
      </c>
      <c r="L105" s="3095" t="s">
        <v>3294</v>
      </c>
      <c r="M105" s="3095" t="s">
        <v>3295</v>
      </c>
      <c r="N105" s="3095" t="s">
        <v>3296</v>
      </c>
    </row>
    <row r="106" spans="1:14">
      <c r="A106" s="3373" t="s">
        <v>3297</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7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7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7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7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74"/>
      <c r="B111" s="3095" t="s">
        <v>3255</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375"/>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376" t="s">
        <v>3298</v>
      </c>
      <c r="B113" s="3376"/>
      <c r="C113" s="3376"/>
      <c r="D113" s="3376"/>
      <c r="E113" s="3376"/>
      <c r="F113" s="3376"/>
      <c r="G113" s="3376"/>
      <c r="H113" s="3376"/>
      <c r="I113" s="3376"/>
      <c r="J113" s="337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3299</v>
      </c>
      <c r="B116" s="3115">
        <f>G3</f>
        <v>3.5</v>
      </c>
      <c r="C116" s="3100" t="s">
        <v>3300</v>
      </c>
      <c r="D116" s="3101">
        <f>SUMPRODUCT((A118:A122=F116)*(B117:M117=H116)*B118:M122)</f>
        <v>0.95830000000000004</v>
      </c>
      <c r="E116" s="162" t="s">
        <v>3301</v>
      </c>
      <c r="F116" s="3102" t="str">
        <f>E2</f>
        <v>商业</v>
      </c>
      <c r="G116" s="162" t="s">
        <v>3302</v>
      </c>
      <c r="H116" s="3102" t="str">
        <f>G2</f>
        <v>二级</v>
      </c>
      <c r="I116" s="162"/>
      <c r="J116" s="3103"/>
      <c r="K116" s="3103"/>
      <c r="L116" s="3103"/>
      <c r="M116" s="3103"/>
      <c r="N116" s="3098"/>
    </row>
    <row r="117" spans="1:14">
      <c r="A117" s="3104"/>
      <c r="B117" s="3105" t="s">
        <v>3303</v>
      </c>
      <c r="C117" s="3105" t="s">
        <v>3304</v>
      </c>
      <c r="D117" s="3105" t="s">
        <v>3305</v>
      </c>
      <c r="E117" s="3106" t="s">
        <v>3306</v>
      </c>
      <c r="F117" s="3106" t="s">
        <v>3307</v>
      </c>
      <c r="G117" s="3106" t="s">
        <v>3308</v>
      </c>
      <c r="H117" s="3107" t="s">
        <v>3309</v>
      </c>
      <c r="I117" s="3107" t="s">
        <v>3310</v>
      </c>
      <c r="J117" s="3108" t="s">
        <v>3311</v>
      </c>
      <c r="K117" s="3108" t="s">
        <v>3312</v>
      </c>
      <c r="L117" s="3108" t="s">
        <v>3313</v>
      </c>
      <c r="M117" s="3109" t="s">
        <v>3314</v>
      </c>
      <c r="N117" s="3098"/>
    </row>
    <row r="118" spans="1:14">
      <c r="A118" s="3058" t="s">
        <v>3315</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6">I118</f>
        <v>0.78559999999999997</v>
      </c>
      <c r="K118" s="3090">
        <f t="shared" si="36"/>
        <v>0.78559999999999997</v>
      </c>
      <c r="L118" s="3090">
        <f t="shared" si="36"/>
        <v>0.78559999999999997</v>
      </c>
      <c r="M118" s="3110">
        <f t="shared" si="36"/>
        <v>0.78559999999999997</v>
      </c>
      <c r="N118" s="3098"/>
    </row>
    <row r="119" spans="1:14">
      <c r="A119" s="3058" t="s">
        <v>3316</v>
      </c>
      <c r="B119" s="3090">
        <f>ROUND(0.993-0.0112*B116,4)</f>
        <v>0.95379999999999998</v>
      </c>
      <c r="C119" s="3090">
        <f>B119</f>
        <v>0.95379999999999998</v>
      </c>
      <c r="D119" s="3090">
        <f>ROUND(0.9415-0.0142*B116,4)</f>
        <v>0.89180000000000004</v>
      </c>
      <c r="E119" s="3090">
        <f t="shared" ref="E119:H120" si="37">D119</f>
        <v>0.89180000000000004</v>
      </c>
      <c r="F119" s="3090">
        <f t="shared" si="37"/>
        <v>0.89180000000000004</v>
      </c>
      <c r="G119" s="3090">
        <f t="shared" si="37"/>
        <v>0.89180000000000004</v>
      </c>
      <c r="H119" s="3090">
        <f t="shared" si="37"/>
        <v>0.89180000000000004</v>
      </c>
      <c r="I119" s="3090">
        <f>ROUND(0.838-0.0182*B116,4)</f>
        <v>0.77429999999999999</v>
      </c>
      <c r="J119" s="3090">
        <f t="shared" si="36"/>
        <v>0.77429999999999999</v>
      </c>
      <c r="K119" s="3090">
        <f t="shared" si="36"/>
        <v>0.77429999999999999</v>
      </c>
      <c r="L119" s="3090">
        <f t="shared" si="36"/>
        <v>0.77429999999999999</v>
      </c>
      <c r="M119" s="3110">
        <f t="shared" si="36"/>
        <v>0.77429999999999999</v>
      </c>
      <c r="N119" s="3098"/>
    </row>
    <row r="120" spans="1:14">
      <c r="A120" s="3058" t="s">
        <v>3317</v>
      </c>
      <c r="B120" s="3090">
        <f>ROUND(0.9448-0.0115*B116,4)</f>
        <v>0.90459999999999996</v>
      </c>
      <c r="C120" s="3090">
        <f>B120</f>
        <v>0.90459999999999996</v>
      </c>
      <c r="D120" s="3090">
        <f>ROUND(0.937-0.0145*B116,4)</f>
        <v>0.88629999999999998</v>
      </c>
      <c r="E120" s="3090">
        <f t="shared" si="37"/>
        <v>0.88629999999999998</v>
      </c>
      <c r="F120" s="3090">
        <f t="shared" si="37"/>
        <v>0.88629999999999998</v>
      </c>
      <c r="G120" s="3090">
        <f t="shared" si="37"/>
        <v>0.88629999999999998</v>
      </c>
      <c r="H120" s="3090">
        <f t="shared" si="37"/>
        <v>0.88629999999999998</v>
      </c>
      <c r="I120" s="3090">
        <f>ROUND(0.7965-0.0185*B116,4)</f>
        <v>0.73180000000000001</v>
      </c>
      <c r="J120" s="3090">
        <f t="shared" si="36"/>
        <v>0.73180000000000001</v>
      </c>
      <c r="K120" s="3090">
        <f t="shared" si="36"/>
        <v>0.73180000000000001</v>
      </c>
      <c r="L120" s="3090">
        <f t="shared" si="36"/>
        <v>0.73180000000000001</v>
      </c>
      <c r="M120" s="3110">
        <f t="shared" si="36"/>
        <v>0.73180000000000001</v>
      </c>
      <c r="N120" s="3098"/>
    </row>
    <row r="121" spans="1:14" ht="13.5" thickBot="1">
      <c r="A121" s="3111" t="s">
        <v>3318</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6"/>
        <v>0.52400000000000002</v>
      </c>
      <c r="K121" s="3112">
        <f t="shared" si="36"/>
        <v>0.52400000000000002</v>
      </c>
      <c r="L121" s="3112">
        <f t="shared" si="36"/>
        <v>0.52400000000000002</v>
      </c>
      <c r="M121" s="3113">
        <f t="shared" si="36"/>
        <v>0.52400000000000002</v>
      </c>
      <c r="N121" s="3098"/>
    </row>
    <row r="122" spans="1:14">
      <c r="A122" s="3114" t="s">
        <v>2599</v>
      </c>
      <c r="B122" s="3090">
        <f>ROUND(0.9404-0.0106*B116,4)</f>
        <v>0.90329999999999999</v>
      </c>
      <c r="C122" s="3090">
        <f>B122</f>
        <v>0.90329999999999999</v>
      </c>
      <c r="D122" s="3090">
        <f>ROUND(0.8955-0.0135*B116,4)</f>
        <v>0.84830000000000005</v>
      </c>
      <c r="E122" s="3090">
        <f t="shared" ref="E122:H122" si="38">D122</f>
        <v>0.84830000000000005</v>
      </c>
      <c r="F122" s="3090">
        <f t="shared" si="38"/>
        <v>0.84830000000000005</v>
      </c>
      <c r="G122" s="3090">
        <f t="shared" si="38"/>
        <v>0.84830000000000005</v>
      </c>
      <c r="H122" s="3090">
        <f t="shared" si="38"/>
        <v>0.84830000000000005</v>
      </c>
      <c r="I122" s="3090">
        <f>ROUND(0.7632-0.0166*B116,4)</f>
        <v>0.70509999999999995</v>
      </c>
      <c r="J122" s="3090">
        <f t="shared" si="36"/>
        <v>0.70509999999999995</v>
      </c>
      <c r="K122" s="3090">
        <f t="shared" si="36"/>
        <v>0.70509999999999995</v>
      </c>
      <c r="L122" s="3090">
        <f t="shared" si="36"/>
        <v>0.70509999999999995</v>
      </c>
      <c r="M122" s="3110">
        <f t="shared" si="36"/>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F24" sqref="F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t="s">
        <v>3431</v>
      </c>
      <c r="D1" s="1271" t="s">
        <v>43</v>
      </c>
      <c r="E1" s="1272" t="s">
        <v>674</v>
      </c>
      <c r="F1" s="999">
        <f ca="1">J53</f>
        <v>19.03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800</v>
      </c>
      <c r="B2" s="1294">
        <f ca="1">C40+J29+L46</f>
        <v>69216</v>
      </c>
      <c r="C2" s="1289" t="s">
        <v>801</v>
      </c>
      <c r="D2" s="1289"/>
      <c r="E2" s="1295"/>
      <c r="F2" s="1296"/>
      <c r="G2" s="2479"/>
      <c r="H2" s="2469"/>
      <c r="I2" s="2469"/>
      <c r="J2" s="2469"/>
      <c r="K2" s="2470"/>
      <c r="L2" s="2469"/>
      <c r="M2" s="2469"/>
    </row>
    <row r="3" spans="1:37" ht="18" customHeight="1" thickBot="1">
      <c r="A3" s="1297" t="s">
        <v>802</v>
      </c>
      <c r="B3" s="1298">
        <f ca="1">IF(ISERROR(B2*10000/F43),0,ROUND(B2*10000/F43,0))</f>
        <v>19021</v>
      </c>
      <c r="C3" s="1289" t="s">
        <v>803</v>
      </c>
      <c r="D3" s="1289"/>
      <c r="E3" s="1295"/>
      <c r="F3" s="1296"/>
      <c r="G3" s="2479"/>
      <c r="H3" s="649" t="s">
        <v>872</v>
      </c>
      <c r="I3" s="1290"/>
      <c r="J3" s="1290"/>
      <c r="K3" s="1291"/>
      <c r="L3" s="1290"/>
      <c r="M3" s="1290"/>
    </row>
    <row r="4" spans="1:37" ht="18" customHeight="1">
      <c r="A4" s="287" t="s">
        <v>683</v>
      </c>
      <c r="B4" s="288" t="s">
        <v>684</v>
      </c>
      <c r="C4" s="288" t="s">
        <v>685</v>
      </c>
      <c r="D4" s="288" t="s">
        <v>686</v>
      </c>
      <c r="E4" s="289" t="s">
        <v>687</v>
      </c>
      <c r="F4" s="290"/>
      <c r="G4" s="1292"/>
      <c r="H4" s="287" t="s">
        <v>683</v>
      </c>
      <c r="I4" s="288" t="s">
        <v>684</v>
      </c>
      <c r="J4" s="288" t="s">
        <v>685</v>
      </c>
      <c r="K4" s="288" t="s">
        <v>686</v>
      </c>
      <c r="L4" s="289" t="s">
        <v>687</v>
      </c>
      <c r="M4" s="290"/>
    </row>
    <row r="5" spans="1:37" ht="18" customHeight="1">
      <c r="A5" s="291">
        <v>1</v>
      </c>
      <c r="B5" s="292" t="s">
        <v>688</v>
      </c>
      <c r="C5" s="1007">
        <f ca="1">C6+C10+C12</f>
        <v>5984</v>
      </c>
      <c r="D5" s="1273" t="s">
        <v>689</v>
      </c>
      <c r="E5" s="1008"/>
      <c r="F5" s="1009"/>
      <c r="G5" s="1292"/>
      <c r="H5" s="291">
        <v>1</v>
      </c>
      <c r="I5" s="292" t="s">
        <v>688</v>
      </c>
      <c r="J5" s="1007">
        <f ca="1">J6+J10+J12</f>
        <v>0</v>
      </c>
      <c r="K5" s="1273" t="s">
        <v>689</v>
      </c>
      <c r="L5" s="1008"/>
      <c r="M5" s="1009"/>
    </row>
    <row r="6" spans="1:37" ht="18" customHeight="1">
      <c r="A6" s="1006" t="s">
        <v>398</v>
      </c>
      <c r="B6" s="3394" t="s">
        <v>690</v>
      </c>
      <c r="C6" s="1011">
        <f ca="1">ROUND(F6*F8*F7*(1-F9)/10000,0)</f>
        <v>5977</v>
      </c>
      <c r="D6" s="147" t="s">
        <v>2105</v>
      </c>
      <c r="E6" s="294" t="s">
        <v>692</v>
      </c>
      <c r="F6" s="295">
        <f ca="1">INDIRECT("'数据-取费表'!u"&amp;$G$1)</f>
        <v>5</v>
      </c>
      <c r="G6" s="1292"/>
      <c r="H6" s="1006" t="s">
        <v>398</v>
      </c>
      <c r="I6" s="3394" t="s">
        <v>690</v>
      </c>
      <c r="J6" s="293">
        <f ca="1">ROUND(M6*M8*M7*(1-M9)/10000,0)</f>
        <v>0</v>
      </c>
      <c r="K6" s="147" t="s">
        <v>2104</v>
      </c>
      <c r="L6" s="294" t="s">
        <v>692</v>
      </c>
      <c r="M6" s="295">
        <f ca="1">INDIRECT("'数据-取费表'!z"&amp;$G$1)</f>
        <v>0</v>
      </c>
    </row>
    <row r="7" spans="1:37" ht="18" customHeight="1">
      <c r="A7" s="1010"/>
      <c r="B7" s="3395"/>
      <c r="C7" s="1012"/>
      <c r="D7" s="299"/>
      <c r="E7" s="1013" t="s">
        <v>693</v>
      </c>
      <c r="F7" s="295">
        <f ca="1">IF(INDIRECT("'数据-取费表'!ah"&amp;$G$1)="",INDIRECT("'数据-取费表'!k"&amp;$G$1),INDIRECT("'数据-取费表'!ah"&amp;$G$1))</f>
        <v>36389.269999999997</v>
      </c>
      <c r="G7" s="1292"/>
      <c r="H7" s="296"/>
      <c r="I7" s="3395"/>
      <c r="J7" s="298"/>
      <c r="K7" s="299"/>
      <c r="L7" s="294" t="s">
        <v>693</v>
      </c>
      <c r="M7" s="295">
        <f ca="1">F7</f>
        <v>36389.269999999997</v>
      </c>
    </row>
    <row r="8" spans="1:37" ht="18" customHeight="1">
      <c r="A8" s="296"/>
      <c r="B8" s="3395"/>
      <c r="C8" s="298"/>
      <c r="D8" s="299"/>
      <c r="E8" s="294" t="s">
        <v>694</v>
      </c>
      <c r="F8" s="295">
        <f ca="1">INDIRECT("'数据-取费表'!ai"&amp;$G$1)</f>
        <v>365</v>
      </c>
      <c r="G8" s="1292"/>
      <c r="H8" s="296"/>
      <c r="I8" s="3395"/>
      <c r="J8" s="298"/>
      <c r="K8" s="299"/>
      <c r="L8" s="294" t="s">
        <v>694</v>
      </c>
      <c r="M8" s="295">
        <f ca="1">INDIRECT("'数据-取费表'!ai"&amp;$G$1)</f>
        <v>365</v>
      </c>
    </row>
    <row r="9" spans="1:37" ht="18" customHeight="1">
      <c r="A9" s="296"/>
      <c r="B9" s="3396"/>
      <c r="C9" s="298"/>
      <c r="D9" s="299"/>
      <c r="E9" s="294" t="s">
        <v>695</v>
      </c>
      <c r="F9" s="304">
        <f ca="1">INDIRECT("'数据-取费表'!w"&amp;$G$1)</f>
        <v>0.1</v>
      </c>
      <c r="G9" s="1292"/>
      <c r="H9" s="296"/>
      <c r="I9" s="3396"/>
      <c r="J9" s="298"/>
      <c r="K9" s="299"/>
      <c r="L9" s="305" t="s">
        <v>695</v>
      </c>
      <c r="M9" s="306">
        <f ca="1">INDIRECT("'数据-取费表'!ab"&amp;$G$1)</f>
        <v>0</v>
      </c>
    </row>
    <row r="10" spans="1:37" ht="18" customHeight="1">
      <c r="A10" s="1006" t="s">
        <v>402</v>
      </c>
      <c r="B10" s="1274" t="s">
        <v>696</v>
      </c>
      <c r="C10" s="308">
        <f ca="1">ROUND(IF(F10="押一",C6/12*F11,IF(F10="押二",C6/12*2*F11,IF(F10="押三",C6/12*3*F11,C11*F11))),0)</f>
        <v>7</v>
      </c>
      <c r="D10" s="150" t="s">
        <v>2113</v>
      </c>
      <c r="E10" s="305" t="s">
        <v>697</v>
      </c>
      <c r="F10" s="1053" t="s">
        <v>3414</v>
      </c>
      <c r="G10" s="1292"/>
      <c r="H10" s="1006" t="s">
        <v>402</v>
      </c>
      <c r="I10" s="1274" t="s">
        <v>696</v>
      </c>
      <c r="J10" s="293">
        <f ca="1">ROUND(IF(M10="押一",J6/12*M11,IF(M10="押二",J6/12*2*M11,IF(M10="押三",J6/12*3*M11,J11*M11))),0)</f>
        <v>0</v>
      </c>
      <c r="K10" s="150" t="s">
        <v>2112</v>
      </c>
      <c r="L10" s="305" t="s">
        <v>697</v>
      </c>
      <c r="M10" s="1053"/>
    </row>
    <row r="11" spans="1:37" ht="18" customHeight="1">
      <c r="A11" s="300"/>
      <c r="B11" s="1275" t="s">
        <v>675</v>
      </c>
      <c r="C11" s="905"/>
      <c r="D11" s="1276"/>
      <c r="E11" s="305" t="s">
        <v>698</v>
      </c>
      <c r="F11" s="306">
        <f ca="1">'数据-取费表'!B39</f>
        <v>1.4999999999999999E-2</v>
      </c>
      <c r="G11" s="1292"/>
      <c r="H11" s="1014"/>
      <c r="I11" s="1275" t="s">
        <v>675</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30850</v>
      </c>
      <c r="D13" s="1018" t="s">
        <v>701</v>
      </c>
      <c r="E13" s="1018" t="s">
        <v>702</v>
      </c>
      <c r="F13" s="1019">
        <f ca="1">INDIRECT("'数据-取费表'!y"&amp;$G$1)</f>
        <v>0.8</v>
      </c>
      <c r="G13" s="1292"/>
      <c r="H13" s="1016">
        <v>2</v>
      </c>
      <c r="I13" s="1017" t="s">
        <v>700</v>
      </c>
      <c r="J13" s="1005">
        <f ca="1">ROUND(J14*J15,0)</f>
        <v>0</v>
      </c>
      <c r="K13" s="1024" t="s">
        <v>701</v>
      </c>
      <c r="L13" s="1299"/>
      <c r="M13" s="1300"/>
    </row>
    <row r="14" spans="1:37" ht="18" customHeight="1">
      <c r="A14" s="928" t="s">
        <v>397</v>
      </c>
      <c r="B14" s="294" t="s">
        <v>703</v>
      </c>
      <c r="C14" s="310">
        <f ca="1">INDIRECT("'数据-取费表'!m"&amp;$G$1)+INDIRECT("'数据-取费表'!t"&amp;$G$1)</f>
        <v>25472</v>
      </c>
      <c r="D14" s="1257" t="s">
        <v>704</v>
      </c>
      <c r="E14" s="1255"/>
      <c r="F14" s="311"/>
      <c r="G14" s="1292"/>
      <c r="H14" s="928" t="s">
        <v>398</v>
      </c>
      <c r="I14" s="294" t="s">
        <v>705</v>
      </c>
      <c r="J14" s="21">
        <f ca="1">C29</f>
        <v>38562</v>
      </c>
      <c r="K14" s="12"/>
      <c r="L14" s="759"/>
      <c r="M14" s="760"/>
    </row>
    <row r="15" spans="1:37" s="1304" customFormat="1" ht="18" customHeight="1" thickBot="1">
      <c r="A15" s="928" t="s">
        <v>399</v>
      </c>
      <c r="B15" s="294" t="s">
        <v>706</v>
      </c>
      <c r="C15" s="21">
        <f ca="1">ROUND(C14*F15,0)</f>
        <v>1274</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ROUND(INDIRECT("'数据-取费表'!m"&amp;$G$1)*F16,0)</f>
        <v>0</v>
      </c>
      <c r="D16" s="294" t="s">
        <v>707</v>
      </c>
      <c r="E16" s="294" t="s">
        <v>708</v>
      </c>
      <c r="F16" s="314">
        <f ca="1">IF(INDIRECT("'数据-取费表'!c"&amp;$G$1)="住宅",'数据-取费表'!B34,0)</f>
        <v>0</v>
      </c>
      <c r="G16" s="1292"/>
      <c r="H16" s="1016" t="s">
        <v>393</v>
      </c>
      <c r="I16" s="1017" t="s">
        <v>710</v>
      </c>
      <c r="J16" s="302">
        <f ca="1">ROUND(J17+J22+J23+J24,0)</f>
        <v>77</v>
      </c>
      <c r="K16" s="1024" t="s">
        <v>711</v>
      </c>
      <c r="L16" s="1025"/>
      <c r="M16" s="1009"/>
    </row>
    <row r="17" spans="1:37" s="1304" customFormat="1" ht="18" customHeight="1">
      <c r="A17" s="928" t="s">
        <v>677</v>
      </c>
      <c r="B17" s="294" t="s">
        <v>712</v>
      </c>
      <c r="C17" s="21">
        <f ca="1">ROUND(F17*(F43+INDIRECT("'数据-取费表'!S"&amp;$G$1))/10000,0)</f>
        <v>728</v>
      </c>
      <c r="D17" s="294" t="s">
        <v>713</v>
      </c>
      <c r="E17" s="294" t="s">
        <v>714</v>
      </c>
      <c r="F17" s="23">
        <f>'数据-取费表'!B35</f>
        <v>200</v>
      </c>
      <c r="G17" s="1303"/>
      <c r="H17" s="928" t="s">
        <v>398</v>
      </c>
      <c r="I17" s="294" t="s">
        <v>715</v>
      </c>
      <c r="J17" s="2140">
        <f ca="1">ROUND(IF(AND(项目基本情况!B11="自然人",项目基本情况!B10="北京市"),J6*M17/(1+'数据-取费表'!C42),J18+J19+J20),2)</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509</v>
      </c>
      <c r="D18" s="294" t="s">
        <v>707</v>
      </c>
      <c r="E18" s="294" t="s">
        <v>708</v>
      </c>
      <c r="F18" s="314">
        <f>'数据-取费表'!B36</f>
        <v>0.02</v>
      </c>
      <c r="G18" s="1303"/>
      <c r="H18" s="928" t="s">
        <v>397</v>
      </c>
      <c r="I18" s="294" t="s">
        <v>719</v>
      </c>
      <c r="J18" s="21">
        <f ca="1">ROUND(J6*M18/(1+'数据-取费表'!C42),2)</f>
        <v>0</v>
      </c>
      <c r="K18" s="1256" t="s">
        <v>720</v>
      </c>
      <c r="L18" s="294" t="s">
        <v>708</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27983</v>
      </c>
      <c r="D19" s="123" t="s">
        <v>722</v>
      </c>
      <c r="E19" s="1269"/>
      <c r="F19" s="23"/>
      <c r="G19" s="1292"/>
      <c r="H19" s="928" t="s">
        <v>399</v>
      </c>
      <c r="I19" s="294" t="s">
        <v>723</v>
      </c>
      <c r="J19" s="21">
        <f ca="1">IF(K19="按租金收入计税",ROUND(J6*M19/(1+'数据-取费表'!C42),2),ROUND(C29*M19*0.7,2))</f>
        <v>0</v>
      </c>
      <c r="K19" s="1278" t="s">
        <v>3322</v>
      </c>
      <c r="L19" s="294" t="s">
        <v>708</v>
      </c>
      <c r="M19" s="314">
        <f>IF(K19="按租金收入计税",'数据-取费表'!B51,'数据-取费表'!B50)</f>
        <v>0.12</v>
      </c>
    </row>
    <row r="20" spans="1:37" s="1304" customFormat="1" ht="18" customHeight="1">
      <c r="A20" s="928" t="s">
        <v>402</v>
      </c>
      <c r="B20" s="294" t="s">
        <v>724</v>
      </c>
      <c r="C20" s="21">
        <f ca="1">ROUND(C19*F20,0)</f>
        <v>560</v>
      </c>
      <c r="D20" s="315" t="s">
        <v>725</v>
      </c>
      <c r="E20" s="294" t="s">
        <v>708</v>
      </c>
      <c r="F20" s="314">
        <f>'数据-取费表'!B37</f>
        <v>0.02</v>
      </c>
      <c r="G20" s="1303"/>
      <c r="H20" s="928" t="s">
        <v>676</v>
      </c>
      <c r="I20" s="147" t="s">
        <v>726</v>
      </c>
      <c r="J20" s="22">
        <f ca="1">ROUND(M20*M21/10000,2)</f>
        <v>0</v>
      </c>
      <c r="K20" s="316" t="s">
        <v>727</v>
      </c>
      <c r="L20" s="294" t="s">
        <v>728</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15</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ROUND(J14*M22,2)</f>
        <v>77.12</v>
      </c>
      <c r="K22" s="1256" t="s">
        <v>735</v>
      </c>
      <c r="L22" s="294" t="s">
        <v>708</v>
      </c>
      <c r="M22" s="320">
        <f ca="1">INDIRECT("'数据-取费表'!Ak"&amp;$G$1)</f>
        <v>2E-3</v>
      </c>
    </row>
    <row r="23" spans="1:37" s="1304" customFormat="1" ht="18" customHeight="1">
      <c r="A23" s="928" t="s">
        <v>397</v>
      </c>
      <c r="B23" s="294" t="s">
        <v>736</v>
      </c>
      <c r="C23" s="21">
        <f ca="1">IF('数据-取费表'!B22&lt;=1,ROUND(C19*F24*F23/2,0)+ROUND(C20*F24*F23/2,0),ROUND(C19*(POWER((1+F24),F23/2)-1),0)+ROUND(C20*(POWER((1+F24),F23/2)-1),0))</f>
        <v>1294</v>
      </c>
      <c r="D23" s="138" t="str">
        <f>IF(F23&lt;=1,"(建造成本+管理费用)×利率×(建设周期÷2)","(建造成本+管理费用)×((1+利率)^(建设周期÷2)-1)")</f>
        <v>(建造成本+管理费用)×((1+利率)^(建设周期÷2)-1)</v>
      </c>
      <c r="E23" s="294" t="s">
        <v>737</v>
      </c>
      <c r="F23" s="317">
        <f>'数据-取费表'!B20</f>
        <v>3</v>
      </c>
      <c r="G23" s="1303"/>
      <c r="H23" s="928" t="s">
        <v>437</v>
      </c>
      <c r="I23" s="294" t="s">
        <v>738</v>
      </c>
      <c r="J23" s="21">
        <f ca="1">ROUND(J13*M23,2)</f>
        <v>0</v>
      </c>
      <c r="K23" s="1256" t="s">
        <v>739</v>
      </c>
      <c r="L23" s="294" t="s">
        <v>740</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8.9999999999999998E-4</v>
      </c>
      <c r="D24" s="138" t="str">
        <f>IF(F23&lt;=1,"销售费用×利率×(建设周期÷2)","销售费用×((1+利率)^(建设周期÷2)-1)")</f>
        <v>销售费用×((1+利率)^(建设周期÷2)-1)</v>
      </c>
      <c r="E24" s="294" t="s">
        <v>743</v>
      </c>
      <c r="F24" s="322">
        <f ca="1">'数据-取费表'!B40</f>
        <v>0.03</v>
      </c>
      <c r="G24" s="1303"/>
      <c r="H24" s="1026" t="s">
        <v>680</v>
      </c>
      <c r="I24" s="1027" t="s">
        <v>724</v>
      </c>
      <c r="J24" s="1028">
        <f ca="1">ROUND(J5*M24,2)</f>
        <v>0</v>
      </c>
      <c r="K24" s="1029" t="s">
        <v>744</v>
      </c>
      <c r="L24" s="1027" t="s">
        <v>740</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745</v>
      </c>
      <c r="B25" s="294" t="s">
        <v>746</v>
      </c>
      <c r="C25" s="21"/>
      <c r="D25" s="123" t="s">
        <v>747</v>
      </c>
      <c r="E25" s="1269"/>
      <c r="F25" s="23"/>
      <c r="G25" s="1292"/>
      <c r="H25" s="1016" t="s">
        <v>394</v>
      </c>
      <c r="I25" s="1031" t="s">
        <v>748</v>
      </c>
      <c r="J25" s="302">
        <f ca="1">J5-J16</f>
        <v>-77</v>
      </c>
      <c r="K25" s="1032" t="s">
        <v>749</v>
      </c>
      <c r="L25" s="1033"/>
      <c r="M25" s="1034"/>
    </row>
    <row r="26" spans="1:37">
      <c r="A26" s="928" t="s">
        <v>397</v>
      </c>
      <c r="B26" s="294" t="s">
        <v>750</v>
      </c>
      <c r="C26" s="21">
        <f ca="1">ROUND((C19+C20)*F26,0)</f>
        <v>5709</v>
      </c>
      <c r="D26" s="315" t="s">
        <v>751</v>
      </c>
      <c r="E26" s="305" t="s">
        <v>752</v>
      </c>
      <c r="F26" s="304">
        <f ca="1">INDIRECT("'数据-取费表'!q"&amp;$G$1)</f>
        <v>0.2</v>
      </c>
      <c r="G26" s="1292"/>
      <c r="H26" s="291" t="s">
        <v>395</v>
      </c>
      <c r="I26" s="292" t="s">
        <v>753</v>
      </c>
      <c r="J26" s="293">
        <f ca="1">IF(J5&lt;&gt;0,ROUND(J25*(1-((1+M28)/(1+M26))^M27)/(M26-M28),0),0)</f>
        <v>0</v>
      </c>
      <c r="K26" s="316" t="s">
        <v>754</v>
      </c>
      <c r="L26" s="294" t="s">
        <v>755</v>
      </c>
      <c r="M26" s="304">
        <f ca="1">INDIRECT("'数据-取费表'!I"&amp;$G$1)</f>
        <v>5.5E-2</v>
      </c>
    </row>
    <row r="27" spans="1:37" ht="18" customHeight="1">
      <c r="A27" s="928" t="s">
        <v>399</v>
      </c>
      <c r="B27" s="294" t="s">
        <v>756</v>
      </c>
      <c r="C27" s="21">
        <f ca="1">ROUND(F21*F26,4)</f>
        <v>4.0000000000000001E-3</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5.33E-2</v>
      </c>
      <c r="D28" s="315" t="s">
        <v>761</v>
      </c>
      <c r="E28" s="294" t="s">
        <v>708</v>
      </c>
      <c r="F28" s="314">
        <f>'数据-取费表'!B41</f>
        <v>5.6000000000000001E-2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38562</v>
      </c>
      <c r="D29" s="1029"/>
      <c r="E29" s="1027"/>
      <c r="F29" s="1030"/>
      <c r="G29" s="1303"/>
      <c r="H29" s="325" t="s">
        <v>396</v>
      </c>
      <c r="I29" s="326" t="s">
        <v>764</v>
      </c>
      <c r="J29" s="327">
        <f ca="1">ROUND(J26/(1+F40)^F41,0)</f>
        <v>0</v>
      </c>
      <c r="K29" s="328" t="s">
        <v>765</v>
      </c>
      <c r="L29" s="329"/>
      <c r="M29" s="330">
        <f ca="1">INDIRECT("'数据-取费表'!k"&amp;$G$1)</f>
        <v>36389.269999999997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1170</v>
      </c>
      <c r="D30" s="1024" t="s">
        <v>711</v>
      </c>
      <c r="E30" s="1025"/>
      <c r="F30" s="1009"/>
      <c r="G30" s="1292"/>
      <c r="H30" s="2471"/>
      <c r="I30" s="1305"/>
      <c r="J30" s="1306"/>
      <c r="K30" s="121"/>
      <c r="L30" s="2472"/>
      <c r="M30" s="2473"/>
    </row>
    <row r="31" spans="1:37" ht="18" customHeight="1">
      <c r="A31" s="928" t="s">
        <v>398</v>
      </c>
      <c r="B31" s="294" t="s">
        <v>715</v>
      </c>
      <c r="C31" s="2140">
        <f ca="1">ROUND(IF(AND(项目基本情况!B11="自然人",项目基本情况!B10="北京市"),C6*F31/(1+'数据-取费表'!C42),C32+C33+C34),2)</f>
        <v>1001.86</v>
      </c>
      <c r="D31" s="1257" t="s">
        <v>716</v>
      </c>
      <c r="E31" s="1256" t="s">
        <v>766</v>
      </c>
      <c r="F31" s="2139" t="str">
        <f>IF(项目基本情况!B11="企业","——",IF(M47="住宅",IF(F6*F7*F8/12/(1+'数据-取费表'!F30)&gt;100000,4%,2.5%),IF(F6*F7*F8/12/(1+'数据-取费表'!F30)&gt;100000,12%,7%)))</f>
        <v>——</v>
      </c>
      <c r="G31" s="1292"/>
      <c r="H31" s="2570" t="s">
        <v>2293</v>
      </c>
      <c r="I31" s="1305"/>
      <c r="J31" s="1306"/>
      <c r="K31" s="121"/>
      <c r="L31" s="2472"/>
      <c r="M31" s="2473"/>
    </row>
    <row r="32" spans="1:37" ht="18" customHeight="1">
      <c r="A32" s="928" t="s">
        <v>397</v>
      </c>
      <c r="B32" s="294" t="s">
        <v>719</v>
      </c>
      <c r="C32" s="21">
        <f ca="1">IF(项目基本情况!B11="自然人","——",ROUND(C6*F32/(1+'数据-取费表'!C42),2))</f>
        <v>318.77</v>
      </c>
      <c r="D32" s="1256" t="s">
        <v>720</v>
      </c>
      <c r="E32" s="294" t="s">
        <v>708</v>
      </c>
      <c r="F32" s="322">
        <f>'数据-取费表'!B41</f>
        <v>5.6000000000000001E-2</v>
      </c>
      <c r="G32" s="1292"/>
      <c r="H32" s="2471"/>
      <c r="I32" s="1305"/>
      <c r="J32" s="1306"/>
      <c r="K32" s="121"/>
      <c r="L32" s="2472"/>
      <c r="M32" s="2473"/>
    </row>
    <row r="33" spans="1:18" ht="18" customHeight="1">
      <c r="A33" s="928" t="s">
        <v>399</v>
      </c>
      <c r="B33" s="294" t="s">
        <v>723</v>
      </c>
      <c r="C33" s="21">
        <f ca="1">IF(项目基本情况!B11="自然人","——",IF(D33="按租金收入计税",ROUND(C6*F33/(1+'数据-取费表'!C42),2),IF(D33="按房产原值计税",ROUND(C29*F33*0.7,2),INDIRECT("'数据-取费表'!Aj"&amp;$G$1))))</f>
        <v>683.09</v>
      </c>
      <c r="D33" s="1278" t="s">
        <v>3322</v>
      </c>
      <c r="E33" s="294" t="s">
        <v>708</v>
      </c>
      <c r="F33" s="314">
        <f>IF(D33="按票据","——",IF(D33="按租金收入计税",'数据-取费表'!B51,'数据-取费表'!B50))</f>
        <v>0.12</v>
      </c>
      <c r="G33" s="1292"/>
      <c r="H33" s="2474"/>
      <c r="I33" s="1305"/>
      <c r="J33" s="1306"/>
      <c r="K33" s="2475"/>
      <c r="L33" s="2474"/>
      <c r="M33" s="2474"/>
    </row>
    <row r="34" spans="1:18" ht="18" customHeight="1">
      <c r="A34" s="1006" t="s">
        <v>676</v>
      </c>
      <c r="B34" s="147" t="s">
        <v>726</v>
      </c>
      <c r="C34" s="22">
        <f ca="1">IF(项目基本情况!B11="自然人","——",ROUND(F34*F35/10000,2))</f>
        <v>0</v>
      </c>
      <c r="D34" s="316" t="s">
        <v>727</v>
      </c>
      <c r="E34" s="294" t="s">
        <v>728</v>
      </c>
      <c r="F34" s="317">
        <f>'数据-取费表'!B52</f>
        <v>0</v>
      </c>
      <c r="G34" s="1292"/>
      <c r="H34" s="2471"/>
      <c r="I34" s="1305"/>
      <c r="J34" s="1306"/>
      <c r="K34" s="2476"/>
      <c r="L34" s="2477"/>
      <c r="M34" s="2477"/>
    </row>
    <row r="35" spans="1:18" ht="18" customHeight="1">
      <c r="A35" s="1040"/>
      <c r="B35" s="1038"/>
      <c r="C35" s="26"/>
      <c r="D35" s="319"/>
      <c r="E35" s="294" t="s">
        <v>732</v>
      </c>
      <c r="F35" s="295">
        <f ca="1">INDIRECT("'数据-取费表'!r"&amp;$G$1)</f>
        <v>0</v>
      </c>
      <c r="G35" s="1292"/>
      <c r="H35" s="2471"/>
      <c r="I35" s="1305"/>
      <c r="J35" s="1306"/>
      <c r="K35" s="2475"/>
      <c r="L35" s="2474"/>
      <c r="M35" s="2474"/>
    </row>
    <row r="36" spans="1:18" ht="18" customHeight="1">
      <c r="A36" s="1039" t="s">
        <v>402</v>
      </c>
      <c r="B36" s="294" t="s">
        <v>734</v>
      </c>
      <c r="C36" s="21">
        <f ca="1">ROUND(C29*F36,2)</f>
        <v>77.12</v>
      </c>
      <c r="D36" s="1256" t="s">
        <v>767</v>
      </c>
      <c r="E36" s="294" t="s">
        <v>708</v>
      </c>
      <c r="F36" s="320">
        <f ca="1">INDIRECT("'数据-取费表'!Ak"&amp;$G$1)</f>
        <v>2E-3</v>
      </c>
      <c r="G36" s="1292"/>
      <c r="H36" s="2474"/>
      <c r="I36" s="1305"/>
      <c r="J36" s="1306"/>
      <c r="K36" s="2331"/>
      <c r="L36" s="2474"/>
      <c r="M36" s="2474"/>
    </row>
    <row r="37" spans="1:18" ht="18" customHeight="1">
      <c r="A37" s="928" t="s">
        <v>437</v>
      </c>
      <c r="B37" s="294" t="s">
        <v>738</v>
      </c>
      <c r="C37" s="21">
        <f ca="1">ROUND(C13*F37,2)</f>
        <v>30.85</v>
      </c>
      <c r="D37" s="1256" t="s">
        <v>739</v>
      </c>
      <c r="E37" s="294" t="s">
        <v>740</v>
      </c>
      <c r="F37" s="321">
        <f ca="1">INDIRECT("'数据-取费表'!Al"&amp;$G$1)</f>
        <v>1E-3</v>
      </c>
      <c r="G37" s="1292"/>
      <c r="H37" s="2474"/>
      <c r="I37" s="1305"/>
      <c r="J37" s="1306"/>
      <c r="K37" s="2331"/>
      <c r="L37" s="2474"/>
      <c r="M37" s="2474"/>
    </row>
    <row r="38" spans="1:18" ht="18" customHeight="1" thickBot="1">
      <c r="A38" s="1026" t="s">
        <v>680</v>
      </c>
      <c r="B38" s="1027" t="s">
        <v>724</v>
      </c>
      <c r="C38" s="1028">
        <f ca="1">ROUND(C5*F38,2)</f>
        <v>59.84</v>
      </c>
      <c r="D38" s="1029" t="s">
        <v>744</v>
      </c>
      <c r="E38" s="1027" t="s">
        <v>740</v>
      </c>
      <c r="F38" s="1023">
        <f ca="1">INDIRECT("'数据-取费表'!Am"&amp;$G$1)</f>
        <v>0.01</v>
      </c>
      <c r="G38" s="1292"/>
      <c r="H38" s="2474"/>
      <c r="I38" s="1305"/>
      <c r="J38" s="1306"/>
      <c r="K38" s="2472"/>
      <c r="L38" s="2474"/>
      <c r="M38" s="2474"/>
    </row>
    <row r="39" spans="1:18" ht="24.6" customHeight="1" thickTop="1">
      <c r="A39" s="1016" t="s">
        <v>394</v>
      </c>
      <c r="B39" s="1031" t="s">
        <v>768</v>
      </c>
      <c r="C39" s="302">
        <f ca="1">C5-C30</f>
        <v>4814</v>
      </c>
      <c r="D39" s="1032" t="s">
        <v>769</v>
      </c>
      <c r="E39" s="1033"/>
      <c r="F39" s="1034"/>
      <c r="G39" s="1292"/>
      <c r="H39" s="2474"/>
      <c r="I39" s="1305"/>
      <c r="J39" s="1306"/>
      <c r="K39" s="2472"/>
      <c r="L39" s="2474"/>
      <c r="M39" s="2474"/>
    </row>
    <row r="40" spans="1:18" ht="18" customHeight="1">
      <c r="A40" s="291" t="s">
        <v>395</v>
      </c>
      <c r="B40" s="292" t="s">
        <v>770</v>
      </c>
      <c r="C40" s="293">
        <f ca="1">ROUND(C39*(1-((1+F42)/(1+F40))^F41)/(F40-F42),0)</f>
        <v>65165</v>
      </c>
      <c r="D40" s="316" t="s">
        <v>754</v>
      </c>
      <c r="E40" s="294" t="s">
        <v>755</v>
      </c>
      <c r="F40" s="304">
        <f ca="1">INDIRECT("'数据-取费表'!I"&amp;$G$1)</f>
        <v>5.5E-2</v>
      </c>
      <c r="G40" s="1292"/>
      <c r="H40" s="1366"/>
      <c r="I40" s="1305"/>
      <c r="J40" s="1306"/>
      <c r="K40" s="2472"/>
      <c r="L40" s="1366"/>
      <c r="M40" s="1366"/>
    </row>
    <row r="41" spans="1:18" ht="18" customHeight="1">
      <c r="A41" s="296"/>
      <c r="B41" s="297"/>
      <c r="C41" s="298"/>
      <c r="D41" s="323" t="s">
        <v>771</v>
      </c>
      <c r="E41" s="294" t="s">
        <v>759</v>
      </c>
      <c r="F41" s="324">
        <f ca="1">IF(INDIRECT("'数据-取费表'!af"&amp;$G$1)=0,INDIRECT("'数据-取费表'!ae"&amp;$G$1),INDIRECT("'数据-取费表'!af"&amp;$G$1))</f>
        <v>19.03</v>
      </c>
      <c r="G41" s="1292"/>
      <c r="H41" s="121"/>
      <c r="I41" s="1305"/>
      <c r="J41" s="1306"/>
      <c r="K41" s="2331"/>
      <c r="L41" s="121"/>
      <c r="M41" s="121"/>
    </row>
    <row r="42" spans="1:18" ht="18" customHeight="1">
      <c r="A42" s="300"/>
      <c r="B42" s="301"/>
      <c r="C42" s="302"/>
      <c r="D42" s="319"/>
      <c r="E42" s="294" t="s">
        <v>762</v>
      </c>
      <c r="F42" s="304">
        <f ca="1">INDIRECT("'数据-取费表'!v"&amp;$G$1)</f>
        <v>0.02</v>
      </c>
      <c r="G42" s="1292"/>
      <c r="H42" s="121"/>
      <c r="I42" s="1305"/>
      <c r="J42" s="1306"/>
      <c r="K42" s="2331"/>
      <c r="L42" s="121"/>
      <c r="M42" s="121"/>
    </row>
    <row r="43" spans="1:18" ht="18" customHeight="1" thickBot="1">
      <c r="A43" s="325" t="s">
        <v>396</v>
      </c>
      <c r="B43" s="326" t="s">
        <v>772</v>
      </c>
      <c r="C43" s="327">
        <f ca="1">ROUND(C40*10000/F43,0)</f>
        <v>17908</v>
      </c>
      <c r="D43" s="328" t="s">
        <v>773</v>
      </c>
      <c r="E43" s="329" t="s">
        <v>774</v>
      </c>
      <c r="F43" s="330">
        <f ca="1">INDIRECT("'数据-取费表'!k"&amp;$G$1)</f>
        <v>36389.269999999997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804</v>
      </c>
      <c r="P45" s="1366"/>
      <c r="Q45" s="1366"/>
      <c r="R45" s="1366"/>
    </row>
    <row r="46" spans="1:18" s="1292" customFormat="1" ht="13.5" thickBot="1">
      <c r="A46" s="1311" t="s">
        <v>805</v>
      </c>
      <c r="C46" s="1312">
        <f ca="1">C68-C40</f>
        <v>-66420</v>
      </c>
      <c r="D46" s="1313" t="str">
        <f>C2</f>
        <v>万元</v>
      </c>
      <c r="E46" s="1307"/>
      <c r="F46" s="1307"/>
      <c r="I46" s="1314" t="s">
        <v>806</v>
      </c>
      <c r="J46" s="1315"/>
      <c r="K46" s="1316"/>
      <c r="L46" s="1317">
        <f ca="1">IF(M47="住宅",0,IF(L48&gt;J51,L60,J60))</f>
        <v>4051</v>
      </c>
      <c r="O46" s="1318" t="s">
        <v>807</v>
      </c>
      <c r="P46" s="1319" t="s">
        <v>808</v>
      </c>
      <c r="Q46" s="1320" t="s">
        <v>809</v>
      </c>
      <c r="R46" s="1320" t="s">
        <v>810</v>
      </c>
    </row>
    <row r="47" spans="1:18" s="1292" customFormat="1" ht="13.5" thickBot="1">
      <c r="A47" s="892" t="s">
        <v>683</v>
      </c>
      <c r="B47" s="924" t="s">
        <v>684</v>
      </c>
      <c r="C47" s="1054" t="s">
        <v>685</v>
      </c>
      <c r="D47" s="924" t="s">
        <v>686</v>
      </c>
      <c r="E47" s="995" t="s">
        <v>687</v>
      </c>
      <c r="F47" s="996"/>
      <c r="G47" s="681"/>
      <c r="I47" s="1321" t="s">
        <v>811</v>
      </c>
      <c r="J47" s="1322" t="s">
        <v>3415</v>
      </c>
      <c r="K47" s="1323" t="s">
        <v>812</v>
      </c>
      <c r="L47" s="1324">
        <f ca="1">INDIRECT("'数据-取费表'!d"&amp;$G$1)</f>
        <v>40</v>
      </c>
      <c r="M47" s="1288" t="str">
        <f>IF(ISNUMBER(FIND("住宅",C1)),"住宅","非住宅")</f>
        <v>非住宅</v>
      </c>
      <c r="O47" s="1325" t="s">
        <v>403</v>
      </c>
      <c r="P47" s="1326" t="s">
        <v>813</v>
      </c>
      <c r="Q47" s="1327">
        <f ca="1">C40+J29</f>
        <v>65165</v>
      </c>
      <c r="R47" s="1327" t="s">
        <v>814</v>
      </c>
    </row>
    <row r="48" spans="1:18" s="1292" customFormat="1" ht="28.5" thickBot="1">
      <c r="A48" s="1047" t="s">
        <v>438</v>
      </c>
      <c r="B48" s="292" t="s">
        <v>688</v>
      </c>
      <c r="C48" s="1268">
        <f ca="1">C49+C53+C55</f>
        <v>0</v>
      </c>
      <c r="D48" s="1049"/>
      <c r="E48" s="1050"/>
      <c r="F48" s="908"/>
      <c r="G48" s="681"/>
      <c r="H48" s="682"/>
      <c r="I48" s="1328" t="s">
        <v>815</v>
      </c>
      <c r="J48" s="1329" t="s">
        <v>3416</v>
      </c>
      <c r="K48" s="1330" t="s">
        <v>816</v>
      </c>
      <c r="L48" s="1331">
        <f ca="1">INDIRECT("'数据-取费表'!f"&amp;$G$1)</f>
        <v>19.03</v>
      </c>
      <c r="O48" s="1325" t="s">
        <v>404</v>
      </c>
      <c r="P48" s="1326" t="s">
        <v>817</v>
      </c>
      <c r="Q48" s="1327">
        <f ca="1">J60</f>
        <v>4051</v>
      </c>
      <c r="R48" s="1327" t="s">
        <v>818</v>
      </c>
    </row>
    <row r="49" spans="1:18" s="1292" customFormat="1" ht="13.5" thickBot="1">
      <c r="A49" s="921" t="s">
        <v>439</v>
      </c>
      <c r="B49" s="1279" t="s">
        <v>775</v>
      </c>
      <c r="C49" s="1051">
        <f ca="1">ROUND(F49*F51*F50*(1-F52)/10000,0)</f>
        <v>0</v>
      </c>
      <c r="D49" s="992" t="s">
        <v>2106</v>
      </c>
      <c r="E49" s="1280" t="s">
        <v>776</v>
      </c>
      <c r="F49" s="997"/>
      <c r="H49" s="682"/>
      <c r="I49" s="1328" t="s">
        <v>819</v>
      </c>
      <c r="J49" s="1332">
        <v>2009</v>
      </c>
      <c r="K49" s="1330" t="s">
        <v>820</v>
      </c>
      <c r="L49" s="1333"/>
      <c r="O49" s="1334" t="s">
        <v>405</v>
      </c>
      <c r="P49" s="1326" t="s">
        <v>821</v>
      </c>
      <c r="Q49" s="1327">
        <f ca="1">C29</f>
        <v>38562</v>
      </c>
      <c r="R49" s="1327" t="s">
        <v>814</v>
      </c>
    </row>
    <row r="50" spans="1:18" s="1292" customFormat="1" ht="13.5" thickBot="1">
      <c r="A50" s="922"/>
      <c r="B50" s="925"/>
      <c r="C50" s="1055"/>
      <c r="D50" s="899"/>
      <c r="E50" s="993" t="s">
        <v>693</v>
      </c>
      <c r="F50" s="994">
        <f ca="1">F7</f>
        <v>36389.269999999997</v>
      </c>
      <c r="H50" s="682"/>
      <c r="I50" s="1328" t="s">
        <v>822</v>
      </c>
      <c r="J50" s="1335">
        <f>SUMPRODUCT((I63:I65=J47)*(J62:L62=J48)*(J63:L65))</f>
        <v>60</v>
      </c>
      <c r="K50" s="1330" t="s">
        <v>823</v>
      </c>
      <c r="L50" s="1333"/>
      <c r="M50" s="1336"/>
      <c r="O50" s="1334" t="s">
        <v>406</v>
      </c>
      <c r="P50" s="1326" t="s">
        <v>824</v>
      </c>
      <c r="Q50" s="1337">
        <f ca="1">J58</f>
        <v>0.41599999999999998</v>
      </c>
      <c r="R50" s="1327"/>
    </row>
    <row r="51" spans="1:18" s="1292" customFormat="1" ht="13.5" thickBot="1">
      <c r="A51" s="923"/>
      <c r="B51" s="925"/>
      <c r="C51" s="926"/>
      <c r="D51" s="899"/>
      <c r="E51" s="927" t="s">
        <v>694</v>
      </c>
      <c r="F51" s="295">
        <f ca="1">F8</f>
        <v>365</v>
      </c>
      <c r="I51" s="1338" t="s">
        <v>825</v>
      </c>
      <c r="J51" s="1331">
        <f>IF(J49="",J50,J49+J50-YEAR('数据-取费表'!B2))</f>
        <v>44</v>
      </c>
      <c r="K51" s="1339" t="s">
        <v>826</v>
      </c>
      <c r="L51" s="1340">
        <f ca="1">ROUND(-PV(INDIRECT("'数据-取费表'!h"&amp;$G$1),J51,(C39-C13*C76),0),0)</f>
        <v>46886</v>
      </c>
      <c r="M51" s="1341"/>
      <c r="O51" s="1334" t="s">
        <v>407</v>
      </c>
      <c r="P51" s="1326" t="s">
        <v>827</v>
      </c>
      <c r="Q51" s="1337">
        <f>J52</f>
        <v>7.4999999999999997E-2</v>
      </c>
      <c r="R51" s="1327"/>
    </row>
    <row r="52" spans="1:18" s="1292" customFormat="1" ht="13.5" thickBot="1">
      <c r="A52" s="923"/>
      <c r="B52" s="925"/>
      <c r="C52" s="926"/>
      <c r="D52" s="899"/>
      <c r="E52" s="927" t="s">
        <v>695</v>
      </c>
      <c r="F52" s="991"/>
      <c r="I52" s="1342" t="s">
        <v>828</v>
      </c>
      <c r="J52" s="1343">
        <v>7.4999999999999997E-2</v>
      </c>
      <c r="K52" s="1342" t="s">
        <v>829</v>
      </c>
      <c r="L52" s="1343"/>
      <c r="O52" s="1334" t="s">
        <v>408</v>
      </c>
      <c r="P52" s="1326" t="s">
        <v>830</v>
      </c>
      <c r="Q52" s="1327">
        <f ca="1">J53</f>
        <v>19.03</v>
      </c>
      <c r="R52" s="1327" t="s">
        <v>831</v>
      </c>
    </row>
    <row r="53" spans="1:18" s="1292" customFormat="1" ht="24.75" thickBot="1">
      <c r="A53" s="1079" t="s">
        <v>440</v>
      </c>
      <c r="B53" s="1281" t="s">
        <v>696</v>
      </c>
      <c r="C53" s="308">
        <f ca="1">ROUND(IF(F53="押一",C49/12*F11,IF(F53="押二",C49/12*2*F11,IF(F53="押三",C49/12*3*F11,C54*F11))),0)</f>
        <v>0</v>
      </c>
      <c r="D53" s="150" t="s">
        <v>2112</v>
      </c>
      <c r="E53" s="305" t="s">
        <v>697</v>
      </c>
      <c r="F53" s="1053"/>
      <c r="I53" s="1344" t="s">
        <v>832</v>
      </c>
      <c r="J53" s="2006">
        <f ca="1">IF(M47="住宅",IF(D1="——",MAX(J51,L48),MAX(J51,L48-'数据-取费表'!B24)),IF(D1="——",MIN(J51,L48),MIN(J51,L48-'数据-取费表'!B24)))</f>
        <v>19.03</v>
      </c>
      <c r="K53" s="3392" t="s">
        <v>833</v>
      </c>
      <c r="L53" s="3393"/>
      <c r="O53" s="1325" t="s">
        <v>409</v>
      </c>
      <c r="P53" s="1326" t="s">
        <v>834</v>
      </c>
      <c r="Q53" s="1327">
        <f ca="1">Q47+Q48</f>
        <v>69216</v>
      </c>
      <c r="R53" s="1327" t="s">
        <v>410</v>
      </c>
    </row>
    <row r="54" spans="1:18" s="1292" customFormat="1" ht="13.5" thickBot="1">
      <c r="A54" s="1080"/>
      <c r="B54" s="1275" t="s">
        <v>675</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f ca="1">ROUND(IF(J47="钢混",J57/J50,1-(1-2%)*(J50-J57)/J50),3)</f>
        <v>0.41599999999999998</v>
      </c>
      <c r="K55" s="1350" t="s">
        <v>837</v>
      </c>
      <c r="L55" s="1351"/>
      <c r="O55" s="1318" t="s">
        <v>807</v>
      </c>
      <c r="P55" s="1319" t="s">
        <v>808</v>
      </c>
      <c r="Q55" s="1320" t="s">
        <v>809</v>
      </c>
      <c r="R55" s="1320" t="s">
        <v>810</v>
      </c>
    </row>
    <row r="56" spans="1:18" s="1292" customFormat="1" ht="25.5" thickTop="1" thickBot="1">
      <c r="A56" s="903">
        <v>2</v>
      </c>
      <c r="B56" s="904" t="s">
        <v>700</v>
      </c>
      <c r="C56" s="224">
        <f ca="1">C13</f>
        <v>30850</v>
      </c>
      <c r="D56" s="1352"/>
      <c r="E56" s="1353"/>
      <c r="F56" s="1345"/>
      <c r="I56" s="1354" t="s">
        <v>838</v>
      </c>
      <c r="J56" s="1355"/>
      <c r="K56" s="1328" t="s">
        <v>839</v>
      </c>
      <c r="L56" s="1331" t="str">
        <f ca="1">IF(L48&lt;J51,"——",L48-J53)</f>
        <v>——</v>
      </c>
      <c r="O56" s="1325" t="s">
        <v>403</v>
      </c>
      <c r="P56" s="1326" t="s">
        <v>813</v>
      </c>
      <c r="Q56" s="1327">
        <f ca="1">C40+J29</f>
        <v>65165</v>
      </c>
      <c r="R56" s="1327" t="s">
        <v>814</v>
      </c>
    </row>
    <row r="57" spans="1:18" s="1292" customFormat="1" ht="24.75" thickBot="1">
      <c r="A57" s="1356"/>
      <c r="B57" s="896" t="s">
        <v>763</v>
      </c>
      <c r="C57" s="230">
        <f ca="1">C29</f>
        <v>38562</v>
      </c>
      <c r="D57" s="1357"/>
      <c r="E57" s="1358"/>
      <c r="F57" s="1359"/>
      <c r="I57" s="1360" t="s">
        <v>840</v>
      </c>
      <c r="J57" s="1361">
        <f ca="1">IF(OR(M47="住宅",J51&lt;L48,J56="是"),"——",J51-L48)</f>
        <v>24.97</v>
      </c>
      <c r="K57" s="1328" t="s">
        <v>841</v>
      </c>
      <c r="L57" s="1331" t="str">
        <f ca="1">IF(L48&lt;J51,"——",IF(L55="比较法",L49,IF(L55="基准地价",L50,L51)))</f>
        <v>——</v>
      </c>
      <c r="O57" s="1325" t="s">
        <v>404</v>
      </c>
      <c r="P57" s="1326" t="s">
        <v>842</v>
      </c>
      <c r="Q57" s="1327">
        <f ca="1">L60</f>
        <v>0</v>
      </c>
      <c r="R57" s="1327" t="s">
        <v>843</v>
      </c>
    </row>
    <row r="58" spans="1:18" s="1292" customFormat="1" ht="24.75" thickBot="1">
      <c r="A58" s="307" t="s">
        <v>393</v>
      </c>
      <c r="B58" s="904" t="s">
        <v>710</v>
      </c>
      <c r="C58" s="308">
        <f ca="1">ROUND(C59+C64+C65+C66,0)</f>
        <v>108</v>
      </c>
      <c r="D58" s="906" t="s">
        <v>711</v>
      </c>
      <c r="E58" s="907"/>
      <c r="F58" s="908"/>
      <c r="I58" s="1360" t="s">
        <v>844</v>
      </c>
      <c r="J58" s="1362">
        <f ca="1">IF(J55&lt;0.4,0.4,J55)</f>
        <v>0.41599999999999998</v>
      </c>
      <c r="K58" s="1339" t="s">
        <v>845</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f ca="1">IF(OR(M47="住宅",J51&lt;L48,J56="是"),"——",ROUND(C29*J58,0))</f>
        <v>16042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IF(项目基本情况!B11="自然人","——",ROUND(C48*F60/(1+'数据-取费表'!C42),2))</f>
        <v>0</v>
      </c>
      <c r="D60" s="910" t="s">
        <v>720</v>
      </c>
      <c r="E60" s="896" t="s">
        <v>708</v>
      </c>
      <c r="F60" s="322">
        <f t="shared" ref="F60:F66" si="0">F32</f>
        <v>5.6000000000000001E-2</v>
      </c>
      <c r="I60" s="1363" t="s">
        <v>849</v>
      </c>
      <c r="J60" s="1364">
        <f ca="1">IF(OR(M47="住宅",J51&lt;L48,J56="是"),"0",ROUND(J59/(1+J52)^J53,0))</f>
        <v>4051</v>
      </c>
      <c r="K60" s="1365" t="s">
        <v>850</v>
      </c>
      <c r="L60" s="1364">
        <f ca="1">IF(OR(M47="住宅",L48&lt;J51),0,ROUND(L57*(L58/L59-1),0))</f>
        <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IF(项目基本情况!B11="自然人","——",IF(D61="按租金收入计税",ROUND(C49*F61/(1+'数据-取费表'!C42),2),IF(D61="按房产原值计税",ROUND(C57*F61*0.7,2),INDIRECT("'数据-取费表'!Aj"&amp;$G$1))))</f>
        <v>0</v>
      </c>
      <c r="D61" s="1278" t="s">
        <v>3322</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IF(项目基本情况!B11="自然人","——",ROUND(F62*F63/10000,2))</f>
        <v>0</v>
      </c>
      <c r="D62" s="911" t="s">
        <v>782</v>
      </c>
      <c r="E62" s="896" t="s">
        <v>783</v>
      </c>
      <c r="F62" s="317">
        <f t="shared" si="0"/>
        <v>0</v>
      </c>
      <c r="I62" s="1367" t="s">
        <v>854</v>
      </c>
      <c r="J62" s="610" t="s">
        <v>855</v>
      </c>
      <c r="K62" s="610" t="s">
        <v>856</v>
      </c>
      <c r="L62" s="610" t="s">
        <v>857</v>
      </c>
      <c r="M62" s="1368" t="s">
        <v>858</v>
      </c>
      <c r="O62" s="1325" t="s">
        <v>409</v>
      </c>
      <c r="P62" s="1326" t="s">
        <v>859</v>
      </c>
      <c r="Q62" s="1327">
        <f ca="1">Q56+Q57</f>
        <v>65165</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ROUND(C57*F64,2)</f>
        <v>77.12</v>
      </c>
      <c r="D64" s="910" t="s">
        <v>787</v>
      </c>
      <c r="E64" s="896" t="s">
        <v>779</v>
      </c>
      <c r="F64" s="320">
        <f t="shared" ca="1" si="0"/>
        <v>2E-3</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ROUND(C56*F65,2)</f>
        <v>30.85</v>
      </c>
      <c r="D65" s="910" t="s">
        <v>739</v>
      </c>
      <c r="E65" s="896" t="s">
        <v>740</v>
      </c>
      <c r="F65" s="321">
        <f t="shared" ca="1" si="0"/>
        <v>1E-3</v>
      </c>
      <c r="I65" s="1367" t="s">
        <v>863</v>
      </c>
      <c r="J65" s="610">
        <v>40</v>
      </c>
      <c r="K65" s="610">
        <v>30</v>
      </c>
      <c r="L65" s="610">
        <v>50</v>
      </c>
      <c r="M65" s="1369">
        <v>0.02</v>
      </c>
      <c r="O65" s="1325" t="s">
        <v>403</v>
      </c>
      <c r="P65" s="1326" t="s">
        <v>864</v>
      </c>
      <c r="Q65" s="1327">
        <f ca="1">C40+J29</f>
        <v>65165</v>
      </c>
      <c r="R65" s="1327" t="s">
        <v>814</v>
      </c>
    </row>
    <row r="66" spans="1:18" s="1292" customFormat="1" ht="16.5" thickBot="1">
      <c r="A66" s="928" t="s">
        <v>789</v>
      </c>
      <c r="B66" s="896" t="s">
        <v>724</v>
      </c>
      <c r="C66" s="21">
        <f ca="1">ROUND(C48*F66,2)</f>
        <v>0</v>
      </c>
      <c r="D66" s="910" t="s">
        <v>790</v>
      </c>
      <c r="E66" s="896" t="s">
        <v>708</v>
      </c>
      <c r="F66" s="304">
        <f t="shared" ca="1" si="0"/>
        <v>0.01</v>
      </c>
      <c r="O66" s="1325" t="s">
        <v>404</v>
      </c>
      <c r="P66" s="1326" t="s">
        <v>842</v>
      </c>
      <c r="Q66" s="1327">
        <f ca="1">L60</f>
        <v>0</v>
      </c>
      <c r="R66" s="1327" t="s">
        <v>865</v>
      </c>
    </row>
    <row r="67" spans="1:18" s="1292" customFormat="1" ht="16.5" thickBot="1">
      <c r="A67" s="903" t="s">
        <v>394</v>
      </c>
      <c r="B67" s="913" t="s">
        <v>748</v>
      </c>
      <c r="C67" s="308">
        <f ca="1">C48-C58</f>
        <v>-108</v>
      </c>
      <c r="D67" s="909" t="s">
        <v>749</v>
      </c>
      <c r="E67" s="914"/>
      <c r="F67" s="915"/>
      <c r="O67" s="1334" t="s">
        <v>405</v>
      </c>
      <c r="P67" s="1326" t="s">
        <v>846</v>
      </c>
      <c r="Q67" s="1370">
        <f ca="1">L51</f>
        <v>46886</v>
      </c>
      <c r="R67" s="1327" t="s">
        <v>866</v>
      </c>
    </row>
    <row r="68" spans="1:18" s="1292" customFormat="1" ht="16.5" thickBot="1">
      <c r="A68" s="893" t="s">
        <v>395</v>
      </c>
      <c r="B68" s="894" t="s">
        <v>770</v>
      </c>
      <c r="C68" s="293">
        <f ca="1">ROUND(C67*(1-((1+F70)/(1+F68))^F69)/(F68-F70),0)</f>
        <v>-1255</v>
      </c>
      <c r="D68" s="911" t="s">
        <v>754</v>
      </c>
      <c r="E68" s="896" t="s">
        <v>755</v>
      </c>
      <c r="F68" s="304">
        <f ca="1">F40</f>
        <v>5.5E-2</v>
      </c>
      <c r="O68" s="1334" t="s">
        <v>406</v>
      </c>
      <c r="P68" s="1371" t="s">
        <v>867</v>
      </c>
      <c r="Q68" s="1327">
        <f ca="1">ROUND(Q69-Q70*Q71,0)</f>
        <v>2655</v>
      </c>
      <c r="R68" s="1327" t="s">
        <v>414</v>
      </c>
    </row>
    <row r="69" spans="1:18" s="1292" customFormat="1" ht="13.5" thickBot="1">
      <c r="A69" s="897"/>
      <c r="B69" s="898"/>
      <c r="C69" s="298"/>
      <c r="D69" s="916" t="s">
        <v>758</v>
      </c>
      <c r="E69" s="896" t="s">
        <v>759</v>
      </c>
      <c r="F69" s="324">
        <f ca="1">F41</f>
        <v>19.03</v>
      </c>
      <c r="O69" s="1334" t="s">
        <v>411</v>
      </c>
      <c r="P69" s="1371" t="s">
        <v>868</v>
      </c>
      <c r="Q69" s="1327">
        <f ca="1">C39</f>
        <v>4814</v>
      </c>
      <c r="R69" s="1327" t="s">
        <v>814</v>
      </c>
    </row>
    <row r="70" spans="1:18" s="1292" customFormat="1" ht="13.5" thickBot="1">
      <c r="A70" s="900"/>
      <c r="B70" s="901"/>
      <c r="C70" s="302"/>
      <c r="D70" s="912"/>
      <c r="E70" s="896" t="s">
        <v>762</v>
      </c>
      <c r="F70" s="991"/>
      <c r="O70" s="1334" t="s">
        <v>412</v>
      </c>
      <c r="P70" s="1371" t="s">
        <v>869</v>
      </c>
      <c r="Q70" s="1327">
        <f ca="1">C13</f>
        <v>30850</v>
      </c>
      <c r="R70" s="1327" t="s">
        <v>814</v>
      </c>
    </row>
    <row r="71" spans="1:18" s="1292" customFormat="1" ht="13.5" thickBot="1">
      <c r="A71" s="917" t="s">
        <v>396</v>
      </c>
      <c r="B71" s="918" t="s">
        <v>772</v>
      </c>
      <c r="C71" s="327">
        <f ca="1">ROUND(C68*10000/F71,0)</f>
        <v>-345</v>
      </c>
      <c r="D71" s="919" t="s">
        <v>773</v>
      </c>
      <c r="E71" s="920" t="s">
        <v>774</v>
      </c>
      <c r="F71" s="330">
        <f ca="1">F43</f>
        <v>36389.269999999997</v>
      </c>
      <c r="O71" s="1334" t="s">
        <v>413</v>
      </c>
      <c r="P71" s="1371" t="s">
        <v>870</v>
      </c>
      <c r="Q71" s="1337">
        <f ca="1">C76</f>
        <v>7.0000000000000007E-2</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2160</v>
      </c>
      <c r="D75" s="1292"/>
      <c r="E75" s="1292"/>
      <c r="F75" s="1292"/>
      <c r="K75" s="1309"/>
      <c r="L75" s="1292"/>
      <c r="O75" s="1325" t="s">
        <v>409</v>
      </c>
      <c r="P75" s="1326" t="s">
        <v>834</v>
      </c>
      <c r="Q75" s="1327">
        <f ca="1">Q65+Q66</f>
        <v>65165</v>
      </c>
      <c r="R75" s="1327" t="s">
        <v>410</v>
      </c>
    </row>
    <row r="76" spans="1:18">
      <c r="B76" s="333" t="s">
        <v>792</v>
      </c>
      <c r="C76" s="334">
        <f ca="1">INDIRECT("'数据-取费表'!j"&amp;$G$1)</f>
        <v>7.0000000000000007E-2</v>
      </c>
      <c r="I76" s="1292"/>
      <c r="J76" s="1292"/>
      <c r="K76" s="1309"/>
      <c r="L76" s="1292"/>
    </row>
    <row r="77" spans="1:18">
      <c r="B77" s="335" t="s">
        <v>793</v>
      </c>
      <c r="C77" s="336"/>
      <c r="I77" s="1292"/>
      <c r="J77" s="1292"/>
      <c r="K77" s="1309"/>
      <c r="L77" s="1292"/>
    </row>
    <row r="78" spans="1:18">
      <c r="B78" s="262" t="s">
        <v>794</v>
      </c>
      <c r="C78" s="337"/>
    </row>
    <row r="79" spans="1:18">
      <c r="B79" s="331" t="s">
        <v>795</v>
      </c>
      <c r="C79" s="266">
        <f ca="1">1-C80</f>
        <v>0.55099999999999993</v>
      </c>
    </row>
    <row r="80" spans="1:18">
      <c r="B80" s="331" t="s">
        <v>796</v>
      </c>
      <c r="C80" s="266">
        <f ca="1">ROUND(C75/C39,3)</f>
        <v>0.44900000000000001</v>
      </c>
    </row>
    <row r="81" spans="2:3">
      <c r="B81" s="262" t="s">
        <v>797</v>
      </c>
      <c r="C81" s="230"/>
    </row>
    <row r="82" spans="2:3">
      <c r="B82" s="265" t="s">
        <v>798</v>
      </c>
      <c r="C82" s="267">
        <f ca="1">1-C83</f>
        <v>0.52700000000000002</v>
      </c>
    </row>
    <row r="83" spans="2:3">
      <c r="B83" s="265" t="s">
        <v>799</v>
      </c>
      <c r="C83" s="266">
        <f ca="1">ROUND(C13/C40,3)</f>
        <v>0.47299999999999998</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AED99-2BB4-4637-AA88-98A50E3E6836}">
  <dimension ref="A1:L90"/>
  <sheetViews>
    <sheetView workbookViewId="0">
      <selection activeCell="E30" sqref="E30"/>
    </sheetView>
  </sheetViews>
  <sheetFormatPr defaultRowHeight="13.5"/>
  <cols>
    <col min="1" max="1" width="35.25" bestFit="1" customWidth="1"/>
    <col min="2" max="5" width="13.5" bestFit="1" customWidth="1"/>
    <col min="7" max="7" width="80.875" bestFit="1" customWidth="1"/>
    <col min="8" max="12" width="9.5" bestFit="1" customWidth="1"/>
  </cols>
  <sheetData>
    <row r="1" spans="1:12">
      <c r="A1" s="3173"/>
      <c r="B1" s="3174" t="s">
        <v>3436</v>
      </c>
      <c r="C1" s="3174" t="s">
        <v>3437</v>
      </c>
      <c r="D1" s="3174" t="s">
        <v>3438</v>
      </c>
      <c r="E1" s="3174" t="s">
        <v>3439</v>
      </c>
      <c r="G1" s="3397" t="s">
        <v>3471</v>
      </c>
      <c r="H1" s="3176" t="s">
        <v>3439</v>
      </c>
      <c r="I1" s="3176" t="s">
        <v>3472</v>
      </c>
      <c r="J1" s="3176" t="s">
        <v>3473</v>
      </c>
      <c r="K1" s="3176" t="s">
        <v>3474</v>
      </c>
      <c r="L1" s="3176" t="s">
        <v>3475</v>
      </c>
    </row>
    <row r="2" spans="1:12">
      <c r="A2" s="3173"/>
      <c r="B2" s="3174" t="s">
        <v>3440</v>
      </c>
      <c r="C2" s="3174" t="s">
        <v>3440</v>
      </c>
      <c r="D2" s="3174" t="s">
        <v>3440</v>
      </c>
      <c r="E2" s="3174" t="s">
        <v>3440</v>
      </c>
      <c r="G2" s="3397"/>
      <c r="H2" s="3176" t="s">
        <v>3476</v>
      </c>
      <c r="I2" s="3176" t="s">
        <v>3476</v>
      </c>
      <c r="J2" s="3176" t="s">
        <v>3477</v>
      </c>
      <c r="K2" s="3176" t="s">
        <v>3477</v>
      </c>
      <c r="L2" s="3176" t="s">
        <v>3477</v>
      </c>
    </row>
    <row r="3" spans="1:12">
      <c r="A3" s="3173"/>
      <c r="B3" s="3174" t="s">
        <v>3441</v>
      </c>
      <c r="C3" s="3174" t="s">
        <v>3441</v>
      </c>
      <c r="D3" s="3174" t="s">
        <v>3441</v>
      </c>
      <c r="E3" s="3174" t="s">
        <v>3442</v>
      </c>
      <c r="G3" s="3177" t="s">
        <v>3478</v>
      </c>
      <c r="H3" s="3178">
        <v>10433.666103</v>
      </c>
      <c r="I3" s="3178">
        <v>10593.254684</v>
      </c>
      <c r="J3" s="3178">
        <v>10896.152794</v>
      </c>
      <c r="K3" s="3178">
        <v>11256.579540999999</v>
      </c>
      <c r="L3" s="3178">
        <v>11679.661593000001</v>
      </c>
    </row>
    <row r="4" spans="1:12">
      <c r="A4" s="3174" t="s">
        <v>3443</v>
      </c>
      <c r="B4" s="3175">
        <v>12197.427583876</v>
      </c>
      <c r="C4" s="3175">
        <v>12499.618855000001</v>
      </c>
      <c r="D4" s="3175">
        <v>12354.643466</v>
      </c>
      <c r="E4" s="3175">
        <v>5416.6220700000003</v>
      </c>
      <c r="G4" s="3177" t="s">
        <v>3479</v>
      </c>
      <c r="H4" s="3178">
        <v>412.01425</v>
      </c>
      <c r="I4" s="3178">
        <v>416.091993</v>
      </c>
      <c r="J4" s="3178">
        <v>416.091993</v>
      </c>
      <c r="K4" s="3178">
        <v>416.091993</v>
      </c>
      <c r="L4" s="3178">
        <v>416.091993</v>
      </c>
    </row>
    <row r="5" spans="1:12">
      <c r="A5" s="3174" t="s">
        <v>3444</v>
      </c>
      <c r="B5" s="3175">
        <v>12198.175702876</v>
      </c>
      <c r="C5" s="3175">
        <v>12500.694384</v>
      </c>
      <c r="D5" s="3175">
        <v>12354.853741999999</v>
      </c>
      <c r="E5" s="3175">
        <v>5416.7999460000001</v>
      </c>
      <c r="G5" s="3177" t="s">
        <v>3480</v>
      </c>
      <c r="H5" s="3178">
        <v>4625.5805350000001</v>
      </c>
      <c r="I5" s="3178">
        <v>4677.5547450000004</v>
      </c>
      <c r="J5" s="3178">
        <v>4786.0900320000001</v>
      </c>
      <c r="K5" s="3178">
        <v>4933.7484539999996</v>
      </c>
      <c r="L5" s="3178">
        <v>5076.2603440000003</v>
      </c>
    </row>
    <row r="6" spans="1:12">
      <c r="A6" s="3174" t="s">
        <v>3445</v>
      </c>
      <c r="B6" s="3175">
        <v>11096.034304876001</v>
      </c>
      <c r="C6" s="3175">
        <v>11146.131586</v>
      </c>
      <c r="D6" s="3175">
        <v>11563.000386</v>
      </c>
      <c r="E6" s="3175">
        <v>4992.5420569999997</v>
      </c>
      <c r="G6" s="3177" t="s">
        <v>3481</v>
      </c>
      <c r="H6" s="3178"/>
      <c r="I6" s="3178"/>
      <c r="J6" s="3178"/>
      <c r="K6" s="3178"/>
      <c r="L6" s="3178"/>
    </row>
    <row r="7" spans="1:12">
      <c r="A7" s="3174" t="s">
        <v>3446</v>
      </c>
      <c r="B7" s="3175">
        <v>8870.7787378760004</v>
      </c>
      <c r="C7" s="3175">
        <v>8870.8368539999992</v>
      </c>
      <c r="D7" s="3175">
        <v>9163.1618739999994</v>
      </c>
      <c r="E7" s="3175">
        <v>3897.506429</v>
      </c>
      <c r="G7" s="3177" t="s">
        <v>3482</v>
      </c>
      <c r="H7" s="3178"/>
      <c r="I7" s="3178"/>
      <c r="J7" s="3179"/>
      <c r="K7" s="3179"/>
      <c r="L7" s="3179"/>
    </row>
    <row r="8" spans="1:12">
      <c r="A8" s="3174" t="s">
        <v>3447</v>
      </c>
      <c r="B8" s="3175">
        <v>1999.83007</v>
      </c>
      <c r="C8" s="3175">
        <v>2052.2160490000001</v>
      </c>
      <c r="D8" s="3175">
        <v>2169.7292640000001</v>
      </c>
      <c r="E8" s="3175">
        <v>989.17128400000001</v>
      </c>
      <c r="G8" s="3177" t="s">
        <v>3483</v>
      </c>
      <c r="H8" s="3178"/>
      <c r="I8" s="3178"/>
      <c r="J8" s="3178"/>
      <c r="K8" s="3178"/>
      <c r="L8" s="3178"/>
    </row>
    <row r="9" spans="1:12">
      <c r="A9" s="3174" t="s">
        <v>3448</v>
      </c>
      <c r="B9" s="3175">
        <v>225.42549700000001</v>
      </c>
      <c r="C9" s="3175">
        <v>223.07868300000001</v>
      </c>
      <c r="D9" s="3175">
        <v>230.10924800000001</v>
      </c>
      <c r="E9" s="3175">
        <v>105.864344</v>
      </c>
      <c r="G9" s="3177" t="s">
        <v>3484</v>
      </c>
      <c r="H9" s="3178">
        <v>4867.5200000000004</v>
      </c>
      <c r="I9" s="3178">
        <v>4991.6000000000004</v>
      </c>
      <c r="J9" s="3179">
        <v>5141</v>
      </c>
      <c r="K9" s="3179">
        <v>5296</v>
      </c>
      <c r="L9" s="3179">
        <v>5454.7969999999996</v>
      </c>
    </row>
    <row r="10" spans="1:12">
      <c r="A10" s="3174" t="s">
        <v>3449</v>
      </c>
      <c r="B10" s="3175">
        <v>402.300522</v>
      </c>
      <c r="C10" s="3175">
        <v>354.049057</v>
      </c>
      <c r="D10" s="3175">
        <v>242.01402300000001</v>
      </c>
      <c r="E10" s="3175">
        <v>140.91519099999999</v>
      </c>
      <c r="G10" s="3177" t="s">
        <v>3485</v>
      </c>
      <c r="H10" s="3178">
        <v>124</v>
      </c>
      <c r="I10" s="3178">
        <v>124</v>
      </c>
      <c r="J10" s="3178">
        <v>124</v>
      </c>
      <c r="K10" s="3178">
        <v>124</v>
      </c>
      <c r="L10" s="3178">
        <v>124</v>
      </c>
    </row>
    <row r="11" spans="1:12">
      <c r="A11" s="3174" t="s">
        <v>3450</v>
      </c>
      <c r="B11" s="3175">
        <v>0.38685000000000003</v>
      </c>
      <c r="C11" s="3175">
        <v>3.1481409999999999</v>
      </c>
      <c r="D11" s="3175">
        <v>0.22881299999999999</v>
      </c>
      <c r="E11" s="3175">
        <v>0.18539</v>
      </c>
      <c r="G11" s="3180" t="s">
        <v>3486</v>
      </c>
      <c r="H11" s="3178">
        <v>20462.780888000001</v>
      </c>
      <c r="I11" s="3178">
        <v>20802.501422000001</v>
      </c>
      <c r="J11" s="3178">
        <v>21363.334819</v>
      </c>
      <c r="K11" s="3178">
        <v>22026.419988000001</v>
      </c>
      <c r="L11" s="3178">
        <v>22750.81093</v>
      </c>
    </row>
    <row r="12" spans="1:12">
      <c r="A12" s="3174" t="s">
        <v>3451</v>
      </c>
      <c r="B12" s="3175">
        <v>0</v>
      </c>
      <c r="C12" s="3175">
        <v>0</v>
      </c>
      <c r="D12" s="3175">
        <v>2.6415000000000001E-2</v>
      </c>
      <c r="E12" s="3175">
        <v>0</v>
      </c>
      <c r="G12" s="3177" t="s">
        <v>3487</v>
      </c>
      <c r="H12" s="3178">
        <v>1626.2614960000001</v>
      </c>
      <c r="I12" s="3178">
        <v>1130.1187</v>
      </c>
      <c r="J12" s="3178">
        <v>1067.6756800000001</v>
      </c>
      <c r="K12" s="3178">
        <v>1050.064938</v>
      </c>
      <c r="L12" s="3178">
        <v>1060.452753</v>
      </c>
    </row>
    <row r="13" spans="1:12">
      <c r="A13" s="3174" t="s">
        <v>3452</v>
      </c>
      <c r="B13" s="3175">
        <v>433.70415800000001</v>
      </c>
      <c r="C13" s="3175">
        <v>486.03617600000001</v>
      </c>
      <c r="D13" s="3175">
        <v>417.835668</v>
      </c>
      <c r="E13" s="3175">
        <v>225.159774</v>
      </c>
      <c r="G13" s="3177" t="s">
        <v>3488</v>
      </c>
      <c r="H13" s="3178">
        <v>3409.0052350000001</v>
      </c>
      <c r="I13" s="3178">
        <v>3381.7289249999999</v>
      </c>
      <c r="J13" s="3178">
        <v>3400.75162</v>
      </c>
      <c r="K13" s="3178">
        <v>3492.2629940000002</v>
      </c>
      <c r="L13" s="3178">
        <v>3567.0810660000002</v>
      </c>
    </row>
    <row r="14" spans="1:12">
      <c r="A14" s="3174" t="s">
        <v>3453</v>
      </c>
      <c r="B14" s="3175">
        <v>0</v>
      </c>
      <c r="C14" s="3175">
        <v>0.13789299999999999</v>
      </c>
      <c r="D14" s="3175">
        <v>5.0112999999999998E-2</v>
      </c>
      <c r="E14" s="3175">
        <v>0</v>
      </c>
      <c r="G14" s="3177" t="s">
        <v>3489</v>
      </c>
      <c r="H14" s="3178"/>
      <c r="I14" s="3178"/>
      <c r="J14" s="3178"/>
      <c r="K14" s="3178"/>
      <c r="L14" s="3178"/>
    </row>
    <row r="15" spans="1:12">
      <c r="A15" s="3174" t="s">
        <v>3454</v>
      </c>
      <c r="B15" s="3175">
        <v>265.00174900000002</v>
      </c>
      <c r="C15" s="3175">
        <v>510.11600199999998</v>
      </c>
      <c r="D15" s="3175">
        <v>131.48804799999999</v>
      </c>
      <c r="E15" s="3175">
        <v>57.819657999999997</v>
      </c>
      <c r="G15" s="3177" t="s">
        <v>3490</v>
      </c>
      <c r="H15" s="3178">
        <v>1638.681456</v>
      </c>
      <c r="I15" s="3178">
        <v>1719.1592599999999</v>
      </c>
      <c r="J15" s="3178">
        <v>1805.6172550000001</v>
      </c>
      <c r="K15" s="3178">
        <v>1895.4090659999999</v>
      </c>
      <c r="L15" s="3178">
        <v>1989.725058</v>
      </c>
    </row>
    <row r="16" spans="1:12">
      <c r="A16" s="3174" t="s">
        <v>3455</v>
      </c>
      <c r="B16" s="3175">
        <v>6022.9819509999998</v>
      </c>
      <c r="C16" s="3175">
        <v>6624.7785949999998</v>
      </c>
      <c r="D16" s="3175">
        <v>6544.1162450000002</v>
      </c>
      <c r="E16" s="3175">
        <v>2773.045932</v>
      </c>
      <c r="G16" s="3177" t="s">
        <v>3491</v>
      </c>
      <c r="H16" s="3178">
        <v>1325.0317620000001</v>
      </c>
      <c r="I16" s="3178">
        <v>1344.6236799999999</v>
      </c>
      <c r="J16" s="3179">
        <v>1401.2151100000001</v>
      </c>
      <c r="K16" s="3179">
        <v>1428.475418</v>
      </c>
      <c r="L16" s="3179">
        <v>1487.3947129999999</v>
      </c>
    </row>
    <row r="17" spans="1:12">
      <c r="A17" s="3174" t="s">
        <v>3456</v>
      </c>
      <c r="B17" s="3175">
        <v>11.659084</v>
      </c>
      <c r="C17" s="3175">
        <v>-7.3872999999999998</v>
      </c>
      <c r="D17" s="3175">
        <v>4</v>
      </c>
      <c r="E17" s="3175">
        <v>-2.9601999999999999</v>
      </c>
      <c r="G17" s="3177" t="s">
        <v>3492</v>
      </c>
      <c r="H17" s="3178">
        <v>332.68405999999999</v>
      </c>
      <c r="I17" s="3178">
        <v>304.59899999999999</v>
      </c>
      <c r="J17" s="3179">
        <v>310.24135000000001</v>
      </c>
      <c r="K17" s="3179">
        <v>316.35234600000001</v>
      </c>
      <c r="L17" s="3179">
        <v>322.32334500000002</v>
      </c>
    </row>
    <row r="18" spans="1:12">
      <c r="A18" s="3174" t="s">
        <v>3457</v>
      </c>
      <c r="B18" s="3175">
        <v>245.78787500000001</v>
      </c>
      <c r="C18" s="3175">
        <v>172.80030199999999</v>
      </c>
      <c r="D18" s="3175">
        <v>116.34312</v>
      </c>
      <c r="E18" s="3175">
        <v>72.215958999999998</v>
      </c>
      <c r="G18" s="3177" t="s">
        <v>3493</v>
      </c>
      <c r="H18" s="3178">
        <v>881.61764100000005</v>
      </c>
      <c r="I18" s="3178">
        <v>975.02376000000004</v>
      </c>
      <c r="J18" s="3179">
        <v>1036.7481439999999</v>
      </c>
      <c r="K18" s="3179">
        <v>1097.7087710000001</v>
      </c>
      <c r="L18" s="3179">
        <v>1158.7539609999999</v>
      </c>
    </row>
    <row r="19" spans="1:12">
      <c r="A19" s="3174" t="s">
        <v>3458</v>
      </c>
      <c r="B19" s="3175">
        <v>63.891603000000003</v>
      </c>
      <c r="C19" s="3175">
        <v>55.583970999999998</v>
      </c>
      <c r="D19" s="3175">
        <v>45.56467</v>
      </c>
      <c r="E19" s="3175">
        <v>1.1540900000000001</v>
      </c>
      <c r="G19" s="3177" t="s">
        <v>3494</v>
      </c>
      <c r="H19" s="3178"/>
      <c r="I19" s="3178"/>
      <c r="J19" s="3179"/>
      <c r="K19" s="3179"/>
      <c r="L19" s="3179"/>
    </row>
    <row r="20" spans="1:12">
      <c r="A20" s="3174" t="s">
        <v>3459</v>
      </c>
      <c r="B20" s="3175">
        <v>23.981425999999999</v>
      </c>
      <c r="C20" s="3175">
        <v>49.158845999999997</v>
      </c>
      <c r="D20" s="3175">
        <v>56.329576000000003</v>
      </c>
      <c r="E20" s="3175">
        <v>11.908766</v>
      </c>
      <c r="G20" s="3177" t="s">
        <v>3495</v>
      </c>
      <c r="H20" s="3178">
        <v>731.57786399999998</v>
      </c>
      <c r="I20" s="3178">
        <v>753.47213799999997</v>
      </c>
      <c r="J20" s="3179">
        <v>782.01471800000002</v>
      </c>
      <c r="K20" s="3179">
        <v>811.85062000000005</v>
      </c>
      <c r="L20" s="3179">
        <v>845.37424299999998</v>
      </c>
    </row>
    <row r="21" spans="1:12">
      <c r="A21" s="3174" t="s">
        <v>3460</v>
      </c>
      <c r="B21" s="3175">
        <v>3021.3439680000001</v>
      </c>
      <c r="C21" s="3175">
        <v>2964.362173</v>
      </c>
      <c r="D21" s="3175">
        <v>2914.8045809999999</v>
      </c>
      <c r="E21" s="3175">
        <v>1174.914884</v>
      </c>
      <c r="G21" s="3177" t="s">
        <v>3496</v>
      </c>
      <c r="H21" s="3178">
        <v>1185.4930280000001</v>
      </c>
      <c r="I21" s="3178">
        <v>1208.0431060000001</v>
      </c>
      <c r="J21" s="3178">
        <v>1241.2585389999999</v>
      </c>
      <c r="K21" s="3178">
        <v>1281.3059410000001</v>
      </c>
      <c r="L21" s="3178">
        <v>1328.680294</v>
      </c>
    </row>
    <row r="22" spans="1:12">
      <c r="A22" s="3174" t="s">
        <v>3461</v>
      </c>
      <c r="B22" s="3175">
        <v>77.750337000000002</v>
      </c>
      <c r="C22" s="3175">
        <v>54.652009</v>
      </c>
      <c r="D22" s="3175">
        <v>38.058377</v>
      </c>
      <c r="E22" s="3175">
        <v>19.195312999999999</v>
      </c>
      <c r="G22" s="3177" t="s">
        <v>3497</v>
      </c>
      <c r="H22" s="3178">
        <v>4937.5200000000004</v>
      </c>
      <c r="I22" s="3178">
        <v>4991.6000000000004</v>
      </c>
      <c r="J22" s="3178">
        <v>5141</v>
      </c>
      <c r="K22" s="3178">
        <v>5296</v>
      </c>
      <c r="L22" s="3178">
        <v>5454.7969999999996</v>
      </c>
    </row>
    <row r="23" spans="1:12">
      <c r="A23" s="3174" t="s">
        <v>3462</v>
      </c>
      <c r="B23" s="3175">
        <v>145.93080599999999</v>
      </c>
      <c r="C23" s="3175">
        <v>39.999569999999999</v>
      </c>
      <c r="D23" s="3175">
        <v>209.39732599999999</v>
      </c>
      <c r="E23" s="3175">
        <v>21.331462999999999</v>
      </c>
      <c r="G23" s="3177" t="s">
        <v>3498</v>
      </c>
      <c r="H23" s="3178">
        <v>124</v>
      </c>
      <c r="I23" s="3178">
        <v>124</v>
      </c>
      <c r="J23" s="3178">
        <v>124</v>
      </c>
      <c r="K23" s="3178">
        <v>124</v>
      </c>
      <c r="L23" s="3178">
        <v>124</v>
      </c>
    </row>
    <row r="24" spans="1:12">
      <c r="A24" s="3174" t="s">
        <v>3463</v>
      </c>
      <c r="B24" s="3175">
        <v>2797.6628249999999</v>
      </c>
      <c r="C24" s="3175">
        <v>2869.7105940000001</v>
      </c>
      <c r="D24" s="3175">
        <v>2667.3488779999998</v>
      </c>
      <c r="E24" s="3175">
        <v>1134.3881080000001</v>
      </c>
      <c r="G24" s="3180" t="s">
        <v>3499</v>
      </c>
      <c r="H24" s="3178">
        <v>16191.872541999999</v>
      </c>
      <c r="I24" s="3178">
        <v>15932.368569</v>
      </c>
      <c r="J24" s="3178">
        <v>16310.522416</v>
      </c>
      <c r="K24" s="3178">
        <v>16793.430093999999</v>
      </c>
      <c r="L24" s="3178">
        <v>17338.582433</v>
      </c>
    </row>
    <row r="25" spans="1:12">
      <c r="A25" s="3174" t="s">
        <v>3464</v>
      </c>
      <c r="B25" s="3175">
        <v>2794.1482999999998</v>
      </c>
      <c r="C25" s="3175">
        <v>2869.7105940000001</v>
      </c>
      <c r="D25" s="3175">
        <v>2653.9308529999998</v>
      </c>
      <c r="E25" s="3175">
        <v>1082.8403989999999</v>
      </c>
      <c r="G25" s="3181" t="s">
        <v>3500</v>
      </c>
      <c r="H25" s="3178">
        <v>4270.9083460000002</v>
      </c>
      <c r="I25" s="3178">
        <v>4870.1328530000001</v>
      </c>
      <c r="J25" s="3178">
        <v>5052.8124029999999</v>
      </c>
      <c r="K25" s="3178">
        <v>5232.9898940000003</v>
      </c>
      <c r="L25" s="3178">
        <v>5412.2284970000001</v>
      </c>
    </row>
    <row r="26" spans="1:12">
      <c r="A26" s="3174" t="s">
        <v>3465</v>
      </c>
      <c r="B26" s="3175">
        <v>3.5145249999999999</v>
      </c>
      <c r="C26" s="3175">
        <v>0</v>
      </c>
      <c r="D26" s="3175">
        <v>13.418025</v>
      </c>
      <c r="E26" s="3175">
        <v>51.547708999999998</v>
      </c>
      <c r="G26" s="3177" t="s">
        <v>3501</v>
      </c>
      <c r="H26" s="3178"/>
      <c r="I26" s="3178"/>
      <c r="J26" s="3179"/>
      <c r="K26" s="3179"/>
      <c r="L26" s="3179"/>
    </row>
    <row r="27" spans="1:12">
      <c r="A27" s="3174" t="s">
        <v>3466</v>
      </c>
      <c r="B27" s="3175">
        <v>949.34722999999997</v>
      </c>
      <c r="C27" s="3175">
        <v>832.81063500000005</v>
      </c>
      <c r="D27" s="3175">
        <v>790.88608799999997</v>
      </c>
      <c r="E27" s="3175">
        <v>368.09221100000002</v>
      </c>
      <c r="G27" s="3177" t="s">
        <v>3502</v>
      </c>
      <c r="H27" s="3178"/>
      <c r="I27" s="3178"/>
      <c r="J27" s="3179"/>
      <c r="K27" s="3179"/>
      <c r="L27" s="3179"/>
    </row>
    <row r="28" spans="1:12">
      <c r="A28" s="3174" t="s">
        <v>3467</v>
      </c>
      <c r="B28" s="3175">
        <v>920.97295399999996</v>
      </c>
      <c r="C28" s="3175">
        <v>1270.7903739999999</v>
      </c>
      <c r="D28" s="3175">
        <v>1339.504207</v>
      </c>
      <c r="E28" s="3175">
        <v>562.19841699999995</v>
      </c>
      <c r="G28" s="3177" t="s">
        <v>3503</v>
      </c>
      <c r="H28" s="3178"/>
      <c r="I28" s="3178"/>
      <c r="J28" s="3179"/>
      <c r="K28" s="3179"/>
      <c r="L28" s="3179"/>
    </row>
    <row r="29" spans="1:12">
      <c r="A29" s="3174" t="s">
        <v>3468</v>
      </c>
      <c r="B29" s="3175">
        <v>785.99781099999996</v>
      </c>
      <c r="C29" s="3175">
        <v>1286.659594</v>
      </c>
      <c r="D29" s="3175">
        <v>1276.6840030000001</v>
      </c>
      <c r="E29" s="3175">
        <v>585.52180499999997</v>
      </c>
      <c r="G29" s="3177" t="s">
        <v>3504</v>
      </c>
      <c r="H29" s="3178"/>
      <c r="I29" s="3178"/>
      <c r="J29" s="3179"/>
      <c r="K29" s="3179"/>
      <c r="L29" s="3179"/>
    </row>
    <row r="30" spans="1:12">
      <c r="A30" s="3174" t="s">
        <v>3469</v>
      </c>
      <c r="B30" s="3175">
        <v>6785.3037838760001</v>
      </c>
      <c r="C30" s="3175">
        <v>6971.6442870000001</v>
      </c>
      <c r="D30" s="3175">
        <v>6898.7544900000003</v>
      </c>
      <c r="E30" s="3175">
        <v>3137.7517480000001</v>
      </c>
      <c r="G30" s="3177" t="s">
        <v>3505</v>
      </c>
      <c r="H30" s="3178"/>
      <c r="I30" s="3178"/>
      <c r="J30" s="3179"/>
      <c r="K30" s="3179"/>
      <c r="L30" s="3179"/>
    </row>
    <row r="31" spans="1:12">
      <c r="G31" s="3177" t="s">
        <v>3506</v>
      </c>
      <c r="H31" s="3178"/>
      <c r="I31" s="3178"/>
      <c r="J31" s="3179"/>
      <c r="K31" s="3179"/>
      <c r="L31" s="3179"/>
    </row>
    <row r="32" spans="1:12">
      <c r="G32" s="3177" t="s">
        <v>3507</v>
      </c>
      <c r="H32" s="3178"/>
      <c r="I32" s="3178"/>
      <c r="J32" s="3179"/>
      <c r="K32" s="3179"/>
      <c r="L32" s="3179"/>
    </row>
    <row r="33" spans="7:12">
      <c r="G33" s="3177" t="s">
        <v>3508</v>
      </c>
      <c r="H33" s="3178"/>
      <c r="I33" s="3178"/>
      <c r="J33" s="3178"/>
      <c r="K33" s="3178"/>
      <c r="L33" s="3178"/>
    </row>
    <row r="34" spans="7:12">
      <c r="G34" s="3177" t="s">
        <v>3509</v>
      </c>
      <c r="H34" s="3178"/>
      <c r="I34" s="3178"/>
      <c r="J34" s="3178"/>
      <c r="K34" s="3178"/>
      <c r="L34" s="3178"/>
    </row>
    <row r="35" spans="7:12">
      <c r="G35" s="3177" t="s">
        <v>3510</v>
      </c>
      <c r="H35" s="3178">
        <v>1.115E-2</v>
      </c>
      <c r="I35" s="3178"/>
      <c r="J35" s="3179"/>
      <c r="K35" s="3179"/>
      <c r="L35" s="3179"/>
    </row>
    <row r="36" spans="7:12">
      <c r="G36" s="3177" t="s">
        <v>3511</v>
      </c>
      <c r="H36" s="3178"/>
      <c r="I36" s="3178"/>
      <c r="J36" s="3179"/>
      <c r="K36" s="3179"/>
      <c r="L36" s="3179"/>
    </row>
    <row r="37" spans="7:12">
      <c r="G37" s="3177" t="s">
        <v>3512</v>
      </c>
      <c r="H37" s="3178"/>
      <c r="I37" s="3178"/>
      <c r="J37" s="3179"/>
      <c r="K37" s="3179"/>
      <c r="L37" s="3179"/>
    </row>
    <row r="38" spans="7:12">
      <c r="G38" s="3177" t="s">
        <v>3513</v>
      </c>
      <c r="H38" s="3178"/>
      <c r="I38" s="3178"/>
      <c r="J38" s="3178"/>
      <c r="K38" s="3178"/>
      <c r="L38" s="3178"/>
    </row>
    <row r="39" spans="7:12">
      <c r="G39" s="3177" t="s">
        <v>3514</v>
      </c>
      <c r="H39" s="3178"/>
      <c r="I39" s="3178"/>
      <c r="J39" s="3179"/>
      <c r="K39" s="3179"/>
      <c r="L39" s="3179"/>
    </row>
    <row r="40" spans="7:12">
      <c r="G40" s="3177" t="s">
        <v>3515</v>
      </c>
      <c r="H40" s="3178">
        <v>16191.683676000001</v>
      </c>
      <c r="I40" s="3178">
        <v>15932.368569</v>
      </c>
      <c r="J40" s="3178">
        <v>16310.522416</v>
      </c>
      <c r="K40" s="3178">
        <v>16793.430093999999</v>
      </c>
      <c r="L40" s="3178">
        <v>17338.582433</v>
      </c>
    </row>
    <row r="41" spans="7:12">
      <c r="G41" s="3177" t="s">
        <v>3516</v>
      </c>
      <c r="H41" s="3178"/>
      <c r="I41" s="3178"/>
      <c r="J41" s="3178"/>
      <c r="K41" s="3178"/>
      <c r="L41" s="3178"/>
    </row>
    <row r="42" spans="7:12">
      <c r="G42" s="3180" t="s">
        <v>3486</v>
      </c>
      <c r="H42" s="3178">
        <v>16191.694826000001</v>
      </c>
      <c r="I42" s="3178">
        <v>15932.368569</v>
      </c>
      <c r="J42" s="3178">
        <v>16310.522416</v>
      </c>
      <c r="K42" s="3178">
        <v>16793.430093999999</v>
      </c>
      <c r="L42" s="3178">
        <v>17338.582433</v>
      </c>
    </row>
    <row r="43" spans="7:12">
      <c r="G43" s="3182" t="s">
        <v>3517</v>
      </c>
      <c r="H43" s="3178"/>
      <c r="I43" s="3178"/>
      <c r="J43" s="3178"/>
      <c r="K43" s="3178"/>
      <c r="L43" s="3178"/>
    </row>
    <row r="44" spans="7:12">
      <c r="G44" s="3177" t="s">
        <v>3518</v>
      </c>
      <c r="H44" s="3178"/>
      <c r="I44" s="3178"/>
      <c r="J44" s="3179"/>
      <c r="K44" s="3179"/>
      <c r="L44" s="3179"/>
    </row>
    <row r="45" spans="7:12">
      <c r="G45" s="3177" t="s">
        <v>3519</v>
      </c>
      <c r="H45" s="3178"/>
      <c r="I45" s="3178"/>
      <c r="J45" s="3179"/>
      <c r="K45" s="3179"/>
      <c r="L45" s="3179"/>
    </row>
    <row r="46" spans="7:12">
      <c r="G46" s="3177" t="s">
        <v>3520</v>
      </c>
      <c r="H46" s="3178"/>
      <c r="I46" s="3178"/>
      <c r="J46" s="3179"/>
      <c r="K46" s="3179"/>
      <c r="L46" s="3179"/>
    </row>
    <row r="47" spans="7:12">
      <c r="G47" s="3177" t="s">
        <v>3521</v>
      </c>
      <c r="H47" s="3178"/>
      <c r="I47" s="3178"/>
      <c r="J47" s="3179"/>
      <c r="K47" s="3179"/>
      <c r="L47" s="3179"/>
    </row>
    <row r="48" spans="7:12">
      <c r="G48" s="3177" t="s">
        <v>3522</v>
      </c>
      <c r="H48" s="3178"/>
      <c r="I48" s="3178"/>
      <c r="J48" s="3179"/>
      <c r="K48" s="3179"/>
      <c r="L48" s="3179"/>
    </row>
    <row r="49" spans="7:12">
      <c r="G49" s="3177" t="s">
        <v>3523</v>
      </c>
      <c r="H49" s="3178"/>
      <c r="I49" s="3178"/>
      <c r="J49" s="3179"/>
      <c r="K49" s="3179"/>
      <c r="L49" s="3179"/>
    </row>
    <row r="50" spans="7:12">
      <c r="G50" s="3177" t="s">
        <v>3524</v>
      </c>
      <c r="H50" s="3178"/>
      <c r="I50" s="3178"/>
      <c r="J50" s="3178"/>
      <c r="K50" s="3178"/>
      <c r="L50" s="3178"/>
    </row>
    <row r="51" spans="7:12">
      <c r="G51" s="3177" t="s">
        <v>3525</v>
      </c>
      <c r="H51" s="3178">
        <v>20462.603171999999</v>
      </c>
      <c r="I51" s="3178">
        <v>20802.501422000001</v>
      </c>
      <c r="J51" s="3179">
        <v>21363.334819</v>
      </c>
      <c r="K51" s="3179">
        <v>22026.419988000001</v>
      </c>
      <c r="L51" s="3179">
        <v>22750.81093</v>
      </c>
    </row>
    <row r="52" spans="7:12">
      <c r="G52" s="3177" t="s">
        <v>3526</v>
      </c>
      <c r="H52" s="3178"/>
      <c r="I52" s="3178"/>
      <c r="J52" s="3178"/>
      <c r="K52" s="3178"/>
      <c r="L52" s="3178"/>
    </row>
    <row r="53" spans="7:12">
      <c r="G53" s="3180" t="s">
        <v>3499</v>
      </c>
      <c r="H53" s="3178">
        <v>20462.603171999999</v>
      </c>
      <c r="I53" s="3178">
        <v>20802.501422000001</v>
      </c>
      <c r="J53" s="3178">
        <v>21363.334819</v>
      </c>
      <c r="K53" s="3178">
        <v>22026.419988000001</v>
      </c>
      <c r="L53" s="3178">
        <v>22750.81093</v>
      </c>
    </row>
    <row r="54" spans="7:12">
      <c r="G54" s="3181" t="s">
        <v>3527</v>
      </c>
      <c r="H54" s="3178">
        <v>-4270.9083460000002</v>
      </c>
      <c r="I54" s="3178">
        <v>-4870.1328530000001</v>
      </c>
      <c r="J54" s="3178">
        <v>-5052.8124029999999</v>
      </c>
      <c r="K54" s="3178">
        <v>-5232.9898940000003</v>
      </c>
      <c r="L54" s="3178">
        <v>-5412.2284970000001</v>
      </c>
    </row>
    <row r="55" spans="7:12">
      <c r="G55" s="3177" t="s">
        <v>3528</v>
      </c>
      <c r="H55" s="3178"/>
      <c r="I55" s="3178"/>
      <c r="J55" s="3179"/>
      <c r="K55" s="3179"/>
      <c r="L55" s="3179"/>
    </row>
    <row r="56" spans="7:12">
      <c r="G56" s="3177" t="s">
        <v>3529</v>
      </c>
      <c r="H56" s="3178"/>
      <c r="I56" s="3178"/>
      <c r="J56" s="3178"/>
      <c r="K56" s="3178"/>
      <c r="L56" s="3178"/>
    </row>
    <row r="57" spans="7:12">
      <c r="G57" s="3177" t="s">
        <v>3530</v>
      </c>
      <c r="H57" s="3178"/>
      <c r="I57" s="3178"/>
      <c r="J57" s="3178"/>
      <c r="K57" s="3178"/>
      <c r="L57" s="3178"/>
    </row>
    <row r="58" spans="7:12">
      <c r="G58" s="3177" t="s">
        <v>3531</v>
      </c>
      <c r="H58" s="3178"/>
      <c r="I58" s="3178"/>
      <c r="J58" s="3179"/>
      <c r="K58" s="3179"/>
      <c r="L58" s="3179"/>
    </row>
    <row r="59" spans="7:12">
      <c r="G59" s="3177" t="s">
        <v>3532</v>
      </c>
      <c r="H59" s="3178"/>
      <c r="I59" s="3178"/>
      <c r="J59" s="3179"/>
      <c r="K59" s="3179"/>
      <c r="L59" s="3179"/>
    </row>
    <row r="60" spans="7:12">
      <c r="G60" s="3177" t="s">
        <v>3533</v>
      </c>
      <c r="H60" s="3178"/>
      <c r="I60" s="3178"/>
      <c r="J60" s="3179"/>
      <c r="K60" s="3179"/>
      <c r="L60" s="3179"/>
    </row>
    <row r="61" spans="7:12">
      <c r="G61" s="3177" t="s">
        <v>3534</v>
      </c>
      <c r="H61" s="3178"/>
      <c r="I61" s="3178"/>
      <c r="J61" s="3179"/>
      <c r="K61" s="3179"/>
      <c r="L61" s="3179"/>
    </row>
    <row r="62" spans="7:12">
      <c r="G62" s="3177" t="s">
        <v>3535</v>
      </c>
      <c r="H62" s="3178"/>
      <c r="I62" s="3178"/>
      <c r="J62" s="3179"/>
      <c r="K62" s="3179"/>
      <c r="L62" s="3179"/>
    </row>
    <row r="63" spans="7:12">
      <c r="G63" s="3177" t="s">
        <v>3536</v>
      </c>
      <c r="H63" s="3178"/>
      <c r="I63" s="3178"/>
      <c r="J63" s="3178"/>
      <c r="K63" s="3178"/>
      <c r="L63" s="3178"/>
    </row>
    <row r="64" spans="7:12">
      <c r="G64" s="3177" t="s">
        <v>3537</v>
      </c>
      <c r="H64" s="3178"/>
      <c r="I64" s="3178"/>
      <c r="J64" s="3179"/>
      <c r="K64" s="3179"/>
      <c r="L64" s="3179"/>
    </row>
    <row r="65" spans="7:12">
      <c r="G65" s="3177" t="s">
        <v>3538</v>
      </c>
      <c r="H65" s="3178"/>
      <c r="I65" s="3178"/>
      <c r="J65" s="3179"/>
      <c r="K65" s="3179"/>
      <c r="L65" s="3179"/>
    </row>
    <row r="66" spans="7:12">
      <c r="G66" s="3177" t="s">
        <v>3539</v>
      </c>
      <c r="H66" s="3178"/>
      <c r="I66" s="3178"/>
      <c r="J66" s="3178"/>
      <c r="K66" s="3178"/>
      <c r="L66" s="3178"/>
    </row>
    <row r="67" spans="7:12">
      <c r="G67" s="3180" t="s">
        <v>3486</v>
      </c>
      <c r="H67" s="3178"/>
      <c r="I67" s="3178"/>
      <c r="J67" s="3178"/>
      <c r="K67" s="3178"/>
      <c r="L67" s="3178"/>
    </row>
    <row r="68" spans="7:12">
      <c r="G68" s="3177" t="s">
        <v>3540</v>
      </c>
      <c r="H68" s="3178"/>
      <c r="I68" s="3178"/>
      <c r="J68" s="3179"/>
      <c r="K68" s="3179"/>
      <c r="L68" s="3179"/>
    </row>
    <row r="69" spans="7:12">
      <c r="G69" s="3177" t="s">
        <v>3541</v>
      </c>
      <c r="H69" s="3178"/>
      <c r="I69" s="3178"/>
      <c r="J69" s="3179"/>
      <c r="K69" s="3179"/>
      <c r="L69" s="3179"/>
    </row>
    <row r="70" spans="7:12">
      <c r="G70" s="3177" t="s">
        <v>3542</v>
      </c>
      <c r="H70" s="3178"/>
      <c r="I70" s="3178"/>
      <c r="J70" s="3179"/>
      <c r="K70" s="3179"/>
      <c r="L70" s="3179"/>
    </row>
    <row r="71" spans="7:12">
      <c r="G71" s="3177" t="s">
        <v>3543</v>
      </c>
      <c r="H71" s="3178"/>
      <c r="I71" s="3178"/>
      <c r="J71" s="3179"/>
      <c r="K71" s="3179"/>
      <c r="L71" s="3179"/>
    </row>
    <row r="72" spans="7:12">
      <c r="G72" s="3177" t="s">
        <v>3544</v>
      </c>
      <c r="H72" s="3178"/>
      <c r="I72" s="3178"/>
      <c r="J72" s="3179"/>
      <c r="K72" s="3179"/>
      <c r="L72" s="3179"/>
    </row>
    <row r="73" spans="7:12">
      <c r="G73" s="3177" t="s">
        <v>3545</v>
      </c>
      <c r="H73" s="3178"/>
      <c r="I73" s="3178"/>
      <c r="J73" s="3178"/>
      <c r="K73" s="3178"/>
      <c r="L73" s="3178"/>
    </row>
    <row r="74" spans="7:12">
      <c r="G74" s="3177" t="s">
        <v>3546</v>
      </c>
      <c r="H74" s="3178"/>
      <c r="I74" s="3178"/>
      <c r="J74" s="3179"/>
      <c r="K74" s="3179"/>
      <c r="L74" s="3179"/>
    </row>
    <row r="75" spans="7:12">
      <c r="G75" s="3177" t="s">
        <v>3547</v>
      </c>
      <c r="H75" s="3178"/>
      <c r="I75" s="3178"/>
      <c r="J75" s="3179"/>
      <c r="K75" s="3179"/>
      <c r="L75" s="3179"/>
    </row>
    <row r="76" spans="7:12">
      <c r="G76" s="3177" t="s">
        <v>3548</v>
      </c>
      <c r="H76" s="3178"/>
      <c r="I76" s="3178"/>
      <c r="J76" s="3179"/>
      <c r="K76" s="3179"/>
      <c r="L76" s="3179"/>
    </row>
    <row r="77" spans="7:12">
      <c r="G77" s="3177" t="s">
        <v>3549</v>
      </c>
      <c r="H77" s="3178"/>
      <c r="I77" s="3178"/>
      <c r="J77" s="3179"/>
      <c r="K77" s="3179"/>
      <c r="L77" s="3179"/>
    </row>
    <row r="78" spans="7:12">
      <c r="G78" s="3177" t="s">
        <v>3550</v>
      </c>
      <c r="H78" s="3178"/>
      <c r="I78" s="3178"/>
      <c r="J78" s="3179"/>
      <c r="K78" s="3179"/>
      <c r="L78" s="3179"/>
    </row>
    <row r="79" spans="7:12">
      <c r="G79" s="3177" t="s">
        <v>3551</v>
      </c>
      <c r="H79" s="3178"/>
      <c r="I79" s="3178"/>
      <c r="J79" s="3179"/>
      <c r="K79" s="3179"/>
      <c r="L79" s="3179"/>
    </row>
    <row r="80" spans="7:12">
      <c r="G80" s="3177" t="s">
        <v>3552</v>
      </c>
      <c r="H80" s="3178"/>
      <c r="I80" s="3178"/>
      <c r="J80" s="3179"/>
      <c r="K80" s="3179"/>
      <c r="L80" s="3179"/>
    </row>
    <row r="81" spans="7:12">
      <c r="G81" s="3177" t="s">
        <v>3553</v>
      </c>
      <c r="H81" s="3178"/>
      <c r="I81" s="3178"/>
      <c r="J81" s="3178"/>
      <c r="K81" s="3178"/>
      <c r="L81" s="3178"/>
    </row>
    <row r="82" spans="7:12">
      <c r="G82" s="3177" t="s">
        <v>3554</v>
      </c>
      <c r="H82" s="3178"/>
      <c r="I82" s="3178"/>
      <c r="J82" s="3179"/>
      <c r="K82" s="3179"/>
      <c r="L82" s="3179"/>
    </row>
    <row r="83" spans="7:12">
      <c r="G83" s="3177" t="s">
        <v>3555</v>
      </c>
      <c r="H83" s="3178"/>
      <c r="I83" s="3178"/>
      <c r="J83" s="3179"/>
      <c r="K83" s="3179"/>
      <c r="L83" s="3179"/>
    </row>
    <row r="84" spans="7:12">
      <c r="G84" s="3177" t="s">
        <v>3556</v>
      </c>
      <c r="H84" s="3178"/>
      <c r="I84" s="3178"/>
      <c r="J84" s="3178"/>
      <c r="K84" s="3178"/>
      <c r="L84" s="3178"/>
    </row>
    <row r="85" spans="7:12">
      <c r="G85" s="3180" t="s">
        <v>3499</v>
      </c>
      <c r="H85" s="3178"/>
      <c r="I85" s="3178"/>
      <c r="J85" s="3178"/>
      <c r="K85" s="3178"/>
      <c r="L85" s="3178"/>
    </row>
    <row r="86" spans="7:12">
      <c r="G86" s="3181" t="s">
        <v>3557</v>
      </c>
      <c r="H86" s="3178"/>
      <c r="I86" s="3178"/>
      <c r="J86" s="3178"/>
      <c r="K86" s="3178"/>
      <c r="L86" s="3178"/>
    </row>
    <row r="87" spans="7:12">
      <c r="G87" s="3183" t="s">
        <v>3558</v>
      </c>
      <c r="H87" s="3178"/>
      <c r="I87" s="3178"/>
      <c r="J87" s="3179"/>
      <c r="K87" s="3179"/>
      <c r="L87" s="3179"/>
    </row>
    <row r="88" spans="7:12">
      <c r="G88" s="3184" t="s">
        <v>3559</v>
      </c>
      <c r="H88" s="3178">
        <v>0</v>
      </c>
      <c r="I88" s="3178">
        <v>0</v>
      </c>
      <c r="J88" s="3178">
        <v>0</v>
      </c>
      <c r="K88" s="3178">
        <v>0</v>
      </c>
      <c r="L88" s="3178">
        <v>0</v>
      </c>
    </row>
    <row r="89" spans="7:12">
      <c r="G89" s="3185" t="s">
        <v>3560</v>
      </c>
      <c r="H89" s="3178">
        <v>40.035328</v>
      </c>
      <c r="I89" s="3178">
        <v>5.888E-3</v>
      </c>
      <c r="J89" s="3179">
        <v>2.944E-3</v>
      </c>
      <c r="K89" s="3179">
        <v>2.944E-3</v>
      </c>
      <c r="L89" s="3179">
        <v>2.944E-3</v>
      </c>
    </row>
    <row r="90" spans="7:12">
      <c r="G90" s="3185" t="s">
        <v>3561</v>
      </c>
      <c r="H90" s="3178">
        <v>40.035328</v>
      </c>
      <c r="I90" s="3178">
        <v>5.888E-3</v>
      </c>
      <c r="J90" s="3178">
        <v>2.944E-3</v>
      </c>
      <c r="K90" s="3178">
        <v>2.944E-3</v>
      </c>
      <c r="L90" s="3178">
        <v>2.944E-3</v>
      </c>
    </row>
  </sheetData>
  <mergeCells count="1">
    <mergeCell ref="G1:G2"/>
  </mergeCells>
  <phoneticPr fontId="13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9C45-C26B-49DC-93E5-42AD610F36E3}">
  <sheetPr>
    <pageSetUpPr fitToPage="1"/>
  </sheetPr>
  <dimension ref="A1:M503"/>
  <sheetViews>
    <sheetView topLeftCell="A121" zoomScale="85" zoomScaleNormal="85" zoomScaleSheetLayoutView="85" workbookViewId="0">
      <selection activeCell="F146" sqref="F146"/>
    </sheetView>
  </sheetViews>
  <sheetFormatPr defaultRowHeight="14.25"/>
  <cols>
    <col min="1" max="1" width="9" style="3540"/>
    <col min="2" max="2" width="12.875" style="3540" customWidth="1"/>
    <col min="3" max="3" width="17.125" style="3540" customWidth="1"/>
    <col min="4" max="4" width="12.5" style="3540" customWidth="1"/>
    <col min="5" max="5" width="11.25" style="3540" customWidth="1"/>
    <col min="6" max="7" width="18.25" style="3540" customWidth="1"/>
    <col min="8" max="8" width="20.25" style="3540" customWidth="1"/>
    <col min="9" max="9" width="19" style="3540" customWidth="1"/>
    <col min="10" max="10" width="31.75" style="3540" customWidth="1"/>
    <col min="11" max="11" width="13" style="3540" customWidth="1"/>
    <col min="12" max="12" width="8" style="3540" bestFit="1" customWidth="1"/>
    <col min="13" max="13" width="20.5" style="3540" customWidth="1"/>
    <col min="14" max="16384" width="9" style="3540"/>
  </cols>
  <sheetData>
    <row r="1" spans="1:13" s="3528" customFormat="1" ht="64.5" customHeight="1">
      <c r="A1" s="3526"/>
      <c r="B1" s="3527" t="s">
        <v>3572</v>
      </c>
      <c r="C1" s="3527" t="s">
        <v>3573</v>
      </c>
      <c r="D1" s="3527" t="s">
        <v>3574</v>
      </c>
      <c r="E1" s="3527" t="s">
        <v>3575</v>
      </c>
      <c r="F1" s="3527" t="s">
        <v>3576</v>
      </c>
      <c r="G1" s="3542" t="s">
        <v>3708</v>
      </c>
      <c r="H1" s="3527" t="s">
        <v>3577</v>
      </c>
      <c r="I1" s="3527" t="s">
        <v>3578</v>
      </c>
      <c r="J1" s="3527" t="s">
        <v>3579</v>
      </c>
      <c r="K1" s="3527" t="s">
        <v>3580</v>
      </c>
      <c r="L1" s="3527" t="s">
        <v>3580</v>
      </c>
      <c r="M1" s="3527" t="s">
        <v>3581</v>
      </c>
    </row>
    <row r="2" spans="1:13" s="3533" customFormat="1" ht="15">
      <c r="A2" s="3526">
        <v>1</v>
      </c>
      <c r="B2" s="3529">
        <v>3</v>
      </c>
      <c r="C2" s="3530">
        <v>451.14</v>
      </c>
      <c r="D2" s="3531">
        <v>45560</v>
      </c>
      <c r="E2" s="3531">
        <v>47475</v>
      </c>
      <c r="F2" s="3530">
        <v>67592</v>
      </c>
      <c r="G2" s="3532">
        <f>F2/C2/30</f>
        <v>4.9941629353785233</v>
      </c>
      <c r="H2" s="3530">
        <v>64373.333333333328</v>
      </c>
      <c r="I2" s="3530">
        <v>142.69036958224351</v>
      </c>
      <c r="J2" s="3530">
        <v>3528011.3972602733</v>
      </c>
      <c r="K2" s="3530">
        <v>38020.5</v>
      </c>
      <c r="L2" s="3530">
        <v>35868.39622641509</v>
      </c>
      <c r="M2" s="3530" t="s">
        <v>3582</v>
      </c>
    </row>
    <row r="3" spans="1:13" s="3533" customFormat="1" ht="15">
      <c r="A3" s="3526">
        <v>2</v>
      </c>
      <c r="B3" s="3529">
        <v>3</v>
      </c>
      <c r="C3" s="3530">
        <v>495.2</v>
      </c>
      <c r="D3" s="3531">
        <v>43779</v>
      </c>
      <c r="E3" s="3531">
        <v>45945</v>
      </c>
      <c r="F3" s="3530">
        <v>65514.960000000006</v>
      </c>
      <c r="G3" s="3532">
        <f t="shared" ref="G3:G66" si="0">F3/C3/30</f>
        <v>4.41</v>
      </c>
      <c r="H3" s="3530">
        <v>62395.200000000004</v>
      </c>
      <c r="I3" s="3530">
        <v>126.00000000000001</v>
      </c>
      <c r="J3" s="3530">
        <v>281034.81863013696</v>
      </c>
      <c r="K3" s="3530">
        <v>44568</v>
      </c>
      <c r="L3" s="3530">
        <v>42045.283018867922</v>
      </c>
      <c r="M3" s="3530" t="s">
        <v>3583</v>
      </c>
    </row>
    <row r="4" spans="1:13" s="3533" customFormat="1" ht="15">
      <c r="A4" s="3526">
        <v>3</v>
      </c>
      <c r="B4" s="3529">
        <v>3</v>
      </c>
      <c r="C4" s="3530">
        <v>81.319999999999993</v>
      </c>
      <c r="D4" s="3531">
        <v>44856</v>
      </c>
      <c r="E4" s="3531">
        <v>46033</v>
      </c>
      <c r="F4" s="3530">
        <v>44319.399999999994</v>
      </c>
      <c r="G4" s="3532">
        <f t="shared" si="0"/>
        <v>18.166666666666668</v>
      </c>
      <c r="H4" s="3530">
        <v>42208.952380952374</v>
      </c>
      <c r="I4" s="3530">
        <v>519.04761904761904</v>
      </c>
      <c r="J4" s="3530">
        <v>312230.60665362031</v>
      </c>
      <c r="K4" s="3530">
        <v>7318.8</v>
      </c>
      <c r="L4" s="3530">
        <v>6904.5283018867922</v>
      </c>
      <c r="M4" s="3530" t="s">
        <v>3584</v>
      </c>
    </row>
    <row r="5" spans="1:13" s="3533" customFormat="1" ht="15">
      <c r="A5" s="3526">
        <v>4</v>
      </c>
      <c r="B5" s="3529">
        <v>3</v>
      </c>
      <c r="C5" s="3530">
        <v>350.45</v>
      </c>
      <c r="D5" s="3531">
        <v>44540</v>
      </c>
      <c r="E5" s="3531">
        <v>46000</v>
      </c>
      <c r="F5" s="3530">
        <v>161207</v>
      </c>
      <c r="G5" s="3532">
        <f t="shared" si="0"/>
        <v>15.333333333333334</v>
      </c>
      <c r="H5" s="3530">
        <v>153530.47619047618</v>
      </c>
      <c r="I5" s="3530">
        <v>438.09523809523807</v>
      </c>
      <c r="J5" s="3530">
        <v>969134.84148727974</v>
      </c>
      <c r="K5" s="3530">
        <v>31540.5</v>
      </c>
      <c r="L5" s="3530">
        <v>29755.188679245282</v>
      </c>
      <c r="M5" s="3530" t="s">
        <v>3585</v>
      </c>
    </row>
    <row r="6" spans="1:13" s="3533" customFormat="1" ht="15">
      <c r="A6" s="3526">
        <v>5</v>
      </c>
      <c r="B6" s="3529">
        <v>3</v>
      </c>
      <c r="C6" s="3530">
        <v>196.27</v>
      </c>
      <c r="D6" s="3531">
        <v>42679</v>
      </c>
      <c r="E6" s="3531">
        <v>46634</v>
      </c>
      <c r="F6" s="3530">
        <v>106967.15000000001</v>
      </c>
      <c r="G6" s="3532">
        <f t="shared" si="0"/>
        <v>18.166666666666668</v>
      </c>
      <c r="H6" s="3530">
        <v>101873.4761904762</v>
      </c>
      <c r="I6" s="3530">
        <v>519.04761904761904</v>
      </c>
      <c r="J6" s="3530">
        <v>2766492.8657534248</v>
      </c>
      <c r="K6" s="3530">
        <v>17664.3</v>
      </c>
      <c r="L6" s="3530">
        <v>16664.433962264149</v>
      </c>
      <c r="M6" s="3530" t="s">
        <v>3586</v>
      </c>
    </row>
    <row r="7" spans="1:13" s="3533" customFormat="1" ht="15">
      <c r="A7" s="3526">
        <v>6</v>
      </c>
      <c r="B7" s="3529">
        <v>3</v>
      </c>
      <c r="C7" s="3530">
        <v>129.69</v>
      </c>
      <c r="D7" s="3531">
        <v>45051</v>
      </c>
      <c r="E7" s="3531">
        <v>46196</v>
      </c>
      <c r="F7" s="3530">
        <v>51876</v>
      </c>
      <c r="G7" s="3532">
        <f t="shared" si="0"/>
        <v>13.333333333333334</v>
      </c>
      <c r="H7" s="3530">
        <v>49405.714285714283</v>
      </c>
      <c r="I7" s="3530">
        <v>380.95238095238096</v>
      </c>
      <c r="J7" s="3530">
        <v>630227.41291585134</v>
      </c>
      <c r="K7" s="3530">
        <v>11672.1</v>
      </c>
      <c r="L7" s="3530">
        <v>11011.415094339622</v>
      </c>
      <c r="M7" s="3530" t="s">
        <v>3587</v>
      </c>
    </row>
    <row r="8" spans="1:13" s="3533" customFormat="1" ht="15">
      <c r="A8" s="3526">
        <v>7</v>
      </c>
      <c r="B8" s="3529">
        <v>3</v>
      </c>
      <c r="C8" s="3530">
        <v>2532</v>
      </c>
      <c r="D8" s="3531">
        <v>45212</v>
      </c>
      <c r="E8" s="3531">
        <v>50690</v>
      </c>
      <c r="F8" s="3530">
        <v>0</v>
      </c>
      <c r="G8" s="3532">
        <f t="shared" si="0"/>
        <v>0</v>
      </c>
      <c r="H8" s="3530">
        <v>0</v>
      </c>
      <c r="I8" s="3530">
        <v>0</v>
      </c>
      <c r="J8" s="3530">
        <v>0</v>
      </c>
      <c r="K8" s="3530">
        <v>45203.33</v>
      </c>
      <c r="L8" s="3530">
        <v>42644.650943396227</v>
      </c>
      <c r="M8" s="3530" t="s">
        <v>3588</v>
      </c>
    </row>
    <row r="9" spans="1:13" s="3533" customFormat="1" ht="15">
      <c r="A9" s="3526">
        <v>8</v>
      </c>
      <c r="B9" s="3529">
        <v>3</v>
      </c>
      <c r="C9" s="3530">
        <v>157</v>
      </c>
      <c r="D9" s="3531">
        <v>45529</v>
      </c>
      <c r="E9" s="3531">
        <v>46673</v>
      </c>
      <c r="F9" s="3530">
        <v>15700</v>
      </c>
      <c r="G9" s="3532">
        <f t="shared" si="0"/>
        <v>3.3333333333333335</v>
      </c>
      <c r="H9" s="3530">
        <v>14952.380952380952</v>
      </c>
      <c r="I9" s="3530">
        <v>95.238095238095241</v>
      </c>
      <c r="J9" s="3530">
        <v>425221.13502935413</v>
      </c>
      <c r="K9" s="3530">
        <v>0</v>
      </c>
      <c r="L9" s="3530">
        <v>0</v>
      </c>
      <c r="M9" s="3530" t="s">
        <v>3589</v>
      </c>
    </row>
    <row r="10" spans="1:13" s="3533" customFormat="1" ht="15">
      <c r="A10" s="3526">
        <v>9</v>
      </c>
      <c r="B10" s="3529">
        <v>3</v>
      </c>
      <c r="C10" s="3530">
        <v>19.21</v>
      </c>
      <c r="D10" s="3531">
        <v>43585</v>
      </c>
      <c r="E10" s="3531">
        <v>46486</v>
      </c>
      <c r="F10" s="3530">
        <v>25357.200000000001</v>
      </c>
      <c r="G10" s="3532">
        <f t="shared" si="0"/>
        <v>44</v>
      </c>
      <c r="H10" s="3530">
        <v>24149.714285714286</v>
      </c>
      <c r="I10" s="3530">
        <v>1257.1428571428571</v>
      </c>
      <c r="J10" s="3530">
        <v>538307.05596868892</v>
      </c>
      <c r="K10" s="3530">
        <v>1728.9</v>
      </c>
      <c r="L10" s="3530">
        <v>1631.0377358490566</v>
      </c>
      <c r="M10" s="3530" t="s">
        <v>3590</v>
      </c>
    </row>
    <row r="11" spans="1:13" s="3533" customFormat="1" ht="15">
      <c r="A11" s="3526">
        <v>10</v>
      </c>
      <c r="B11" s="3529">
        <v>3</v>
      </c>
      <c r="C11" s="3530">
        <v>361.71</v>
      </c>
      <c r="D11" s="3531">
        <v>45710</v>
      </c>
      <c r="E11" s="3531">
        <v>47655</v>
      </c>
      <c r="F11" s="3530">
        <v>101278.79999999999</v>
      </c>
      <c r="G11" s="3532">
        <f t="shared" si="0"/>
        <v>9.3333333333333339</v>
      </c>
      <c r="H11" s="3530">
        <v>96455.999999999985</v>
      </c>
      <c r="I11" s="3530">
        <v>266.66666666666663</v>
      </c>
      <c r="J11" s="3530">
        <v>5857125.4356164373</v>
      </c>
      <c r="K11" s="3530">
        <v>32553.899999999998</v>
      </c>
      <c r="L11" s="3530">
        <v>30711.226415094337</v>
      </c>
      <c r="M11" s="3530" t="s">
        <v>3591</v>
      </c>
    </row>
    <row r="12" spans="1:13" s="3533" customFormat="1" ht="15">
      <c r="A12" s="3526">
        <v>11</v>
      </c>
      <c r="B12" s="3529">
        <v>3</v>
      </c>
      <c r="C12" s="3530">
        <v>161.5</v>
      </c>
      <c r="D12" s="3531">
        <v>45614</v>
      </c>
      <c r="E12" s="3531">
        <v>46721</v>
      </c>
      <c r="F12" s="3530">
        <v>66215</v>
      </c>
      <c r="G12" s="3532">
        <f t="shared" si="0"/>
        <v>13.666666666666666</v>
      </c>
      <c r="H12" s="3530">
        <v>63061.904761904756</v>
      </c>
      <c r="I12" s="3530">
        <v>390.47619047619042</v>
      </c>
      <c r="J12" s="3530">
        <v>1892893.7769080235</v>
      </c>
      <c r="K12" s="3530">
        <v>14535</v>
      </c>
      <c r="L12" s="3530">
        <v>13712.264150943396</v>
      </c>
      <c r="M12" s="3530" t="s">
        <v>3592</v>
      </c>
    </row>
    <row r="13" spans="1:13" s="3533" customFormat="1" ht="15">
      <c r="A13" s="3526">
        <v>12</v>
      </c>
      <c r="B13" s="3529">
        <v>3</v>
      </c>
      <c r="C13" s="3530">
        <v>97.54</v>
      </c>
      <c r="D13" s="3531">
        <v>45741</v>
      </c>
      <c r="E13" s="3531">
        <v>46886</v>
      </c>
      <c r="F13" s="3530">
        <v>31185.700000000004</v>
      </c>
      <c r="G13" s="3532">
        <f t="shared" si="0"/>
        <v>10.65740550885107</v>
      </c>
      <c r="H13" s="3530">
        <v>29700.666666666668</v>
      </c>
      <c r="I13" s="3530">
        <v>304.49730025288767</v>
      </c>
      <c r="J13" s="3530">
        <v>1052624.175342466</v>
      </c>
      <c r="K13" s="3530">
        <v>8778.6</v>
      </c>
      <c r="L13" s="3530">
        <v>8281.6981132075471</v>
      </c>
      <c r="M13" s="3530" t="s">
        <v>3593</v>
      </c>
    </row>
    <row r="14" spans="1:13" s="3533" customFormat="1" ht="15">
      <c r="A14" s="3534">
        <v>13</v>
      </c>
      <c r="B14" s="3535">
        <v>3</v>
      </c>
      <c r="C14" s="3536">
        <v>294.72000000000003</v>
      </c>
      <c r="D14" s="3537"/>
      <c r="E14" s="3537"/>
      <c r="F14" s="3536"/>
      <c r="G14" s="3532">
        <f t="shared" si="0"/>
        <v>0</v>
      </c>
      <c r="H14" s="3536"/>
      <c r="I14" s="3536"/>
      <c r="J14" s="3530"/>
      <c r="K14" s="3530"/>
      <c r="L14" s="3530"/>
      <c r="M14" s="3530"/>
    </row>
    <row r="15" spans="1:13" s="3533" customFormat="1" ht="15">
      <c r="A15" s="3526">
        <v>14</v>
      </c>
      <c r="B15" s="3529">
        <v>3</v>
      </c>
      <c r="C15" s="3530">
        <v>285.16000000000003</v>
      </c>
      <c r="D15" s="3531">
        <v>45231</v>
      </c>
      <c r="E15" s="3531">
        <v>46386</v>
      </c>
      <c r="F15" s="3530">
        <v>114064.00000000001</v>
      </c>
      <c r="G15" s="3532">
        <f t="shared" si="0"/>
        <v>13.333333333333334</v>
      </c>
      <c r="H15" s="3530">
        <v>108632.38095238096</v>
      </c>
      <c r="I15" s="3530">
        <v>380.95238095238096</v>
      </c>
      <c r="J15" s="3530">
        <v>2064312.8610567518</v>
      </c>
      <c r="K15" s="3530">
        <v>25664.400000000001</v>
      </c>
      <c r="L15" s="3530">
        <v>24211.698113207549</v>
      </c>
      <c r="M15" s="3530" t="s">
        <v>3594</v>
      </c>
    </row>
    <row r="16" spans="1:13" s="3533" customFormat="1" ht="15">
      <c r="A16" s="3526">
        <v>15</v>
      </c>
      <c r="B16" s="3529">
        <v>3</v>
      </c>
      <c r="C16" s="3530">
        <v>371.62</v>
      </c>
      <c r="D16" s="3531">
        <v>43358</v>
      </c>
      <c r="E16" s="3531">
        <v>46265</v>
      </c>
      <c r="F16" s="3530">
        <v>118653.78</v>
      </c>
      <c r="G16" s="3532">
        <f t="shared" si="0"/>
        <v>10.642930950971422</v>
      </c>
      <c r="H16" s="3530">
        <v>113003.59999999999</v>
      </c>
      <c r="I16" s="3530">
        <v>304.08374145632632</v>
      </c>
      <c r="J16" s="3530">
        <v>1697840.390136986</v>
      </c>
      <c r="K16" s="3530">
        <v>30863.7</v>
      </c>
      <c r="L16" s="3530">
        <v>29116.698113207545</v>
      </c>
      <c r="M16" s="3530" t="s">
        <v>3595</v>
      </c>
    </row>
    <row r="17" spans="1:13" s="3533" customFormat="1" ht="15">
      <c r="A17" s="3534">
        <v>16</v>
      </c>
      <c r="B17" s="3535">
        <v>2</v>
      </c>
      <c r="C17" s="3536">
        <v>239.15</v>
      </c>
      <c r="D17" s="3537"/>
      <c r="E17" s="3537"/>
      <c r="F17" s="3536"/>
      <c r="G17" s="3532">
        <f t="shared" si="0"/>
        <v>0</v>
      </c>
      <c r="H17" s="3536"/>
      <c r="I17" s="3536"/>
      <c r="J17" s="3530"/>
      <c r="K17" s="3530"/>
      <c r="L17" s="3530"/>
      <c r="M17" s="3530"/>
    </row>
    <row r="18" spans="1:13" s="3533" customFormat="1" ht="15">
      <c r="A18" s="3526">
        <v>17</v>
      </c>
      <c r="B18" s="3529">
        <v>2</v>
      </c>
      <c r="C18" s="3530">
        <v>161.56</v>
      </c>
      <c r="D18" s="3531">
        <v>45137</v>
      </c>
      <c r="E18" s="3531">
        <v>45921</v>
      </c>
      <c r="F18" s="3530">
        <v>35543.199999999997</v>
      </c>
      <c r="G18" s="3532">
        <f t="shared" si="0"/>
        <v>7.3333333333333321</v>
      </c>
      <c r="H18" s="3530">
        <v>33850.666666666664</v>
      </c>
      <c r="I18" s="3530">
        <v>209.52380952380952</v>
      </c>
      <c r="J18" s="3530">
        <v>125757.54520547944</v>
      </c>
      <c r="K18" s="3530">
        <v>14540.4</v>
      </c>
      <c r="L18" s="3530">
        <v>13717.358490566037</v>
      </c>
      <c r="M18" s="3530" t="s">
        <v>3596</v>
      </c>
    </row>
    <row r="19" spans="1:13" s="3533" customFormat="1" ht="15">
      <c r="A19" s="3526">
        <v>18</v>
      </c>
      <c r="B19" s="3529">
        <v>2</v>
      </c>
      <c r="C19" s="3530">
        <v>80</v>
      </c>
      <c r="D19" s="3531">
        <v>43280</v>
      </c>
      <c r="E19" s="3531">
        <v>47114</v>
      </c>
      <c r="F19" s="3530">
        <v>0</v>
      </c>
      <c r="G19" s="3532">
        <f t="shared" si="0"/>
        <v>0</v>
      </c>
      <c r="H19" s="3530">
        <v>0</v>
      </c>
      <c r="I19" s="3530">
        <v>0</v>
      </c>
      <c r="J19" s="3530">
        <v>0</v>
      </c>
      <c r="K19" s="3530">
        <v>1600</v>
      </c>
      <c r="L19" s="3530">
        <v>1509.433962264151</v>
      </c>
      <c r="M19" s="3530" t="s">
        <v>3597</v>
      </c>
    </row>
    <row r="20" spans="1:13" s="3533" customFormat="1" ht="15">
      <c r="A20" s="3526">
        <v>19</v>
      </c>
      <c r="B20" s="3529">
        <v>2</v>
      </c>
      <c r="C20" s="3530">
        <v>377.23</v>
      </c>
      <c r="D20" s="3531">
        <v>43280</v>
      </c>
      <c r="E20" s="3531">
        <v>47114</v>
      </c>
      <c r="F20" s="3530">
        <v>0</v>
      </c>
      <c r="G20" s="3532">
        <f t="shared" si="0"/>
        <v>0</v>
      </c>
      <c r="H20" s="3530">
        <v>0</v>
      </c>
      <c r="I20" s="3530">
        <v>0</v>
      </c>
      <c r="J20" s="3530">
        <v>0</v>
      </c>
      <c r="K20" s="3530">
        <v>7544.6</v>
      </c>
      <c r="L20" s="3530">
        <v>7117.5471698113206</v>
      </c>
      <c r="M20" s="3530" t="s">
        <v>3597</v>
      </c>
    </row>
    <row r="21" spans="1:13" s="3533" customFormat="1" ht="15">
      <c r="A21" s="3526">
        <v>20</v>
      </c>
      <c r="B21" s="3529">
        <v>2</v>
      </c>
      <c r="C21" s="3530">
        <v>130.53</v>
      </c>
      <c r="D21" s="3531">
        <v>44438</v>
      </c>
      <c r="E21" s="3531">
        <v>45898</v>
      </c>
      <c r="F21" s="3530">
        <v>28716.6</v>
      </c>
      <c r="G21" s="3532">
        <f t="shared" si="0"/>
        <v>7.333333333333333</v>
      </c>
      <c r="H21" s="3530">
        <v>27349.142857142855</v>
      </c>
      <c r="I21" s="3530">
        <v>209.52380952380952</v>
      </c>
      <c r="J21" s="3530">
        <v>80923.491193737762</v>
      </c>
      <c r="K21" s="3530">
        <v>11747.7</v>
      </c>
      <c r="L21" s="3530">
        <v>11082.735849056604</v>
      </c>
      <c r="M21" s="3530" t="s">
        <v>3598</v>
      </c>
    </row>
    <row r="22" spans="1:13" s="3533" customFormat="1" ht="15">
      <c r="A22" s="3526">
        <v>21</v>
      </c>
      <c r="B22" s="3529">
        <v>2</v>
      </c>
      <c r="C22" s="3530">
        <v>105.83</v>
      </c>
      <c r="D22" s="3531">
        <v>43382</v>
      </c>
      <c r="E22" s="3531">
        <v>46081</v>
      </c>
      <c r="F22" s="3530">
        <v>31749</v>
      </c>
      <c r="G22" s="3532">
        <f t="shared" si="0"/>
        <v>10</v>
      </c>
      <c r="H22" s="3530">
        <v>30237.142857142855</v>
      </c>
      <c r="I22" s="3530">
        <v>285.71428571428572</v>
      </c>
      <c r="J22" s="3530">
        <v>271388.71232876705</v>
      </c>
      <c r="K22" s="3530">
        <v>9524.7000000000007</v>
      </c>
      <c r="L22" s="3530">
        <v>8985.566037735849</v>
      </c>
      <c r="M22" s="3530" t="s">
        <v>3599</v>
      </c>
    </row>
    <row r="23" spans="1:13" s="3533" customFormat="1" ht="15">
      <c r="A23" s="3526">
        <v>22</v>
      </c>
      <c r="B23" s="3529">
        <v>2</v>
      </c>
      <c r="C23" s="3530">
        <v>96.9</v>
      </c>
      <c r="D23" s="3531">
        <v>44643</v>
      </c>
      <c r="E23" s="3531">
        <v>46133</v>
      </c>
      <c r="F23" s="3530">
        <v>35368.5</v>
      </c>
      <c r="G23" s="3532">
        <f t="shared" si="0"/>
        <v>12.166666666666666</v>
      </c>
      <c r="H23" s="3530">
        <v>33684.28571428571</v>
      </c>
      <c r="I23" s="3530">
        <v>347.61904761904754</v>
      </c>
      <c r="J23" s="3530">
        <v>359914.28571428568</v>
      </c>
      <c r="K23" s="3530">
        <v>8721</v>
      </c>
      <c r="L23" s="3530">
        <v>8227.3584905660373</v>
      </c>
      <c r="M23" s="3530" t="s">
        <v>3600</v>
      </c>
    </row>
    <row r="24" spans="1:13" s="3533" customFormat="1" ht="15">
      <c r="A24" s="3526">
        <v>23</v>
      </c>
      <c r="B24" s="3529">
        <v>2</v>
      </c>
      <c r="C24" s="3530">
        <v>40.200000000000003</v>
      </c>
      <c r="D24" s="3531">
        <v>45108</v>
      </c>
      <c r="E24" s="3531">
        <v>45868</v>
      </c>
      <c r="F24" s="3530">
        <v>18894</v>
      </c>
      <c r="G24" s="3532">
        <f t="shared" si="0"/>
        <v>15.666666666666664</v>
      </c>
      <c r="H24" s="3530">
        <v>17994.285714285714</v>
      </c>
      <c r="I24" s="3530">
        <v>447.61904761904759</v>
      </c>
      <c r="J24" s="3530">
        <v>35495.577299412915</v>
      </c>
      <c r="K24" s="3530">
        <v>3618</v>
      </c>
      <c r="L24" s="3530">
        <v>3413.2075471698113</v>
      </c>
      <c r="M24" s="3530" t="s">
        <v>3601</v>
      </c>
    </row>
    <row r="25" spans="1:13" s="3533" customFormat="1" ht="15">
      <c r="A25" s="3526">
        <v>24</v>
      </c>
      <c r="B25" s="3529">
        <v>2</v>
      </c>
      <c r="C25" s="3530">
        <v>100.98</v>
      </c>
      <c r="D25" s="3531">
        <v>45381</v>
      </c>
      <c r="E25" s="3531">
        <v>46475</v>
      </c>
      <c r="F25" s="3530">
        <v>27264.600000000002</v>
      </c>
      <c r="G25" s="3532">
        <f t="shared" si="0"/>
        <v>9</v>
      </c>
      <c r="H25" s="3530">
        <v>25966.285714285714</v>
      </c>
      <c r="I25" s="3530">
        <v>257.14285714285711</v>
      </c>
      <c r="J25" s="3530">
        <v>569408.63248532289</v>
      </c>
      <c r="K25" s="3530">
        <v>9088.2000000000007</v>
      </c>
      <c r="L25" s="3530">
        <v>8573.7735849056608</v>
      </c>
      <c r="M25" s="3530" t="s">
        <v>3602</v>
      </c>
    </row>
    <row r="26" spans="1:13" s="3533" customFormat="1" ht="15">
      <c r="A26" s="3526">
        <v>25</v>
      </c>
      <c r="B26" s="3529">
        <v>2</v>
      </c>
      <c r="C26" s="3530">
        <v>1162</v>
      </c>
      <c r="D26" s="3531">
        <v>40879</v>
      </c>
      <c r="E26" s="3531">
        <v>45884</v>
      </c>
      <c r="F26" s="3530">
        <v>0</v>
      </c>
      <c r="G26" s="3532">
        <f t="shared" si="0"/>
        <v>0</v>
      </c>
      <c r="H26" s="3530">
        <v>0</v>
      </c>
      <c r="I26" s="3530">
        <v>0</v>
      </c>
      <c r="J26" s="3530">
        <v>0</v>
      </c>
      <c r="K26" s="3530">
        <v>46480</v>
      </c>
      <c r="L26" s="3530">
        <v>43849.056603773584</v>
      </c>
      <c r="M26" s="3530" t="s">
        <v>3603</v>
      </c>
    </row>
    <row r="27" spans="1:13" s="3533" customFormat="1" ht="15">
      <c r="A27" s="3526">
        <v>26</v>
      </c>
      <c r="B27" s="3529">
        <v>2</v>
      </c>
      <c r="C27" s="3530">
        <v>30.01</v>
      </c>
      <c r="D27" s="3531">
        <v>43459</v>
      </c>
      <c r="E27" s="3531">
        <v>45995</v>
      </c>
      <c r="F27" s="3530">
        <v>21157.050000000003</v>
      </c>
      <c r="G27" s="3532">
        <f t="shared" si="0"/>
        <v>23.500000000000004</v>
      </c>
      <c r="H27" s="3530">
        <v>20149.571428571431</v>
      </c>
      <c r="I27" s="3530">
        <v>671.42857142857144</v>
      </c>
      <c r="J27" s="3530">
        <v>123878.46105675149</v>
      </c>
      <c r="K27" s="3530">
        <v>2700.9</v>
      </c>
      <c r="L27" s="3530">
        <v>2548.0188679245284</v>
      </c>
      <c r="M27" s="3530" t="s">
        <v>3604</v>
      </c>
    </row>
    <row r="28" spans="1:13" s="3533" customFormat="1" ht="15">
      <c r="A28" s="3526">
        <v>27</v>
      </c>
      <c r="B28" s="3529">
        <v>2</v>
      </c>
      <c r="C28" s="3530">
        <v>74.290000000000006</v>
      </c>
      <c r="D28" s="3531">
        <v>44295</v>
      </c>
      <c r="E28" s="3531">
        <v>45938</v>
      </c>
      <c r="F28" s="3530">
        <v>22658.45</v>
      </c>
      <c r="G28" s="3532">
        <f t="shared" si="0"/>
        <v>10.166666666666666</v>
      </c>
      <c r="H28" s="3530">
        <v>21579.476190476191</v>
      </c>
      <c r="I28" s="3530">
        <v>290.47619047619048</v>
      </c>
      <c r="J28" s="3530">
        <v>92230.09001956947</v>
      </c>
      <c r="K28" s="3530">
        <v>6686.1</v>
      </c>
      <c r="L28" s="3530">
        <v>6307.6415094339627</v>
      </c>
      <c r="M28" s="3530" t="s">
        <v>3605</v>
      </c>
    </row>
    <row r="29" spans="1:13" s="3533" customFormat="1" ht="15">
      <c r="A29" s="3526">
        <v>28</v>
      </c>
      <c r="B29" s="3529">
        <v>2</v>
      </c>
      <c r="C29" s="3530">
        <v>125.55</v>
      </c>
      <c r="D29" s="3531">
        <v>44256</v>
      </c>
      <c r="E29" s="3531">
        <v>45900</v>
      </c>
      <c r="F29" s="3530">
        <v>0</v>
      </c>
      <c r="G29" s="3532">
        <f t="shared" si="0"/>
        <v>0</v>
      </c>
      <c r="H29" s="3530">
        <v>0</v>
      </c>
      <c r="I29" s="3530">
        <v>0</v>
      </c>
      <c r="J29" s="3530">
        <v>0</v>
      </c>
      <c r="K29" s="3530">
        <v>10044</v>
      </c>
      <c r="L29" s="3530">
        <v>9475.4716981132078</v>
      </c>
      <c r="M29" s="3530" t="s">
        <v>3606</v>
      </c>
    </row>
    <row r="30" spans="1:13" s="3533" customFormat="1" ht="15">
      <c r="A30" s="3526">
        <v>29</v>
      </c>
      <c r="B30" s="3529">
        <v>2</v>
      </c>
      <c r="C30" s="3530">
        <v>271</v>
      </c>
      <c r="D30" s="3531">
        <v>44315</v>
      </c>
      <c r="E30" s="3531">
        <v>46505</v>
      </c>
      <c r="F30" s="3530">
        <v>94850</v>
      </c>
      <c r="G30" s="3532">
        <f t="shared" si="0"/>
        <v>11.666666666666666</v>
      </c>
      <c r="H30" s="3530">
        <v>90333.333333333328</v>
      </c>
      <c r="I30" s="3530">
        <v>333.33333333333331</v>
      </c>
      <c r="J30" s="3530">
        <v>2069994.5205479451</v>
      </c>
      <c r="K30" s="3530">
        <v>21680</v>
      </c>
      <c r="L30" s="3530">
        <v>20452.830188679243</v>
      </c>
      <c r="M30" s="3530" t="s">
        <v>3607</v>
      </c>
    </row>
    <row r="31" spans="1:13" s="3533" customFormat="1" ht="15">
      <c r="A31" s="3526">
        <v>30</v>
      </c>
      <c r="B31" s="3529">
        <v>2</v>
      </c>
      <c r="C31" s="3530">
        <v>71.52</v>
      </c>
      <c r="D31" s="3531">
        <v>45145</v>
      </c>
      <c r="E31" s="3531">
        <v>46270</v>
      </c>
      <c r="F31" s="3530">
        <v>27177.599999999999</v>
      </c>
      <c r="G31" s="3532">
        <f t="shared" si="0"/>
        <v>12.666666666666666</v>
      </c>
      <c r="H31" s="3530">
        <v>25883.428571428569</v>
      </c>
      <c r="I31" s="3530">
        <v>361.90476190476187</v>
      </c>
      <c r="J31" s="3530">
        <v>393144.46027397254</v>
      </c>
      <c r="K31" s="3530">
        <v>6436.8</v>
      </c>
      <c r="L31" s="3530">
        <v>6072.4528301886794</v>
      </c>
      <c r="M31" s="3530" t="s">
        <v>3608</v>
      </c>
    </row>
    <row r="32" spans="1:13" s="3533" customFormat="1" ht="15">
      <c r="A32" s="3526">
        <v>31</v>
      </c>
      <c r="B32" s="3529">
        <v>2</v>
      </c>
      <c r="C32" s="3530">
        <v>117.08</v>
      </c>
      <c r="D32" s="3531">
        <v>45573</v>
      </c>
      <c r="E32" s="3531">
        <v>46697</v>
      </c>
      <c r="F32" s="3530">
        <v>35124</v>
      </c>
      <c r="G32" s="3532">
        <f t="shared" si="0"/>
        <v>10</v>
      </c>
      <c r="H32" s="3530">
        <v>33451.428571428572</v>
      </c>
      <c r="I32" s="3530">
        <v>285.71428571428572</v>
      </c>
      <c r="J32" s="3530">
        <v>977698.19178082189</v>
      </c>
      <c r="K32" s="3530">
        <v>10537.2</v>
      </c>
      <c r="L32" s="3530">
        <v>9940.7547169811314</v>
      </c>
      <c r="M32" s="3530" t="s">
        <v>3609</v>
      </c>
    </row>
    <row r="33" spans="1:13" s="3533" customFormat="1" ht="15">
      <c r="A33" s="3526">
        <v>32</v>
      </c>
      <c r="B33" s="3529">
        <v>2</v>
      </c>
      <c r="C33" s="3530">
        <v>72.25</v>
      </c>
      <c r="D33" s="3531">
        <v>45159</v>
      </c>
      <c r="E33" s="3531">
        <v>45919</v>
      </c>
      <c r="F33" s="3530">
        <v>16256.25</v>
      </c>
      <c r="G33" s="3532">
        <f t="shared" si="0"/>
        <v>7.5</v>
      </c>
      <c r="H33" s="3530">
        <v>15482.142857142857</v>
      </c>
      <c r="I33" s="3530">
        <v>214.28571428571428</v>
      </c>
      <c r="J33" s="3530">
        <v>56499.217221135033</v>
      </c>
      <c r="K33" s="3530">
        <v>6502.5</v>
      </c>
      <c r="L33" s="3530">
        <v>6134.433962264151</v>
      </c>
      <c r="M33" s="3530" t="s">
        <v>3610</v>
      </c>
    </row>
    <row r="34" spans="1:13" s="3533" customFormat="1" ht="15">
      <c r="A34" s="3526">
        <v>33</v>
      </c>
      <c r="B34" s="3529">
        <v>2</v>
      </c>
      <c r="C34" s="3530">
        <v>105.27</v>
      </c>
      <c r="D34" s="3531">
        <v>42217</v>
      </c>
      <c r="E34" s="3531">
        <v>46142</v>
      </c>
      <c r="F34" s="3530">
        <v>75794.399999999994</v>
      </c>
      <c r="G34" s="3532">
        <f t="shared" si="0"/>
        <v>24</v>
      </c>
      <c r="H34" s="3530">
        <v>72185.142857142855</v>
      </c>
      <c r="I34" s="3530">
        <v>685.71428571428567</v>
      </c>
      <c r="J34" s="3530">
        <v>792652.19882583164</v>
      </c>
      <c r="K34" s="3530">
        <v>9474.75</v>
      </c>
      <c r="L34" s="3530">
        <v>8938.4433962264138</v>
      </c>
      <c r="M34" s="3530" t="s">
        <v>3611</v>
      </c>
    </row>
    <row r="35" spans="1:13" s="3533" customFormat="1" ht="15">
      <c r="A35" s="3526">
        <v>34</v>
      </c>
      <c r="B35" s="3529">
        <v>2</v>
      </c>
      <c r="C35" s="3530">
        <v>62.48</v>
      </c>
      <c r="D35" s="3531"/>
      <c r="E35" s="3531"/>
      <c r="F35" s="3530"/>
      <c r="G35" s="3532">
        <f t="shared" si="0"/>
        <v>0</v>
      </c>
      <c r="H35" s="3530"/>
      <c r="I35" s="3530"/>
      <c r="J35" s="3530"/>
      <c r="K35" s="3530"/>
      <c r="L35" s="3530"/>
      <c r="M35" s="3530"/>
    </row>
    <row r="36" spans="1:13" s="3533" customFormat="1" ht="15">
      <c r="A36" s="3526">
        <v>35</v>
      </c>
      <c r="B36" s="3529">
        <v>2</v>
      </c>
      <c r="C36" s="3530">
        <v>517.33000000000004</v>
      </c>
      <c r="D36" s="3531">
        <v>45748</v>
      </c>
      <c r="E36" s="3531">
        <v>47663</v>
      </c>
      <c r="F36" s="3530">
        <v>63842.94</v>
      </c>
      <c r="G36" s="3532">
        <f t="shared" si="0"/>
        <v>4.1136180001159799</v>
      </c>
      <c r="H36" s="3530">
        <v>60802.8</v>
      </c>
      <c r="I36" s="3530">
        <v>117.53194286045657</v>
      </c>
      <c r="J36" s="3530">
        <v>3708137.8849315071</v>
      </c>
      <c r="K36" s="3530">
        <v>46559.700000000004</v>
      </c>
      <c r="L36" s="3530">
        <v>43924.24528301887</v>
      </c>
      <c r="M36" s="3530" t="s">
        <v>3612</v>
      </c>
    </row>
    <row r="37" spans="1:13" s="3533" customFormat="1" ht="15">
      <c r="A37" s="3526">
        <v>36</v>
      </c>
      <c r="B37" s="3529">
        <v>2</v>
      </c>
      <c r="C37" s="3530">
        <v>8.6300000000000008</v>
      </c>
      <c r="D37" s="3531">
        <v>41747</v>
      </c>
      <c r="E37" s="3531">
        <v>46129</v>
      </c>
      <c r="F37" s="3530">
        <v>4056.1000000000004</v>
      </c>
      <c r="G37" s="3532">
        <f t="shared" si="0"/>
        <v>15.666666666666666</v>
      </c>
      <c r="H37" s="3530">
        <v>3862.9523809523812</v>
      </c>
      <c r="I37" s="3530">
        <v>447.61904761904759</v>
      </c>
      <c r="J37" s="3530">
        <v>40767.376908023485</v>
      </c>
      <c r="K37" s="3530">
        <v>776.7</v>
      </c>
      <c r="L37" s="3530">
        <v>732.7358490566038</v>
      </c>
      <c r="M37" s="3530" t="s">
        <v>3613</v>
      </c>
    </row>
    <row r="38" spans="1:13" s="3533" customFormat="1" ht="15">
      <c r="A38" s="3534">
        <v>37</v>
      </c>
      <c r="B38" s="3535">
        <v>1</v>
      </c>
      <c r="C38" s="3536">
        <v>322.27</v>
      </c>
      <c r="D38" s="3537">
        <v>44638</v>
      </c>
      <c r="E38" s="3537">
        <v>46188</v>
      </c>
      <c r="F38" s="3536">
        <v>167580.4</v>
      </c>
      <c r="G38" s="3532">
        <f t="shared" si="0"/>
        <v>17.333333333333332</v>
      </c>
      <c r="H38" s="3536">
        <v>159600.38095238095</v>
      </c>
      <c r="I38" s="3536">
        <v>495.23809523809524</v>
      </c>
      <c r="J38" s="3530">
        <v>78707.037181996071</v>
      </c>
      <c r="K38" s="3530">
        <v>29004.9</v>
      </c>
      <c r="L38" s="3530">
        <v>27363.113207547169</v>
      </c>
      <c r="M38" s="3530" t="s">
        <v>3614</v>
      </c>
    </row>
    <row r="39" spans="1:13" s="3533" customFormat="1" ht="15">
      <c r="A39" s="3526">
        <v>38</v>
      </c>
      <c r="B39" s="3529">
        <v>1</v>
      </c>
      <c r="C39" s="3530">
        <v>106.71</v>
      </c>
      <c r="D39" s="3531">
        <v>42654</v>
      </c>
      <c r="E39" s="3531">
        <v>46078</v>
      </c>
      <c r="F39" s="3530">
        <v>23476.199999999997</v>
      </c>
      <c r="G39" s="3532">
        <f t="shared" si="0"/>
        <v>7.3333333333333321</v>
      </c>
      <c r="H39" s="3530">
        <v>22358.28571428571</v>
      </c>
      <c r="I39" s="3530">
        <v>209.52380952380949</v>
      </c>
      <c r="J39" s="3530">
        <v>198468.07045009782</v>
      </c>
      <c r="K39" s="3530">
        <v>9603.9</v>
      </c>
      <c r="L39" s="3530">
        <v>9060.2830188679236</v>
      </c>
      <c r="M39" s="3530" t="s">
        <v>3615</v>
      </c>
    </row>
    <row r="40" spans="1:13" s="3533" customFormat="1" ht="15">
      <c r="A40" s="3526">
        <v>39</v>
      </c>
      <c r="B40" s="3529">
        <v>1</v>
      </c>
      <c r="C40" s="3530">
        <v>109.71</v>
      </c>
      <c r="D40" s="3531">
        <v>45066</v>
      </c>
      <c r="E40" s="3531">
        <v>46206</v>
      </c>
      <c r="F40" s="3530">
        <v>48601.53</v>
      </c>
      <c r="G40" s="3532">
        <f t="shared" si="0"/>
        <v>14.766666666666667</v>
      </c>
      <c r="H40" s="3530">
        <v>46287.171428571426</v>
      </c>
      <c r="I40" s="3530">
        <v>421.90476190476193</v>
      </c>
      <c r="J40" s="3530">
        <v>605664.46778864961</v>
      </c>
      <c r="K40" s="3530">
        <v>9873.9</v>
      </c>
      <c r="L40" s="3530">
        <v>9315</v>
      </c>
      <c r="M40" s="3530" t="s">
        <v>3616</v>
      </c>
    </row>
    <row r="41" spans="1:13" s="3533" customFormat="1" ht="15">
      <c r="A41" s="3526">
        <v>40</v>
      </c>
      <c r="B41" s="3529">
        <v>1</v>
      </c>
      <c r="C41" s="3530">
        <v>121</v>
      </c>
      <c r="D41" s="3531">
        <v>45047</v>
      </c>
      <c r="E41" s="3531">
        <v>46172</v>
      </c>
      <c r="F41" s="3530">
        <v>67760</v>
      </c>
      <c r="G41" s="3532">
        <f t="shared" si="0"/>
        <v>18.666666666666668</v>
      </c>
      <c r="H41" s="3530">
        <v>64533.333333333328</v>
      </c>
      <c r="I41" s="3530">
        <v>533.33333333333326</v>
      </c>
      <c r="J41" s="3530">
        <v>772278.35616438347</v>
      </c>
      <c r="K41" s="3530">
        <v>10890</v>
      </c>
      <c r="L41" s="3530">
        <v>10273.584905660377</v>
      </c>
      <c r="M41" s="3530" t="s">
        <v>3617</v>
      </c>
    </row>
    <row r="42" spans="1:13" s="3533" customFormat="1" ht="15">
      <c r="A42" s="3526">
        <v>41</v>
      </c>
      <c r="B42" s="3529">
        <v>1</v>
      </c>
      <c r="C42" s="3530">
        <v>684.04</v>
      </c>
      <c r="D42" s="3531">
        <v>45808</v>
      </c>
      <c r="E42" s="3531">
        <v>47693</v>
      </c>
      <c r="F42" s="3530">
        <v>95765.599999999991</v>
      </c>
      <c r="G42" s="3532">
        <f t="shared" si="0"/>
        <v>4.666666666666667</v>
      </c>
      <c r="H42" s="3530">
        <v>91205.333333333314</v>
      </c>
      <c r="I42" s="3530">
        <v>133.33333333333331</v>
      </c>
      <c r="J42" s="3530">
        <v>5652231.8904109579</v>
      </c>
      <c r="K42" s="3530">
        <v>61563.6</v>
      </c>
      <c r="L42" s="3530">
        <v>58078.867924528298</v>
      </c>
      <c r="M42" s="3530" t="s">
        <v>3618</v>
      </c>
    </row>
    <row r="43" spans="1:13" s="3533" customFormat="1" ht="15">
      <c r="A43" s="3526">
        <v>42</v>
      </c>
      <c r="B43" s="3529">
        <v>1</v>
      </c>
      <c r="C43" s="3530">
        <v>200.67</v>
      </c>
      <c r="D43" s="3531">
        <v>45096</v>
      </c>
      <c r="E43" s="3531">
        <v>46251</v>
      </c>
      <c r="F43" s="3530">
        <v>54180.899999999994</v>
      </c>
      <c r="G43" s="3532">
        <f t="shared" si="0"/>
        <v>9</v>
      </c>
      <c r="H43" s="3530">
        <v>51600.857142857138</v>
      </c>
      <c r="I43" s="3530">
        <v>257.14285714285711</v>
      </c>
      <c r="J43" s="3530">
        <v>751534.67553816049</v>
      </c>
      <c r="K43" s="3530">
        <v>18060.3</v>
      </c>
      <c r="L43" s="3530">
        <v>17038.018867924526</v>
      </c>
      <c r="M43" s="3530" t="s">
        <v>3619</v>
      </c>
    </row>
    <row r="44" spans="1:13" s="3533" customFormat="1" ht="15">
      <c r="A44" s="3534">
        <v>43</v>
      </c>
      <c r="B44" s="3535">
        <v>1</v>
      </c>
      <c r="C44" s="3536">
        <v>85</v>
      </c>
      <c r="D44" s="3537">
        <v>44391</v>
      </c>
      <c r="E44" s="3537">
        <v>46203</v>
      </c>
      <c r="F44" s="3536">
        <v>45900</v>
      </c>
      <c r="G44" s="3532">
        <f t="shared" si="0"/>
        <v>18</v>
      </c>
      <c r="H44" s="3536">
        <v>43714.28571428571</v>
      </c>
      <c r="I44" s="3536">
        <v>514.28571428571422</v>
      </c>
      <c r="J44" s="3530">
        <v>43115.459882583171</v>
      </c>
      <c r="K44" s="3530">
        <v>7650</v>
      </c>
      <c r="L44" s="3530">
        <v>7216.9811320754716</v>
      </c>
      <c r="M44" s="3530" t="s">
        <v>3620</v>
      </c>
    </row>
    <row r="45" spans="1:13" s="3533" customFormat="1" ht="15">
      <c r="A45" s="3526">
        <v>44</v>
      </c>
      <c r="B45" s="3529">
        <v>1</v>
      </c>
      <c r="C45" s="3530">
        <v>222.21</v>
      </c>
      <c r="D45" s="3531">
        <v>45516</v>
      </c>
      <c r="E45" s="3531">
        <v>46655</v>
      </c>
      <c r="F45" s="3530">
        <v>77773.5</v>
      </c>
      <c r="G45" s="3532">
        <f t="shared" si="0"/>
        <v>11.666666666666666</v>
      </c>
      <c r="H45" s="3530">
        <v>74070</v>
      </c>
      <c r="I45" s="3530">
        <v>333.33333333333331</v>
      </c>
      <c r="J45" s="3530">
        <v>2062595.8356164382</v>
      </c>
      <c r="K45" s="3530">
        <v>19998.900000000001</v>
      </c>
      <c r="L45" s="3530">
        <v>18866.886792452831</v>
      </c>
      <c r="M45" s="3530" t="s">
        <v>3621</v>
      </c>
    </row>
    <row r="46" spans="1:13" s="3533" customFormat="1" ht="15">
      <c r="A46" s="3526">
        <v>45</v>
      </c>
      <c r="B46" s="3529">
        <v>1</v>
      </c>
      <c r="C46" s="3530">
        <v>173.4</v>
      </c>
      <c r="D46" s="3531">
        <v>45784</v>
      </c>
      <c r="E46" s="3531">
        <v>46919</v>
      </c>
      <c r="F46" s="3530">
        <v>60690</v>
      </c>
      <c r="G46" s="3532">
        <f t="shared" si="0"/>
        <v>11.666666666666666</v>
      </c>
      <c r="H46" s="3530">
        <v>57800</v>
      </c>
      <c r="I46" s="3530">
        <v>333.33333333333331</v>
      </c>
      <c r="J46" s="3530">
        <v>2111204.3835616433</v>
      </c>
      <c r="K46" s="3530">
        <v>15606</v>
      </c>
      <c r="L46" s="3530">
        <v>14722.641509433961</v>
      </c>
      <c r="M46" s="3530" t="s">
        <v>3622</v>
      </c>
    </row>
    <row r="47" spans="1:13" s="3533" customFormat="1" ht="15">
      <c r="A47" s="3526">
        <v>46</v>
      </c>
      <c r="B47" s="3529">
        <v>1</v>
      </c>
      <c r="C47" s="3530">
        <v>21.68</v>
      </c>
      <c r="D47" s="3531">
        <v>44114</v>
      </c>
      <c r="E47" s="3531">
        <v>45939</v>
      </c>
      <c r="F47" s="3530">
        <v>15176</v>
      </c>
      <c r="G47" s="3532">
        <f t="shared" si="0"/>
        <v>23.333333333333332</v>
      </c>
      <c r="H47" s="3530">
        <v>14453.333333333332</v>
      </c>
      <c r="I47" s="3530">
        <v>666.66666666666663</v>
      </c>
      <c r="J47" s="3530">
        <v>62248.32876712329</v>
      </c>
      <c r="K47" s="3530">
        <v>1951.2</v>
      </c>
      <c r="L47" s="3530">
        <v>1840.7547169811321</v>
      </c>
      <c r="M47" s="3530" t="s">
        <v>3623</v>
      </c>
    </row>
    <row r="48" spans="1:13" s="3533" customFormat="1" ht="15">
      <c r="A48" s="3526">
        <v>47</v>
      </c>
      <c r="B48" s="3529">
        <v>1</v>
      </c>
      <c r="C48" s="3530">
        <v>37</v>
      </c>
      <c r="D48" s="3531">
        <v>45443</v>
      </c>
      <c r="E48" s="3531">
        <v>46212</v>
      </c>
      <c r="F48" s="3530">
        <v>16280</v>
      </c>
      <c r="G48" s="3532">
        <f t="shared" si="0"/>
        <v>14.666666666666666</v>
      </c>
      <c r="H48" s="3530">
        <v>15504.761904761905</v>
      </c>
      <c r="I48" s="3530">
        <v>419.04761904761904</v>
      </c>
      <c r="J48" s="3530">
        <v>205937.22113502934</v>
      </c>
      <c r="K48" s="3530">
        <v>3330</v>
      </c>
      <c r="L48" s="3530">
        <v>3141.5094339622642</v>
      </c>
      <c r="M48" s="3530" t="s">
        <v>3624</v>
      </c>
    </row>
    <row r="49" spans="1:13" s="3533" customFormat="1" ht="15">
      <c r="A49" s="3526">
        <v>48</v>
      </c>
      <c r="B49" s="3529">
        <v>1</v>
      </c>
      <c r="C49" s="3530">
        <v>210.18</v>
      </c>
      <c r="D49" s="3531">
        <v>44230</v>
      </c>
      <c r="E49" s="3531">
        <v>46142</v>
      </c>
      <c r="F49" s="3530">
        <v>36214.014000000003</v>
      </c>
      <c r="G49" s="3532">
        <f t="shared" si="0"/>
        <v>5.7433333333333341</v>
      </c>
      <c r="H49" s="3530">
        <v>34489.537142857145</v>
      </c>
      <c r="I49" s="3530">
        <v>164.0952380952381</v>
      </c>
      <c r="J49" s="3530">
        <v>378723.46539334644</v>
      </c>
      <c r="K49" s="3530">
        <v>18916.2</v>
      </c>
      <c r="L49" s="3530">
        <v>17845.471698113208</v>
      </c>
      <c r="M49" s="3530" t="s">
        <v>3625</v>
      </c>
    </row>
    <row r="50" spans="1:13" s="3533" customFormat="1" ht="15">
      <c r="A50" s="3526">
        <v>49</v>
      </c>
      <c r="B50" s="3529">
        <v>1</v>
      </c>
      <c r="C50" s="3530">
        <v>75.28</v>
      </c>
      <c r="D50" s="3531">
        <v>45748</v>
      </c>
      <c r="E50" s="3531">
        <v>46112</v>
      </c>
      <c r="F50" s="3530">
        <v>6775.2</v>
      </c>
      <c r="G50" s="3532">
        <f t="shared" si="0"/>
        <v>3</v>
      </c>
      <c r="H50" s="3530">
        <v>6452.5714285714284</v>
      </c>
      <c r="I50" s="3530">
        <v>85.714285714285708</v>
      </c>
      <c r="J50" s="3530">
        <v>64490.357729941286</v>
      </c>
      <c r="K50" s="3530">
        <v>6775.2</v>
      </c>
      <c r="L50" s="3530">
        <v>6391.6981132075471</v>
      </c>
      <c r="M50" s="3530" t="s">
        <v>3626</v>
      </c>
    </row>
    <row r="51" spans="1:13" s="3533" customFormat="1" ht="15">
      <c r="A51" s="3526">
        <v>50</v>
      </c>
      <c r="B51" s="3529">
        <v>1</v>
      </c>
      <c r="C51" s="3530">
        <v>384.6</v>
      </c>
      <c r="D51" s="3531">
        <v>43676</v>
      </c>
      <c r="E51" s="3531">
        <v>45991</v>
      </c>
      <c r="F51" s="3530">
        <v>38460</v>
      </c>
      <c r="G51" s="3532">
        <f t="shared" si="0"/>
        <v>3.3333333333333335</v>
      </c>
      <c r="H51" s="3530">
        <v>36628.571428571428</v>
      </c>
      <c r="I51" s="3530">
        <v>95.238095238095227</v>
      </c>
      <c r="J51" s="3530">
        <v>220373.54207436397</v>
      </c>
      <c r="K51" s="3530">
        <v>34139.839999999997</v>
      </c>
      <c r="L51" s="3530">
        <v>32207.39622641509</v>
      </c>
      <c r="M51" s="3530" t="s">
        <v>3627</v>
      </c>
    </row>
    <row r="52" spans="1:13" s="3533" customFormat="1" ht="15">
      <c r="A52" s="3526">
        <v>51</v>
      </c>
      <c r="B52" s="3529">
        <v>1</v>
      </c>
      <c r="C52" s="3530">
        <v>46.79</v>
      </c>
      <c r="D52" s="3531"/>
      <c r="E52" s="3531"/>
      <c r="F52" s="3530"/>
      <c r="G52" s="3532">
        <f t="shared" si="0"/>
        <v>0</v>
      </c>
      <c r="H52" s="3530"/>
      <c r="I52" s="3530"/>
      <c r="J52" s="3530"/>
      <c r="K52" s="3530"/>
      <c r="L52" s="3530"/>
      <c r="M52" s="3530"/>
    </row>
    <row r="53" spans="1:13" s="3533" customFormat="1" ht="15">
      <c r="A53" s="3534">
        <v>52</v>
      </c>
      <c r="B53" s="3535">
        <v>1</v>
      </c>
      <c r="C53" s="3536">
        <v>265.74</v>
      </c>
      <c r="D53" s="3537"/>
      <c r="E53" s="3537"/>
      <c r="F53" s="3536"/>
      <c r="G53" s="3532">
        <f t="shared" si="0"/>
        <v>0</v>
      </c>
      <c r="H53" s="3536"/>
      <c r="I53" s="3536"/>
      <c r="J53" s="3530"/>
      <c r="K53" s="3530"/>
      <c r="L53" s="3530"/>
      <c r="M53" s="3530"/>
    </row>
    <row r="54" spans="1:13" s="3533" customFormat="1" ht="15">
      <c r="A54" s="3534">
        <v>53</v>
      </c>
      <c r="B54" s="3535">
        <v>1</v>
      </c>
      <c r="C54" s="3536">
        <v>46.11</v>
      </c>
      <c r="D54" s="3537"/>
      <c r="E54" s="3537"/>
      <c r="F54" s="3536"/>
      <c r="G54" s="3532">
        <f t="shared" si="0"/>
        <v>0</v>
      </c>
      <c r="H54" s="3536"/>
      <c r="I54" s="3536"/>
      <c r="J54" s="3530"/>
      <c r="K54" s="3530"/>
      <c r="L54" s="3530"/>
      <c r="M54" s="3530"/>
    </row>
    <row r="55" spans="1:13" s="3533" customFormat="1" ht="15">
      <c r="A55" s="3526">
        <v>54</v>
      </c>
      <c r="B55" s="3529">
        <v>1</v>
      </c>
      <c r="C55" s="3530">
        <v>26.53</v>
      </c>
      <c r="D55" s="3531">
        <v>44740</v>
      </c>
      <c r="E55" s="3531">
        <v>46108</v>
      </c>
      <c r="F55" s="3530">
        <v>15918</v>
      </c>
      <c r="G55" s="3532">
        <f t="shared" si="0"/>
        <v>20</v>
      </c>
      <c r="H55" s="3530">
        <v>15160</v>
      </c>
      <c r="I55" s="3530">
        <v>571.42857142857144</v>
      </c>
      <c r="J55" s="3530">
        <v>149523.28767123286</v>
      </c>
      <c r="K55" s="3530">
        <v>2387.6999999999998</v>
      </c>
      <c r="L55" s="3530">
        <v>2252.5471698113206</v>
      </c>
      <c r="M55" s="3530" t="s">
        <v>3628</v>
      </c>
    </row>
    <row r="56" spans="1:13" s="3538" customFormat="1" ht="15">
      <c r="A56" s="3534">
        <v>55</v>
      </c>
      <c r="B56" s="3535">
        <v>1</v>
      </c>
      <c r="C56" s="3536">
        <v>73.58</v>
      </c>
      <c r="D56" s="3537"/>
      <c r="E56" s="3537"/>
      <c r="F56" s="3536"/>
      <c r="G56" s="3532">
        <f t="shared" si="0"/>
        <v>0</v>
      </c>
      <c r="H56" s="3536"/>
      <c r="I56" s="3536"/>
      <c r="J56" s="3536"/>
      <c r="K56" s="3536"/>
      <c r="L56" s="3536"/>
      <c r="M56" s="3536"/>
    </row>
    <row r="57" spans="1:13" s="3538" customFormat="1" ht="15">
      <c r="A57" s="3534">
        <v>56</v>
      </c>
      <c r="B57" s="3535">
        <v>1</v>
      </c>
      <c r="C57" s="3536">
        <v>67.8</v>
      </c>
      <c r="D57" s="3537">
        <v>45823</v>
      </c>
      <c r="E57" s="3537">
        <v>46963</v>
      </c>
      <c r="F57" s="3536">
        <v>23187.599999999999</v>
      </c>
      <c r="G57" s="3532">
        <f t="shared" si="0"/>
        <v>11.4</v>
      </c>
      <c r="H57" s="3536">
        <v>22083.428571428569</v>
      </c>
      <c r="I57" s="3536">
        <v>325.71428571428567</v>
      </c>
      <c r="J57" s="3536">
        <v>880493.52328767115</v>
      </c>
      <c r="K57" s="3536">
        <v>6102</v>
      </c>
      <c r="L57" s="3536">
        <v>5756.603773584905</v>
      </c>
      <c r="M57" s="3536" t="s">
        <v>3629</v>
      </c>
    </row>
    <row r="58" spans="1:13" s="3538" customFormat="1" ht="15">
      <c r="A58" s="3534">
        <v>57</v>
      </c>
      <c r="B58" s="3535">
        <v>1</v>
      </c>
      <c r="C58" s="3536">
        <v>211.09</v>
      </c>
      <c r="D58" s="3537">
        <v>45757</v>
      </c>
      <c r="E58" s="3537">
        <v>47277</v>
      </c>
      <c r="F58" s="3536">
        <v>42218</v>
      </c>
      <c r="G58" s="3532">
        <f t="shared" si="0"/>
        <v>6.666666666666667</v>
      </c>
      <c r="H58" s="3536">
        <v>40207.619047619046</v>
      </c>
      <c r="I58" s="3536">
        <v>190.47619047619045</v>
      </c>
      <c r="J58" s="3536">
        <v>2038955.901369863</v>
      </c>
      <c r="K58" s="3536">
        <v>18998.099999999999</v>
      </c>
      <c r="L58" s="3536">
        <v>17922.7358490566</v>
      </c>
      <c r="M58" s="3536" t="s">
        <v>3630</v>
      </c>
    </row>
    <row r="59" spans="1:13" s="3538" customFormat="1" ht="15">
      <c r="A59" s="3534">
        <v>58</v>
      </c>
      <c r="B59" s="3535">
        <v>1</v>
      </c>
      <c r="C59" s="3536">
        <v>195.95</v>
      </c>
      <c r="D59" s="3537">
        <v>45762</v>
      </c>
      <c r="E59" s="3537">
        <v>47647</v>
      </c>
      <c r="F59" s="3536">
        <v>39110</v>
      </c>
      <c r="G59" s="3532">
        <f t="shared" si="0"/>
        <v>6.6530577528281025</v>
      </c>
      <c r="H59" s="3536">
        <v>37247.619047619046</v>
      </c>
      <c r="I59" s="3536">
        <v>190.08736436651722</v>
      </c>
      <c r="J59" s="3536">
        <v>2364601.3150684931</v>
      </c>
      <c r="K59" s="3536">
        <v>17635.5</v>
      </c>
      <c r="L59" s="3536">
        <v>16637.264150943396</v>
      </c>
      <c r="M59" s="3536" t="s">
        <v>3631</v>
      </c>
    </row>
    <row r="60" spans="1:13" s="3533" customFormat="1" ht="15">
      <c r="A60" s="3526">
        <v>59</v>
      </c>
      <c r="B60" s="3529">
        <v>1</v>
      </c>
      <c r="C60" s="3530">
        <v>104.2</v>
      </c>
      <c r="D60" s="3531">
        <v>44297</v>
      </c>
      <c r="E60" s="3531">
        <v>46081</v>
      </c>
      <c r="F60" s="3530">
        <v>23966</v>
      </c>
      <c r="G60" s="3532">
        <f t="shared" si="0"/>
        <v>7.666666666666667</v>
      </c>
      <c r="H60" s="3530">
        <v>22824.761904761905</v>
      </c>
      <c r="I60" s="3530">
        <v>219.04761904761904</v>
      </c>
      <c r="J60" s="3530">
        <v>204860.05479452052</v>
      </c>
      <c r="K60" s="3530">
        <v>8336</v>
      </c>
      <c r="L60" s="3530">
        <v>7864.1509433962265</v>
      </c>
      <c r="M60" s="3530" t="s">
        <v>3632</v>
      </c>
    </row>
    <row r="61" spans="1:13" s="3533" customFormat="1" ht="15">
      <c r="A61" s="3526">
        <v>60</v>
      </c>
      <c r="B61" s="3529">
        <v>1</v>
      </c>
      <c r="C61" s="3530">
        <v>107.07</v>
      </c>
      <c r="D61" s="3531">
        <v>45777</v>
      </c>
      <c r="E61" s="3531">
        <v>46902</v>
      </c>
      <c r="F61" s="3530">
        <v>32120.999999999996</v>
      </c>
      <c r="G61" s="3532">
        <f t="shared" si="0"/>
        <v>10</v>
      </c>
      <c r="H61" s="3530">
        <v>30591.428571428565</v>
      </c>
      <c r="I61" s="3530">
        <v>285.71428571428567</v>
      </c>
      <c r="J61" s="3530">
        <v>1100285.6829745595</v>
      </c>
      <c r="K61" s="3530">
        <v>9636.2999999999993</v>
      </c>
      <c r="L61" s="3530">
        <v>9090.8490566037726</v>
      </c>
      <c r="M61" s="3530" t="s">
        <v>3633</v>
      </c>
    </row>
    <row r="62" spans="1:13" s="3533" customFormat="1" ht="15">
      <c r="A62" s="3526">
        <v>61</v>
      </c>
      <c r="B62" s="3529">
        <v>1</v>
      </c>
      <c r="C62" s="3530">
        <v>148.69</v>
      </c>
      <c r="D62" s="3531">
        <v>43402</v>
      </c>
      <c r="E62" s="3531">
        <v>45898</v>
      </c>
      <c r="F62" s="3530">
        <v>74740.77</v>
      </c>
      <c r="G62" s="3532">
        <f t="shared" si="0"/>
        <v>16.755390409576975</v>
      </c>
      <c r="H62" s="3530">
        <v>71181.685714285719</v>
      </c>
      <c r="I62" s="3530">
        <v>478.72544027362784</v>
      </c>
      <c r="J62" s="3530">
        <v>210619.78238747554</v>
      </c>
      <c r="K62" s="3530">
        <v>13382.1</v>
      </c>
      <c r="L62" s="3530">
        <v>12624.622641509433</v>
      </c>
      <c r="M62" s="3530" t="s">
        <v>3634</v>
      </c>
    </row>
    <row r="63" spans="1:13" s="3533" customFormat="1" ht="15">
      <c r="A63" s="3526">
        <v>62</v>
      </c>
      <c r="B63" s="3529">
        <v>1</v>
      </c>
      <c r="C63" s="3530">
        <v>149.68</v>
      </c>
      <c r="D63" s="3531">
        <v>44160</v>
      </c>
      <c r="E63" s="3531">
        <v>45985</v>
      </c>
      <c r="F63" s="3530">
        <v>65859.199999999997</v>
      </c>
      <c r="G63" s="3532">
        <f t="shared" si="0"/>
        <v>14.666666666666664</v>
      </c>
      <c r="H63" s="3530">
        <v>62723.047619047611</v>
      </c>
      <c r="I63" s="3530">
        <v>419.04761904761898</v>
      </c>
      <c r="J63" s="3530">
        <v>364996.5839530332</v>
      </c>
      <c r="K63" s="3530">
        <v>13471.2</v>
      </c>
      <c r="L63" s="3530">
        <v>12708.67924528302</v>
      </c>
      <c r="M63" s="3530" t="s">
        <v>3635</v>
      </c>
    </row>
    <row r="64" spans="1:13" s="3533" customFormat="1" ht="15">
      <c r="A64" s="3526">
        <v>63</v>
      </c>
      <c r="B64" s="3529">
        <v>1</v>
      </c>
      <c r="C64" s="3530">
        <v>61.8</v>
      </c>
      <c r="D64" s="3531">
        <v>44329</v>
      </c>
      <c r="E64" s="3531">
        <v>45973</v>
      </c>
      <c r="F64" s="3530">
        <v>25956</v>
      </c>
      <c r="G64" s="3532">
        <f t="shared" si="0"/>
        <v>14</v>
      </c>
      <c r="H64" s="3530">
        <v>24720</v>
      </c>
      <c r="I64" s="3530">
        <v>400</v>
      </c>
      <c r="J64" s="3530">
        <v>134097.53424657535</v>
      </c>
      <c r="K64" s="3530">
        <v>4944</v>
      </c>
      <c r="L64" s="3530">
        <v>4664.1509433962265</v>
      </c>
      <c r="M64" s="3530" t="s">
        <v>3636</v>
      </c>
    </row>
    <row r="65" spans="1:13" s="3533" customFormat="1" ht="15">
      <c r="A65" s="3526">
        <v>64</v>
      </c>
      <c r="B65" s="3529">
        <v>1</v>
      </c>
      <c r="C65" s="3530">
        <v>80.3</v>
      </c>
      <c r="D65" s="3531">
        <v>45807</v>
      </c>
      <c r="E65" s="3531">
        <v>45898</v>
      </c>
      <c r="F65" s="3530">
        <v>0</v>
      </c>
      <c r="G65" s="3532">
        <f t="shared" si="0"/>
        <v>0</v>
      </c>
      <c r="H65" s="3530">
        <v>0</v>
      </c>
      <c r="I65" s="3530">
        <v>0</v>
      </c>
      <c r="J65" s="3530">
        <v>0</v>
      </c>
      <c r="K65" s="3530">
        <v>7227</v>
      </c>
      <c r="L65" s="3530">
        <v>6817.9245283018863</v>
      </c>
      <c r="M65" s="3530" t="s">
        <v>3637</v>
      </c>
    </row>
    <row r="66" spans="1:13" s="3533" customFormat="1" ht="15">
      <c r="A66" s="3526">
        <v>65</v>
      </c>
      <c r="B66" s="3529">
        <v>1</v>
      </c>
      <c r="C66" s="3530">
        <v>107.1</v>
      </c>
      <c r="D66" s="3531"/>
      <c r="E66" s="3531"/>
      <c r="F66" s="3530"/>
      <c r="G66" s="3532">
        <f t="shared" si="0"/>
        <v>0</v>
      </c>
      <c r="H66" s="3530"/>
      <c r="I66" s="3530"/>
      <c r="J66" s="3530"/>
      <c r="K66" s="3530"/>
      <c r="L66" s="3530"/>
      <c r="M66" s="3530"/>
    </row>
    <row r="67" spans="1:13" s="3533" customFormat="1" ht="15">
      <c r="A67" s="3526">
        <v>66</v>
      </c>
      <c r="B67" s="3529">
        <v>1</v>
      </c>
      <c r="C67" s="3530">
        <v>170.1</v>
      </c>
      <c r="D67" s="3531">
        <v>44697</v>
      </c>
      <c r="E67" s="3531">
        <v>46157</v>
      </c>
      <c r="F67" s="3530">
        <v>17010</v>
      </c>
      <c r="G67" s="3532">
        <f t="shared" ref="G67:G130" si="1">F67/C67/30</f>
        <v>3.3333333333333335</v>
      </c>
      <c r="H67" s="3530">
        <v>16200</v>
      </c>
      <c r="I67" s="3530">
        <v>95.238095238095241</v>
      </c>
      <c r="J67" s="3530">
        <v>185878.35616438356</v>
      </c>
      <c r="K67" s="3530">
        <v>15309</v>
      </c>
      <c r="L67" s="3530">
        <v>14442.452830188678</v>
      </c>
      <c r="M67" s="3530" t="s">
        <v>3638</v>
      </c>
    </row>
    <row r="68" spans="1:13" s="3533" customFormat="1" ht="15">
      <c r="A68" s="3526">
        <v>67</v>
      </c>
      <c r="B68" s="3529">
        <v>1</v>
      </c>
      <c r="C68" s="3530">
        <v>258.63</v>
      </c>
      <c r="D68" s="3531">
        <v>45444</v>
      </c>
      <c r="E68" s="3531">
        <v>47359</v>
      </c>
      <c r="F68" s="3530">
        <v>111210.9</v>
      </c>
      <c r="G68" s="3532">
        <f t="shared" si="1"/>
        <v>14.333333333333334</v>
      </c>
      <c r="H68" s="3530">
        <v>105915.14285714284</v>
      </c>
      <c r="I68" s="3530">
        <v>409.52380952380946</v>
      </c>
      <c r="J68" s="3530">
        <v>5400801.7502935408</v>
      </c>
      <c r="K68" s="3530">
        <v>23276.7</v>
      </c>
      <c r="L68" s="3530">
        <v>21959.150943396227</v>
      </c>
      <c r="M68" s="3530" t="s">
        <v>3639</v>
      </c>
    </row>
    <row r="69" spans="1:13" s="3533" customFormat="1" ht="15">
      <c r="A69" s="3526">
        <v>68</v>
      </c>
      <c r="B69" s="3529" t="s">
        <v>3640</v>
      </c>
      <c r="C69" s="3530">
        <v>117.38</v>
      </c>
      <c r="D69" s="3531">
        <v>45802</v>
      </c>
      <c r="E69" s="3531">
        <v>47307</v>
      </c>
      <c r="F69" s="3530">
        <v>35712</v>
      </c>
      <c r="G69" s="3532">
        <f t="shared" si="1"/>
        <v>10.141421025728404</v>
      </c>
      <c r="H69" s="3530">
        <v>34011.428571428572</v>
      </c>
      <c r="I69" s="3530">
        <v>289.75488644938298</v>
      </c>
      <c r="J69" s="3530">
        <v>1676157.7455968689</v>
      </c>
      <c r="K69" s="3530">
        <v>10564.199999999999</v>
      </c>
      <c r="L69" s="3530">
        <v>9966.2264150943374</v>
      </c>
      <c r="M69" s="3530" t="s">
        <v>3641</v>
      </c>
    </row>
    <row r="70" spans="1:13" s="3533" customFormat="1" ht="15">
      <c r="A70" s="3526">
        <v>69</v>
      </c>
      <c r="B70" s="3529" t="s">
        <v>3642</v>
      </c>
      <c r="C70" s="3530">
        <v>15.1</v>
      </c>
      <c r="D70" s="3531">
        <v>45524</v>
      </c>
      <c r="E70" s="3531">
        <v>46099</v>
      </c>
      <c r="F70" s="3530">
        <v>22650</v>
      </c>
      <c r="G70" s="3532">
        <f t="shared" si="1"/>
        <v>50</v>
      </c>
      <c r="H70" s="3530">
        <v>21571.428571428569</v>
      </c>
      <c r="I70" s="3530">
        <v>1428.5714285714284</v>
      </c>
      <c r="J70" s="3530">
        <v>206376.51663405084</v>
      </c>
      <c r="K70" s="3530">
        <v>1359</v>
      </c>
      <c r="L70" s="3530">
        <v>1282.0754716981132</v>
      </c>
      <c r="M70" s="3530" t="s">
        <v>3643</v>
      </c>
    </row>
    <row r="71" spans="1:13" s="3533" customFormat="1" ht="15">
      <c r="A71" s="3526">
        <v>70</v>
      </c>
      <c r="B71" s="3529" t="s">
        <v>3642</v>
      </c>
      <c r="C71" s="3530">
        <v>33</v>
      </c>
      <c r="D71" s="3531">
        <v>44331</v>
      </c>
      <c r="E71" s="3531">
        <v>46156</v>
      </c>
      <c r="F71" s="3530">
        <v>54615</v>
      </c>
      <c r="G71" s="3532">
        <f t="shared" si="1"/>
        <v>55.166666666666664</v>
      </c>
      <c r="H71" s="3530">
        <v>52014.28571428571</v>
      </c>
      <c r="I71" s="3530">
        <v>1576.1904761904761</v>
      </c>
      <c r="J71" s="3530">
        <v>595100.43052837567</v>
      </c>
      <c r="K71" s="3530">
        <v>2970</v>
      </c>
      <c r="L71" s="3530">
        <v>2801.8867924528299</v>
      </c>
      <c r="M71" s="3530" t="s">
        <v>3644</v>
      </c>
    </row>
    <row r="72" spans="1:13" s="3533" customFormat="1" ht="15">
      <c r="A72" s="3526">
        <v>71</v>
      </c>
      <c r="B72" s="3529" t="s">
        <v>3642</v>
      </c>
      <c r="C72" s="3530">
        <v>83.03</v>
      </c>
      <c r="D72" s="3531">
        <v>44650</v>
      </c>
      <c r="E72" s="3531">
        <v>46155</v>
      </c>
      <c r="F72" s="3530">
        <v>58536.15</v>
      </c>
      <c r="G72" s="3532">
        <f t="shared" si="1"/>
        <v>23.5</v>
      </c>
      <c r="H72" s="3530">
        <v>55748.714285714283</v>
      </c>
      <c r="I72" s="3530">
        <v>671.42857142857133</v>
      </c>
      <c r="J72" s="3530">
        <v>635993.55146771041</v>
      </c>
      <c r="K72" s="3530">
        <v>7472.7</v>
      </c>
      <c r="L72" s="3530">
        <v>7049.7169811320746</v>
      </c>
      <c r="M72" s="3530" t="s">
        <v>3645</v>
      </c>
    </row>
    <row r="73" spans="1:13" s="3533" customFormat="1" ht="15">
      <c r="A73" s="3526">
        <v>72</v>
      </c>
      <c r="B73" s="3529" t="s">
        <v>3642</v>
      </c>
      <c r="C73" s="3530">
        <v>30.8</v>
      </c>
      <c r="D73" s="3531">
        <v>44650</v>
      </c>
      <c r="E73" s="3531">
        <v>46112</v>
      </c>
      <c r="F73" s="3530">
        <v>41580</v>
      </c>
      <c r="G73" s="3532">
        <f t="shared" si="1"/>
        <v>45</v>
      </c>
      <c r="H73" s="3530">
        <v>39600</v>
      </c>
      <c r="I73" s="3530">
        <v>1285.7142857142858</v>
      </c>
      <c r="J73" s="3530">
        <v>395783.01369863009</v>
      </c>
      <c r="K73" s="3530">
        <v>2772</v>
      </c>
      <c r="L73" s="3530">
        <v>2615.0943396226412</v>
      </c>
      <c r="M73" s="3530" t="s">
        <v>3646</v>
      </c>
    </row>
    <row r="74" spans="1:13" s="3533" customFormat="1" ht="15">
      <c r="A74" s="3526">
        <v>73</v>
      </c>
      <c r="B74" s="3529" t="s">
        <v>3642</v>
      </c>
      <c r="C74" s="3530">
        <v>24</v>
      </c>
      <c r="D74" s="3531">
        <v>45379</v>
      </c>
      <c r="E74" s="3531">
        <v>46128</v>
      </c>
      <c r="F74" s="3530">
        <v>32136</v>
      </c>
      <c r="G74" s="3532">
        <f t="shared" si="1"/>
        <v>44.633333333333333</v>
      </c>
      <c r="H74" s="3530">
        <v>30605.714285714286</v>
      </c>
      <c r="I74" s="3530">
        <v>1275.2380952380952</v>
      </c>
      <c r="J74" s="3530">
        <v>321988.8845401174</v>
      </c>
      <c r="K74" s="3530">
        <v>2160</v>
      </c>
      <c r="L74" s="3530">
        <v>2037.7358490566037</v>
      </c>
      <c r="M74" s="3530" t="s">
        <v>3647</v>
      </c>
    </row>
    <row r="75" spans="1:13" s="3533" customFormat="1" ht="15">
      <c r="A75" s="3526">
        <v>74</v>
      </c>
      <c r="B75" s="3529" t="s">
        <v>3642</v>
      </c>
      <c r="C75" s="3530">
        <v>36.6</v>
      </c>
      <c r="D75" s="3531">
        <v>45789</v>
      </c>
      <c r="E75" s="3531">
        <v>46548</v>
      </c>
      <c r="F75" s="3530">
        <v>18849</v>
      </c>
      <c r="G75" s="3532">
        <f t="shared" si="1"/>
        <v>17.166666666666668</v>
      </c>
      <c r="H75" s="3530">
        <v>17951.428571428572</v>
      </c>
      <c r="I75" s="3530">
        <v>490.47619047619048</v>
      </c>
      <c r="J75" s="3530">
        <v>436736.12524461839</v>
      </c>
      <c r="K75" s="3530">
        <v>3294</v>
      </c>
      <c r="L75" s="3530">
        <v>3107.5471698113206</v>
      </c>
      <c r="M75" s="3530" t="s">
        <v>3648</v>
      </c>
    </row>
    <row r="76" spans="1:13" s="3533" customFormat="1" ht="15">
      <c r="A76" s="3526">
        <v>75</v>
      </c>
      <c r="B76" s="3529" t="s">
        <v>3642</v>
      </c>
      <c r="C76" s="3530">
        <v>121.07</v>
      </c>
      <c r="D76" s="3531">
        <v>45758</v>
      </c>
      <c r="E76" s="3531">
        <v>45940</v>
      </c>
      <c r="F76" s="3530">
        <v>57387.18</v>
      </c>
      <c r="G76" s="3532">
        <f t="shared" si="1"/>
        <v>15.800000000000002</v>
      </c>
      <c r="H76" s="3530">
        <v>54654.457142857143</v>
      </c>
      <c r="I76" s="3530">
        <v>451.42857142857144</v>
      </c>
      <c r="J76" s="3530">
        <v>237185.37017612526</v>
      </c>
      <c r="K76" s="3530">
        <v>10896.3</v>
      </c>
      <c r="L76" s="3530">
        <v>10279.52830188679</v>
      </c>
      <c r="M76" s="3530" t="s">
        <v>3649</v>
      </c>
    </row>
    <row r="77" spans="1:13" s="3533" customFormat="1" ht="15">
      <c r="A77" s="3526">
        <v>76</v>
      </c>
      <c r="B77" s="3529" t="s">
        <v>3642</v>
      </c>
      <c r="C77" s="3530">
        <v>15.9</v>
      </c>
      <c r="D77" s="3531">
        <v>45762</v>
      </c>
      <c r="E77" s="3531">
        <v>46521</v>
      </c>
      <c r="F77" s="3530">
        <v>16408.8</v>
      </c>
      <c r="G77" s="3532">
        <f t="shared" si="1"/>
        <v>34.4</v>
      </c>
      <c r="H77" s="3530">
        <v>15627.428571428571</v>
      </c>
      <c r="I77" s="3530">
        <v>982.85714285714278</v>
      </c>
      <c r="J77" s="3530">
        <v>366324.05166340497</v>
      </c>
      <c r="K77" s="3530">
        <v>1431</v>
      </c>
      <c r="L77" s="3530">
        <v>1350</v>
      </c>
      <c r="M77" s="3530" t="s">
        <v>3650</v>
      </c>
    </row>
    <row r="78" spans="1:13" s="3533" customFormat="1" ht="15">
      <c r="A78" s="3526">
        <v>77</v>
      </c>
      <c r="B78" s="3529" t="s">
        <v>3642</v>
      </c>
      <c r="C78" s="3530">
        <v>113.8</v>
      </c>
      <c r="D78" s="3531">
        <v>44316</v>
      </c>
      <c r="E78" s="3531">
        <v>46096</v>
      </c>
      <c r="F78" s="3530">
        <v>69025</v>
      </c>
      <c r="G78" s="3532">
        <f t="shared" si="1"/>
        <v>20.218219097832453</v>
      </c>
      <c r="H78" s="3530">
        <v>65738.095238095237</v>
      </c>
      <c r="I78" s="3530">
        <v>577.66340279521296</v>
      </c>
      <c r="J78" s="3530">
        <v>622440.70450097846</v>
      </c>
      <c r="K78" s="3530">
        <v>5500</v>
      </c>
      <c r="L78" s="3530">
        <v>5188.6792452830186</v>
      </c>
      <c r="M78" s="3530" t="s">
        <v>3651</v>
      </c>
    </row>
    <row r="79" spans="1:13" s="3533" customFormat="1" ht="15">
      <c r="A79" s="3526">
        <v>78</v>
      </c>
      <c r="B79" s="3529" t="s">
        <v>3642</v>
      </c>
      <c r="C79" s="3530">
        <v>73.599999999999994</v>
      </c>
      <c r="D79" s="3531">
        <v>45627</v>
      </c>
      <c r="E79" s="3531">
        <v>46387</v>
      </c>
      <c r="F79" s="3530">
        <v>39142.6</v>
      </c>
      <c r="G79" s="3532">
        <f t="shared" si="1"/>
        <v>17.727626811594202</v>
      </c>
      <c r="H79" s="3530">
        <v>37278.666666666664</v>
      </c>
      <c r="I79" s="3530">
        <v>506.50362318840581</v>
      </c>
      <c r="J79" s="3530">
        <v>709622.39999999991</v>
      </c>
      <c r="K79" s="3530">
        <v>3447</v>
      </c>
      <c r="L79" s="3530">
        <v>3251.8867924528299</v>
      </c>
      <c r="M79" s="3530" t="s">
        <v>3652</v>
      </c>
    </row>
    <row r="80" spans="1:13" s="3533" customFormat="1" ht="15">
      <c r="A80" s="3526">
        <v>79</v>
      </c>
      <c r="B80" s="3529" t="s">
        <v>3642</v>
      </c>
      <c r="C80" s="3530">
        <v>69.7</v>
      </c>
      <c r="D80" s="3531">
        <v>43507</v>
      </c>
      <c r="E80" s="3531">
        <v>46097</v>
      </c>
      <c r="F80" s="3530">
        <v>52325.999999999993</v>
      </c>
      <c r="G80" s="3532">
        <f t="shared" si="1"/>
        <v>25.024390243902435</v>
      </c>
      <c r="H80" s="3530">
        <v>49834.285714285703</v>
      </c>
      <c r="I80" s="3530">
        <v>714.98257839721236</v>
      </c>
      <c r="J80" s="3530">
        <v>473493.98043052823</v>
      </c>
      <c r="K80" s="3530">
        <v>3230</v>
      </c>
      <c r="L80" s="3530">
        <v>3047.1698113207544</v>
      </c>
      <c r="M80" s="3530" t="s">
        <v>3653</v>
      </c>
    </row>
    <row r="81" spans="1:13" s="3533" customFormat="1" ht="15">
      <c r="A81" s="3526">
        <v>80</v>
      </c>
      <c r="B81" s="3529" t="s">
        <v>3642</v>
      </c>
      <c r="C81" s="3530">
        <v>60</v>
      </c>
      <c r="D81" s="3531">
        <v>45544</v>
      </c>
      <c r="E81" s="3531">
        <v>45869</v>
      </c>
      <c r="F81" s="3530">
        <v>33344</v>
      </c>
      <c r="G81" s="3532">
        <f t="shared" si="1"/>
        <v>18.524444444444445</v>
      </c>
      <c r="H81" s="3530">
        <v>31756.190476190473</v>
      </c>
      <c r="I81" s="3530">
        <v>529.26984126984121</v>
      </c>
      <c r="J81" s="3530">
        <v>63686.387475538148</v>
      </c>
      <c r="K81" s="3530">
        <v>2084</v>
      </c>
      <c r="L81" s="3530">
        <v>1966.0377358490566</v>
      </c>
      <c r="M81" s="3530" t="s">
        <v>3643</v>
      </c>
    </row>
    <row r="82" spans="1:13" s="3533" customFormat="1" ht="15">
      <c r="A82" s="3526">
        <v>81</v>
      </c>
      <c r="B82" s="3529" t="s">
        <v>3642</v>
      </c>
      <c r="C82" s="3530">
        <v>350.51</v>
      </c>
      <c r="D82" s="3531">
        <v>45352</v>
      </c>
      <c r="E82" s="3531">
        <v>46933</v>
      </c>
      <c r="F82" s="3530">
        <v>77112.2</v>
      </c>
      <c r="G82" s="3532">
        <f t="shared" si="1"/>
        <v>7.333333333333333</v>
      </c>
      <c r="H82" s="3530">
        <v>73440.190476190473</v>
      </c>
      <c r="I82" s="3530">
        <v>209.52380952380952</v>
      </c>
      <c r="J82" s="3530">
        <v>2716281.0176125243</v>
      </c>
      <c r="K82" s="3530">
        <v>31545.9</v>
      </c>
      <c r="L82" s="3530">
        <v>29760.283018867925</v>
      </c>
      <c r="M82" s="3530" t="s">
        <v>3654</v>
      </c>
    </row>
    <row r="83" spans="1:13" s="3533" customFormat="1" ht="15">
      <c r="A83" s="3526">
        <v>82</v>
      </c>
      <c r="B83" s="3529" t="s">
        <v>3642</v>
      </c>
      <c r="C83" s="3530">
        <v>75.599999999999994</v>
      </c>
      <c r="D83" s="3531">
        <v>45239</v>
      </c>
      <c r="E83" s="3531">
        <v>45999</v>
      </c>
      <c r="F83" s="3530">
        <v>30739</v>
      </c>
      <c r="G83" s="3532">
        <f t="shared" si="1"/>
        <v>13.553350970017638</v>
      </c>
      <c r="H83" s="3530">
        <v>29275.238095238095</v>
      </c>
      <c r="I83" s="3530">
        <v>387.23859914336106</v>
      </c>
      <c r="J83" s="3530">
        <v>183832.45401174168</v>
      </c>
      <c r="K83" s="3530">
        <v>4689</v>
      </c>
      <c r="L83" s="3530">
        <v>4423.5849056603774</v>
      </c>
      <c r="M83" s="3530" t="s">
        <v>3655</v>
      </c>
    </row>
    <row r="84" spans="1:13" s="3533" customFormat="1" ht="15">
      <c r="A84" s="3526">
        <v>83</v>
      </c>
      <c r="B84" s="3529" t="s">
        <v>3642</v>
      </c>
      <c r="C84" s="3530">
        <v>136.88</v>
      </c>
      <c r="D84" s="3531">
        <v>44927</v>
      </c>
      <c r="E84" s="3531">
        <v>46473</v>
      </c>
      <c r="F84" s="3530">
        <v>62964.799999999996</v>
      </c>
      <c r="G84" s="3532">
        <f t="shared" si="1"/>
        <v>15.333333333333334</v>
      </c>
      <c r="H84" s="3530">
        <v>59966.476190476184</v>
      </c>
      <c r="I84" s="3530">
        <v>438.09523809523807</v>
      </c>
      <c r="J84" s="3530">
        <v>1311047.8904109588</v>
      </c>
      <c r="K84" s="3530">
        <v>12319.2</v>
      </c>
      <c r="L84" s="3530">
        <v>11621.886792452829</v>
      </c>
      <c r="M84" s="3530" t="s">
        <v>3656</v>
      </c>
    </row>
    <row r="85" spans="1:13" s="3533" customFormat="1" ht="15">
      <c r="A85" s="3526">
        <v>84</v>
      </c>
      <c r="B85" s="3529" t="s">
        <v>3642</v>
      </c>
      <c r="C85" s="3530">
        <v>131.88</v>
      </c>
      <c r="D85" s="3531">
        <v>45054</v>
      </c>
      <c r="E85" s="3531">
        <v>46574</v>
      </c>
      <c r="F85" s="3530">
        <v>52752</v>
      </c>
      <c r="G85" s="3532">
        <f t="shared" si="1"/>
        <v>13.333333333333334</v>
      </c>
      <c r="H85" s="3530">
        <v>50240</v>
      </c>
      <c r="I85" s="3530">
        <v>380.95238095238096</v>
      </c>
      <c r="J85" s="3530">
        <v>1265222.1369863013</v>
      </c>
      <c r="K85" s="3530">
        <v>11869.2</v>
      </c>
      <c r="L85" s="3530">
        <v>11197.358490566037</v>
      </c>
      <c r="M85" s="3530" t="s">
        <v>3657</v>
      </c>
    </row>
    <row r="86" spans="1:13" s="3533" customFormat="1" ht="15">
      <c r="A86" s="3526">
        <v>85</v>
      </c>
      <c r="B86" s="3529" t="s">
        <v>3642</v>
      </c>
      <c r="C86" s="3530">
        <v>88.1</v>
      </c>
      <c r="D86" s="3531">
        <v>44880</v>
      </c>
      <c r="E86" s="3531">
        <v>46020</v>
      </c>
      <c r="F86" s="3530">
        <v>66075</v>
      </c>
      <c r="G86" s="3532">
        <f t="shared" si="1"/>
        <v>25</v>
      </c>
      <c r="H86" s="3530">
        <v>62928.571428571428</v>
      </c>
      <c r="I86" s="3530">
        <v>714.28571428571433</v>
      </c>
      <c r="J86" s="3530">
        <v>438603.52250489237</v>
      </c>
      <c r="K86" s="3530">
        <v>7929</v>
      </c>
      <c r="L86" s="3530">
        <v>7480.1886792452824</v>
      </c>
      <c r="M86" s="3530" t="s">
        <v>3658</v>
      </c>
    </row>
    <row r="87" spans="1:13" s="3533" customFormat="1" ht="15">
      <c r="A87" s="3526">
        <v>86</v>
      </c>
      <c r="B87" s="3529" t="s">
        <v>3642</v>
      </c>
      <c r="C87" s="3530">
        <v>143.30000000000001</v>
      </c>
      <c r="D87" s="3531">
        <v>44723</v>
      </c>
      <c r="E87" s="3531">
        <v>45863</v>
      </c>
      <c r="F87" s="3530">
        <v>52980</v>
      </c>
      <c r="G87" s="3532">
        <f t="shared" si="1"/>
        <v>12.323796231681786</v>
      </c>
      <c r="H87" s="3530">
        <v>50457.142857142855</v>
      </c>
      <c r="I87" s="3530">
        <v>352.10846376233673</v>
      </c>
      <c r="J87" s="3530">
        <v>91237.573385518597</v>
      </c>
      <c r="K87" s="3530">
        <v>7947</v>
      </c>
      <c r="L87" s="3530">
        <v>7497.169811320754</v>
      </c>
      <c r="M87" s="3530" t="s">
        <v>3659</v>
      </c>
    </row>
    <row r="88" spans="1:13" s="3533" customFormat="1" ht="15">
      <c r="A88" s="3526">
        <v>87</v>
      </c>
      <c r="B88" s="3529" t="s">
        <v>3642</v>
      </c>
      <c r="C88" s="3530">
        <v>113.5</v>
      </c>
      <c r="D88" s="3531"/>
      <c r="E88" s="3531"/>
      <c r="F88" s="3530"/>
      <c r="G88" s="3532">
        <f t="shared" si="1"/>
        <v>0</v>
      </c>
      <c r="H88" s="3530"/>
      <c r="I88" s="3530"/>
      <c r="J88" s="3530"/>
      <c r="K88" s="3530"/>
      <c r="L88" s="3530"/>
      <c r="M88" s="3530"/>
    </row>
    <row r="89" spans="1:13" s="3533" customFormat="1" ht="15">
      <c r="A89" s="3526">
        <v>88</v>
      </c>
      <c r="B89" s="3529" t="s">
        <v>3660</v>
      </c>
      <c r="C89" s="3530">
        <v>472.42</v>
      </c>
      <c r="D89" s="3531"/>
      <c r="E89" s="3531"/>
      <c r="F89" s="3530"/>
      <c r="G89" s="3532">
        <f t="shared" si="1"/>
        <v>0</v>
      </c>
      <c r="H89" s="3530"/>
      <c r="I89" s="3530"/>
      <c r="J89" s="3530"/>
      <c r="K89" s="3530"/>
      <c r="L89" s="3530"/>
      <c r="M89" s="3530"/>
    </row>
    <row r="90" spans="1:13" s="3533" customFormat="1" ht="15">
      <c r="A90" s="3526">
        <v>89</v>
      </c>
      <c r="B90" s="3529" t="s">
        <v>3660</v>
      </c>
      <c r="C90" s="3530">
        <v>235.94</v>
      </c>
      <c r="D90" s="3531">
        <v>43800</v>
      </c>
      <c r="E90" s="3531">
        <v>45968</v>
      </c>
      <c r="F90" s="3530">
        <v>77860.2</v>
      </c>
      <c r="G90" s="3532">
        <f t="shared" si="1"/>
        <v>11</v>
      </c>
      <c r="H90" s="3530">
        <v>74152.57142857142</v>
      </c>
      <c r="I90" s="3530">
        <v>314.28571428571428</v>
      </c>
      <c r="J90" s="3530">
        <v>390062.8414872798</v>
      </c>
      <c r="K90" s="3530">
        <v>15126.01</v>
      </c>
      <c r="L90" s="3530">
        <v>14269.82075471698</v>
      </c>
      <c r="M90" s="3530" t="s">
        <v>3661</v>
      </c>
    </row>
    <row r="91" spans="1:13" s="3533" customFormat="1" ht="15">
      <c r="A91" s="3526">
        <v>90</v>
      </c>
      <c r="B91" s="3529" t="s">
        <v>3660</v>
      </c>
      <c r="C91" s="3530">
        <v>444.37</v>
      </c>
      <c r="D91" s="3531"/>
      <c r="E91" s="3531"/>
      <c r="F91" s="3530"/>
      <c r="G91" s="3532">
        <f t="shared" si="1"/>
        <v>0</v>
      </c>
      <c r="H91" s="3530"/>
      <c r="I91" s="3530"/>
      <c r="J91" s="3530"/>
      <c r="K91" s="3530"/>
      <c r="L91" s="3530"/>
      <c r="M91" s="3530"/>
    </row>
    <row r="92" spans="1:13" s="3533" customFormat="1" ht="15">
      <c r="A92" s="3526">
        <v>91</v>
      </c>
      <c r="B92" s="3529" t="s">
        <v>3660</v>
      </c>
      <c r="C92" s="3530">
        <v>362.31</v>
      </c>
      <c r="D92" s="3531">
        <v>44469</v>
      </c>
      <c r="E92" s="3531">
        <v>45929</v>
      </c>
      <c r="F92" s="3530">
        <v>92389.05</v>
      </c>
      <c r="G92" s="3532">
        <f t="shared" si="1"/>
        <v>8.5</v>
      </c>
      <c r="H92" s="3530">
        <v>87989.571428571435</v>
      </c>
      <c r="I92" s="3530">
        <v>242.85714285714286</v>
      </c>
      <c r="J92" s="3530">
        <v>350029.74716242665</v>
      </c>
      <c r="K92" s="3530">
        <v>23550.15</v>
      </c>
      <c r="L92" s="3530">
        <v>22217.122641509435</v>
      </c>
      <c r="M92" s="3530" t="s">
        <v>3662</v>
      </c>
    </row>
    <row r="93" spans="1:13" s="3533" customFormat="1" ht="15">
      <c r="A93" s="3526">
        <v>92</v>
      </c>
      <c r="B93" s="3529" t="s">
        <v>3660</v>
      </c>
      <c r="C93" s="3530">
        <v>202.6</v>
      </c>
      <c r="D93" s="3531"/>
      <c r="E93" s="3531"/>
      <c r="F93" s="3530"/>
      <c r="G93" s="3532">
        <f t="shared" si="1"/>
        <v>0</v>
      </c>
      <c r="H93" s="3530"/>
      <c r="I93" s="3530"/>
      <c r="J93" s="3530"/>
      <c r="K93" s="3530"/>
      <c r="L93" s="3530"/>
      <c r="M93" s="3530"/>
    </row>
    <row r="94" spans="1:13" s="3533" customFormat="1" ht="15">
      <c r="A94" s="3526">
        <v>93</v>
      </c>
      <c r="B94" s="3529" t="s">
        <v>3660</v>
      </c>
      <c r="C94" s="3530">
        <v>234.63</v>
      </c>
      <c r="D94" s="3531">
        <v>45705</v>
      </c>
      <c r="E94" s="3531">
        <v>47605</v>
      </c>
      <c r="F94" s="3530">
        <v>51618.6</v>
      </c>
      <c r="G94" s="3532">
        <f t="shared" si="1"/>
        <v>7.333333333333333</v>
      </c>
      <c r="H94" s="3530">
        <v>49160.571428571428</v>
      </c>
      <c r="I94" s="3530">
        <v>209.52380952380952</v>
      </c>
      <c r="J94" s="3530">
        <v>2904379.6227005869</v>
      </c>
      <c r="K94" s="3530">
        <v>15250.95</v>
      </c>
      <c r="L94" s="3530">
        <v>14387.688679245282</v>
      </c>
      <c r="M94" s="3530" t="s">
        <v>3663</v>
      </c>
    </row>
    <row r="95" spans="1:13" s="3533" customFormat="1" ht="15">
      <c r="A95" s="3526">
        <v>94</v>
      </c>
      <c r="B95" s="3529" t="s">
        <v>3660</v>
      </c>
      <c r="C95" s="3530">
        <v>433.86</v>
      </c>
      <c r="D95" s="3531">
        <v>45806</v>
      </c>
      <c r="E95" s="3531">
        <v>45989</v>
      </c>
      <c r="F95" s="3530">
        <v>19957.560000000001</v>
      </c>
      <c r="G95" s="3532">
        <f t="shared" si="1"/>
        <v>1.5333333333333334</v>
      </c>
      <c r="H95" s="3530">
        <v>19007.2</v>
      </c>
      <c r="I95" s="3530">
        <v>43.80952380952381</v>
      </c>
      <c r="J95" s="3530">
        <v>113105.85863013699</v>
      </c>
      <c r="K95" s="3530">
        <v>0</v>
      </c>
      <c r="L95" s="3530">
        <v>0</v>
      </c>
      <c r="M95" s="3530" t="s">
        <v>3664</v>
      </c>
    </row>
    <row r="96" spans="1:13" s="3533" customFormat="1" ht="15">
      <c r="A96" s="3526">
        <v>95</v>
      </c>
      <c r="B96" s="3529" t="s">
        <v>3660</v>
      </c>
      <c r="C96" s="3530">
        <v>190.32</v>
      </c>
      <c r="D96" s="3531">
        <v>43800</v>
      </c>
      <c r="E96" s="3531">
        <v>45991</v>
      </c>
      <c r="F96" s="3530">
        <v>39967.199999999997</v>
      </c>
      <c r="G96" s="3532">
        <f t="shared" si="1"/>
        <v>7</v>
      </c>
      <c r="H96" s="3530">
        <v>38063.999999999993</v>
      </c>
      <c r="I96" s="3530">
        <v>199.99999999999997</v>
      </c>
      <c r="J96" s="3530">
        <v>229009.70958904104</v>
      </c>
      <c r="K96" s="3530">
        <v>12370.8</v>
      </c>
      <c r="L96" s="3530">
        <v>11670.566037735847</v>
      </c>
      <c r="M96" s="3530" t="s">
        <v>3665</v>
      </c>
    </row>
    <row r="97" spans="1:13" s="3533" customFormat="1" ht="15">
      <c r="A97" s="3526">
        <v>96</v>
      </c>
      <c r="B97" s="3529" t="s">
        <v>3660</v>
      </c>
      <c r="C97" s="3530">
        <v>198.61</v>
      </c>
      <c r="D97" s="3531">
        <v>43829</v>
      </c>
      <c r="E97" s="3531">
        <v>46156</v>
      </c>
      <c r="F97" s="3530">
        <v>31777.599999999999</v>
      </c>
      <c r="G97" s="3532">
        <f t="shared" si="1"/>
        <v>5.3333333333333321</v>
      </c>
      <c r="H97" s="3530">
        <v>30264.38095238095</v>
      </c>
      <c r="I97" s="3530">
        <v>152.38095238095235</v>
      </c>
      <c r="J97" s="3530">
        <v>346257.68454011733</v>
      </c>
      <c r="K97" s="3530">
        <v>12732.81</v>
      </c>
      <c r="L97" s="3530">
        <v>12012.084905660377</v>
      </c>
      <c r="M97" s="3530" t="s">
        <v>3666</v>
      </c>
    </row>
    <row r="98" spans="1:13" s="3533" customFormat="1" ht="15">
      <c r="A98" s="3526">
        <v>97</v>
      </c>
      <c r="B98" s="3529" t="s">
        <v>3660</v>
      </c>
      <c r="C98" s="3530">
        <v>89.32</v>
      </c>
      <c r="D98" s="3531">
        <v>45261</v>
      </c>
      <c r="E98" s="3531">
        <v>46401</v>
      </c>
      <c r="F98" s="3530">
        <v>41980.399999999994</v>
      </c>
      <c r="G98" s="3532">
        <f t="shared" si="1"/>
        <v>15.666666666666664</v>
      </c>
      <c r="H98" s="3530">
        <v>39981.333333333328</v>
      </c>
      <c r="I98" s="3530">
        <v>447.61904761904759</v>
      </c>
      <c r="J98" s="3530">
        <v>779471.69315068482</v>
      </c>
      <c r="K98" s="3530">
        <v>5805.8</v>
      </c>
      <c r="L98" s="3530">
        <v>5477.1698113207549</v>
      </c>
      <c r="M98" s="3530" t="s">
        <v>3667</v>
      </c>
    </row>
    <row r="99" spans="1:13" s="3533" customFormat="1" ht="15">
      <c r="A99" s="3526">
        <v>98</v>
      </c>
      <c r="B99" s="3529" t="s">
        <v>3660</v>
      </c>
      <c r="C99" s="3530">
        <v>270.49</v>
      </c>
      <c r="D99" s="3531">
        <v>44620</v>
      </c>
      <c r="E99" s="3531">
        <v>46140</v>
      </c>
      <c r="F99" s="3530">
        <v>159589.1</v>
      </c>
      <c r="G99" s="3532">
        <f t="shared" si="1"/>
        <v>19.666666666666668</v>
      </c>
      <c r="H99" s="3530">
        <v>151989.61904761905</v>
      </c>
      <c r="I99" s="3530">
        <v>561.90476190476193</v>
      </c>
      <c r="J99" s="3530">
        <v>1658977.1021526421</v>
      </c>
      <c r="K99" s="3530">
        <v>17581.850000000002</v>
      </c>
      <c r="L99" s="3530">
        <v>16586.650943396227</v>
      </c>
      <c r="M99" s="3530" t="s">
        <v>3668</v>
      </c>
    </row>
    <row r="100" spans="1:13" s="3533" customFormat="1" ht="15">
      <c r="A100" s="3526">
        <v>99</v>
      </c>
      <c r="B100" s="3529" t="s">
        <v>3660</v>
      </c>
      <c r="C100" s="3530">
        <v>135.61000000000001</v>
      </c>
      <c r="D100" s="3531">
        <v>44726</v>
      </c>
      <c r="E100" s="3531">
        <v>46231</v>
      </c>
      <c r="F100" s="3530">
        <v>30512.250000000004</v>
      </c>
      <c r="G100" s="3532">
        <f t="shared" si="1"/>
        <v>7.5</v>
      </c>
      <c r="H100" s="3530">
        <v>29059.285714285717</v>
      </c>
      <c r="I100" s="3530">
        <v>214.28571428571428</v>
      </c>
      <c r="J100" s="3530">
        <v>404123.107632094</v>
      </c>
      <c r="K100" s="3530">
        <v>8814.6500000000015</v>
      </c>
      <c r="L100" s="3530">
        <v>8315.7075471698117</v>
      </c>
      <c r="M100" s="3530" t="s">
        <v>3669</v>
      </c>
    </row>
    <row r="101" spans="1:13" s="3533" customFormat="1" ht="15">
      <c r="A101" s="3526">
        <v>100</v>
      </c>
      <c r="B101" s="3529" t="s">
        <v>3660</v>
      </c>
      <c r="C101" s="3530">
        <v>52.59</v>
      </c>
      <c r="D101" s="3531">
        <v>43800</v>
      </c>
      <c r="E101" s="3531">
        <v>45900</v>
      </c>
      <c r="F101" s="3530">
        <v>30502.2</v>
      </c>
      <c r="G101" s="3532">
        <f t="shared" si="1"/>
        <v>19.333333333333332</v>
      </c>
      <c r="H101" s="3530">
        <v>29049.714285714286</v>
      </c>
      <c r="I101" s="3530">
        <v>552.38095238095241</v>
      </c>
      <c r="J101" s="3530">
        <v>87865.43718199608</v>
      </c>
      <c r="K101" s="3530">
        <v>3418.35</v>
      </c>
      <c r="L101" s="3530">
        <v>3224.8584905660373</v>
      </c>
      <c r="M101" s="3530" t="s">
        <v>3670</v>
      </c>
    </row>
    <row r="102" spans="1:13" s="3533" customFormat="1" ht="15">
      <c r="A102" s="3526">
        <v>101</v>
      </c>
      <c r="B102" s="3529" t="s">
        <v>3660</v>
      </c>
      <c r="C102" s="3530">
        <v>265.97000000000003</v>
      </c>
      <c r="D102" s="3531">
        <v>44058</v>
      </c>
      <c r="E102" s="3531">
        <v>45961</v>
      </c>
      <c r="F102" s="3530">
        <v>79791.000000000015</v>
      </c>
      <c r="G102" s="3532">
        <f t="shared" si="1"/>
        <v>10</v>
      </c>
      <c r="H102" s="3530">
        <v>75991.42857142858</v>
      </c>
      <c r="I102" s="3530">
        <v>285.71428571428572</v>
      </c>
      <c r="J102" s="3530">
        <v>382247.29549902165</v>
      </c>
      <c r="K102" s="3530">
        <v>17288.05</v>
      </c>
      <c r="L102" s="3530">
        <v>16309.481132075471</v>
      </c>
      <c r="M102" s="3530" t="s">
        <v>3671</v>
      </c>
    </row>
    <row r="103" spans="1:13" s="3533" customFormat="1" ht="15">
      <c r="A103" s="3526">
        <v>102</v>
      </c>
      <c r="B103" s="3529" t="s">
        <v>3660</v>
      </c>
      <c r="C103" s="3530">
        <v>133.94</v>
      </c>
      <c r="D103" s="3531">
        <v>45094</v>
      </c>
      <c r="E103" s="3531">
        <v>46256</v>
      </c>
      <c r="F103" s="3530">
        <v>70988.2</v>
      </c>
      <c r="G103" s="3532">
        <f t="shared" si="1"/>
        <v>17.666666666666668</v>
      </c>
      <c r="H103" s="3530">
        <v>67607.809523809512</v>
      </c>
      <c r="I103" s="3530">
        <v>504.7619047619047</v>
      </c>
      <c r="J103" s="3530">
        <v>995779.68219178054</v>
      </c>
      <c r="K103" s="3530">
        <v>8706.1</v>
      </c>
      <c r="L103" s="3530">
        <v>8213.3018867924529</v>
      </c>
      <c r="M103" s="3530" t="s">
        <v>3672</v>
      </c>
    </row>
    <row r="104" spans="1:13" s="3533" customFormat="1" ht="15">
      <c r="A104" s="3526">
        <v>103</v>
      </c>
      <c r="B104" s="3529" t="s">
        <v>3660</v>
      </c>
      <c r="C104" s="3530">
        <v>41</v>
      </c>
      <c r="D104" s="3531">
        <v>44647</v>
      </c>
      <c r="E104" s="3531">
        <v>45863</v>
      </c>
      <c r="F104" s="3530">
        <v>36080</v>
      </c>
      <c r="G104" s="3532">
        <f t="shared" si="1"/>
        <v>29.333333333333332</v>
      </c>
      <c r="H104" s="3530">
        <v>34361.904761904763</v>
      </c>
      <c r="I104" s="3530">
        <v>838.09523809523807</v>
      </c>
      <c r="J104" s="3530">
        <v>62133.855185909975</v>
      </c>
      <c r="K104" s="3530">
        <v>2665</v>
      </c>
      <c r="L104" s="3530">
        <v>2514.1509433962265</v>
      </c>
      <c r="M104" s="3530" t="s">
        <v>3673</v>
      </c>
    </row>
    <row r="105" spans="1:13" s="3533" customFormat="1" ht="15">
      <c r="A105" s="3526">
        <v>104</v>
      </c>
      <c r="B105" s="3529" t="s">
        <v>3660</v>
      </c>
      <c r="C105" s="3530">
        <v>359.14</v>
      </c>
      <c r="D105" s="3531">
        <v>44132</v>
      </c>
      <c r="E105" s="3531">
        <v>45957</v>
      </c>
      <c r="F105" s="3530">
        <v>114924.79999999999</v>
      </c>
      <c r="G105" s="3532">
        <f t="shared" si="1"/>
        <v>10.666666666666666</v>
      </c>
      <c r="H105" s="3530">
        <v>109452.19047619046</v>
      </c>
      <c r="I105" s="3530">
        <v>304.7619047619047</v>
      </c>
      <c r="J105" s="3530">
        <v>536165.79882583162</v>
      </c>
      <c r="K105" s="3530">
        <v>23344.1</v>
      </c>
      <c r="L105" s="3530">
        <v>22022.7358490566</v>
      </c>
      <c r="M105" s="3530" t="s">
        <v>3674</v>
      </c>
    </row>
    <row r="106" spans="1:13" s="3533" customFormat="1" ht="15">
      <c r="A106" s="3526">
        <v>105</v>
      </c>
      <c r="B106" s="3529" t="s">
        <v>3660</v>
      </c>
      <c r="C106" s="3530">
        <v>135.61000000000001</v>
      </c>
      <c r="D106" s="3531">
        <v>45351</v>
      </c>
      <c r="E106" s="3531">
        <v>46505</v>
      </c>
      <c r="F106" s="3530">
        <v>75399.16</v>
      </c>
      <c r="G106" s="3532">
        <f t="shared" si="1"/>
        <v>18.533333333333335</v>
      </c>
      <c r="H106" s="3530">
        <v>71808.723809523814</v>
      </c>
      <c r="I106" s="3530">
        <v>529.52380952380952</v>
      </c>
      <c r="J106" s="3530">
        <v>1645501.8245009782</v>
      </c>
      <c r="K106" s="3530">
        <v>8814.6500000000015</v>
      </c>
      <c r="L106" s="3530">
        <v>8315.7075471698117</v>
      </c>
      <c r="M106" s="3530" t="s">
        <v>3675</v>
      </c>
    </row>
    <row r="107" spans="1:13" s="3533" customFormat="1" ht="15">
      <c r="A107" s="3526">
        <v>106</v>
      </c>
      <c r="B107" s="3529" t="s">
        <v>3660</v>
      </c>
      <c r="C107" s="3530">
        <v>261.81</v>
      </c>
      <c r="D107" s="3531">
        <v>43836</v>
      </c>
      <c r="E107" s="3531">
        <v>46667</v>
      </c>
      <c r="F107" s="3530">
        <v>60216.3</v>
      </c>
      <c r="G107" s="3532">
        <f t="shared" si="1"/>
        <v>7.666666666666667</v>
      </c>
      <c r="H107" s="3530">
        <v>57348.857142857145</v>
      </c>
      <c r="I107" s="3530">
        <v>219.04761904761907</v>
      </c>
      <c r="J107" s="3530">
        <v>1619594.5737769082</v>
      </c>
      <c r="K107" s="3530">
        <v>10472.4</v>
      </c>
      <c r="L107" s="3530">
        <v>9879.6226415094334</v>
      </c>
      <c r="M107" s="3530" t="s">
        <v>3676</v>
      </c>
    </row>
    <row r="108" spans="1:13" s="3533" customFormat="1" ht="15">
      <c r="A108" s="3526">
        <v>107</v>
      </c>
      <c r="B108" s="3529" t="s">
        <v>3660</v>
      </c>
      <c r="C108" s="3530">
        <v>107.53</v>
      </c>
      <c r="D108" s="3531">
        <v>45748</v>
      </c>
      <c r="E108" s="3531">
        <v>45933</v>
      </c>
      <c r="F108" s="3530">
        <v>4301.2</v>
      </c>
      <c r="G108" s="3532">
        <f t="shared" si="1"/>
        <v>1.3333333333333333</v>
      </c>
      <c r="H108" s="3530">
        <v>4096.3809523809523</v>
      </c>
      <c r="I108" s="3530">
        <v>38.095238095238095</v>
      </c>
      <c r="J108" s="3530">
        <v>16834.442270058706</v>
      </c>
      <c r="K108" s="3530">
        <v>6989.45</v>
      </c>
      <c r="L108" s="3530">
        <v>6593.8207547169804</v>
      </c>
      <c r="M108" s="3530" t="s">
        <v>3643</v>
      </c>
    </row>
    <row r="109" spans="1:13" s="3533" customFormat="1" ht="15">
      <c r="A109" s="3526">
        <v>108</v>
      </c>
      <c r="B109" s="3529" t="s">
        <v>3660</v>
      </c>
      <c r="C109" s="3530">
        <v>98.32</v>
      </c>
      <c r="D109" s="3531">
        <v>44829</v>
      </c>
      <c r="E109" s="3531">
        <v>45879</v>
      </c>
      <c r="F109" s="3530">
        <v>55059.199999999997</v>
      </c>
      <c r="G109" s="3532">
        <f t="shared" si="1"/>
        <v>18.666666666666668</v>
      </c>
      <c r="H109" s="3530">
        <v>52437.333333333328</v>
      </c>
      <c r="I109" s="3530">
        <v>533.33333333333337</v>
      </c>
      <c r="J109" s="3530">
        <v>122401.66575342463</v>
      </c>
      <c r="K109" s="3530">
        <v>6390.8</v>
      </c>
      <c r="L109" s="3530">
        <v>6029.0566037735844</v>
      </c>
      <c r="M109" s="3530" t="s">
        <v>3677</v>
      </c>
    </row>
    <row r="110" spans="1:13" s="3533" customFormat="1" ht="15">
      <c r="A110" s="3526">
        <v>109</v>
      </c>
      <c r="B110" s="3529" t="s">
        <v>3660</v>
      </c>
      <c r="C110" s="3530">
        <v>196.68</v>
      </c>
      <c r="D110" s="3531">
        <v>45759</v>
      </c>
      <c r="E110" s="3531">
        <v>45944</v>
      </c>
      <c r="F110" s="3530">
        <v>4917</v>
      </c>
      <c r="G110" s="3532">
        <f t="shared" si="1"/>
        <v>0.83333333333333337</v>
      </c>
      <c r="H110" s="3530">
        <v>4682.8571428571422</v>
      </c>
      <c r="I110" s="3530">
        <v>23.809523809523807</v>
      </c>
      <c r="J110" s="3530">
        <v>20938.144814090017</v>
      </c>
      <c r="K110" s="3530">
        <v>12784.2</v>
      </c>
      <c r="L110" s="3530">
        <v>12060.566037735849</v>
      </c>
      <c r="M110" s="3530" t="s">
        <v>3643</v>
      </c>
    </row>
    <row r="111" spans="1:13" s="3533" customFormat="1" ht="15">
      <c r="A111" s="3526">
        <v>110</v>
      </c>
      <c r="B111" s="3529" t="s">
        <v>3660</v>
      </c>
      <c r="C111" s="3530">
        <v>118.4</v>
      </c>
      <c r="D111" s="3531"/>
      <c r="E111" s="3531"/>
      <c r="F111" s="3530"/>
      <c r="G111" s="3532">
        <f t="shared" si="1"/>
        <v>0</v>
      </c>
      <c r="H111" s="3530"/>
      <c r="I111" s="3530"/>
      <c r="J111" s="3530"/>
      <c r="K111" s="3530"/>
      <c r="L111" s="3530"/>
      <c r="M111" s="3530"/>
    </row>
    <row r="112" spans="1:13" s="3533" customFormat="1" ht="15">
      <c r="A112" s="3526">
        <v>111</v>
      </c>
      <c r="B112" s="3529" t="s">
        <v>3660</v>
      </c>
      <c r="C112" s="3530">
        <v>121.6</v>
      </c>
      <c r="D112" s="3531">
        <v>45769</v>
      </c>
      <c r="E112" s="3531">
        <v>45954</v>
      </c>
      <c r="F112" s="3530">
        <v>4864</v>
      </c>
      <c r="G112" s="3532">
        <f t="shared" si="1"/>
        <v>1.3333333333333333</v>
      </c>
      <c r="H112" s="3530">
        <v>4632.3809523809523</v>
      </c>
      <c r="I112" s="3530">
        <v>38.095238095238095</v>
      </c>
      <c r="J112" s="3530">
        <v>22235.428571428572</v>
      </c>
      <c r="K112" s="3530">
        <v>7904</v>
      </c>
      <c r="L112" s="3530">
        <v>7456.603773584905</v>
      </c>
      <c r="M112" s="3530" t="s">
        <v>3643</v>
      </c>
    </row>
    <row r="113" spans="1:13" s="3533" customFormat="1" ht="15">
      <c r="A113" s="3526">
        <v>112</v>
      </c>
      <c r="B113" s="3529" t="s">
        <v>3660</v>
      </c>
      <c r="C113" s="3530">
        <v>143.88</v>
      </c>
      <c r="D113" s="3531">
        <v>43839</v>
      </c>
      <c r="E113" s="3531">
        <v>46112</v>
      </c>
      <c r="F113" s="3530">
        <v>51796.799999999996</v>
      </c>
      <c r="G113" s="3532">
        <f t="shared" si="1"/>
        <v>12</v>
      </c>
      <c r="H113" s="3530">
        <v>49330.28571428571</v>
      </c>
      <c r="I113" s="3530">
        <v>342.85714285714283</v>
      </c>
      <c r="J113" s="3530">
        <v>493032.55420743633</v>
      </c>
      <c r="K113" s="3530">
        <v>9352.2000000000007</v>
      </c>
      <c r="L113" s="3530">
        <v>8822.8301886792451</v>
      </c>
      <c r="M113" s="3530" t="s">
        <v>3678</v>
      </c>
    </row>
    <row r="114" spans="1:13" s="3533" customFormat="1" ht="15">
      <c r="A114" s="3526">
        <v>113</v>
      </c>
      <c r="B114" s="3529" t="s">
        <v>3660</v>
      </c>
      <c r="C114" s="3530">
        <v>110.57</v>
      </c>
      <c r="D114" s="3531">
        <v>45174</v>
      </c>
      <c r="E114" s="3531">
        <v>45954</v>
      </c>
      <c r="F114" s="3530">
        <v>43122.299999999996</v>
      </c>
      <c r="G114" s="3532">
        <f t="shared" si="1"/>
        <v>13</v>
      </c>
      <c r="H114" s="3530">
        <v>41068.857142857138</v>
      </c>
      <c r="I114" s="3530">
        <v>371.42857142857139</v>
      </c>
      <c r="J114" s="3530">
        <v>197130.51428571425</v>
      </c>
      <c r="K114" s="3530">
        <v>7187.05</v>
      </c>
      <c r="L114" s="3530">
        <v>6780.2358490566039</v>
      </c>
      <c r="M114" s="3530" t="s">
        <v>3679</v>
      </c>
    </row>
    <row r="115" spans="1:13" s="3533" customFormat="1" ht="15">
      <c r="A115" s="3526">
        <v>114</v>
      </c>
      <c r="B115" s="3529" t="s">
        <v>3660</v>
      </c>
      <c r="C115" s="3530">
        <v>1182.48</v>
      </c>
      <c r="D115" s="3531">
        <v>44075</v>
      </c>
      <c r="E115" s="3531">
        <v>47726</v>
      </c>
      <c r="F115" s="3530">
        <v>189196.79999999999</v>
      </c>
      <c r="G115" s="3532">
        <f t="shared" si="1"/>
        <v>5.333333333333333</v>
      </c>
      <c r="H115" s="3530">
        <v>180187.42857142855</v>
      </c>
      <c r="I115" s="3530">
        <v>152.38095238095235</v>
      </c>
      <c r="J115" s="3530">
        <v>11362174.947945204</v>
      </c>
      <c r="K115" s="3530">
        <v>47299.199999999997</v>
      </c>
      <c r="L115" s="3530">
        <v>44621.886792452824</v>
      </c>
      <c r="M115" s="3530" t="s">
        <v>3680</v>
      </c>
    </row>
    <row r="116" spans="1:13" s="3533" customFormat="1" ht="15">
      <c r="A116" s="3526">
        <v>115</v>
      </c>
      <c r="B116" s="3529" t="s">
        <v>3660</v>
      </c>
      <c r="C116" s="3530">
        <v>4001.54</v>
      </c>
      <c r="D116" s="3531">
        <v>40787</v>
      </c>
      <c r="E116" s="3531">
        <v>46022</v>
      </c>
      <c r="F116" s="3530">
        <v>10000</v>
      </c>
      <c r="G116" s="3532">
        <f t="shared" si="1"/>
        <v>8.3301262347329624E-2</v>
      </c>
      <c r="H116" s="3530">
        <v>9523.8095238095229</v>
      </c>
      <c r="I116" s="3530">
        <v>2.3800360670665603</v>
      </c>
      <c r="J116" s="3530">
        <v>67005.870841487282</v>
      </c>
      <c r="K116" s="3530">
        <v>82496.19</v>
      </c>
      <c r="L116" s="3530">
        <v>77826.594339622636</v>
      </c>
      <c r="M116" s="3530" t="s">
        <v>3643</v>
      </c>
    </row>
    <row r="117" spans="1:13" s="3533" customFormat="1" ht="15">
      <c r="A117" s="3526">
        <v>116</v>
      </c>
      <c r="B117" s="3529" t="s">
        <v>3660</v>
      </c>
      <c r="C117" s="3530">
        <v>166.95</v>
      </c>
      <c r="D117" s="3531">
        <v>44386</v>
      </c>
      <c r="E117" s="3531">
        <v>45846</v>
      </c>
      <c r="F117" s="3530">
        <v>53424</v>
      </c>
      <c r="G117" s="3532">
        <f t="shared" si="1"/>
        <v>10.666666666666666</v>
      </c>
      <c r="H117" s="3530">
        <v>50880</v>
      </c>
      <c r="I117" s="3530">
        <v>304.76190476190476</v>
      </c>
      <c r="J117" s="3530">
        <v>63565.150684931497</v>
      </c>
      <c r="K117" s="3530">
        <v>10851.75</v>
      </c>
      <c r="L117" s="3530">
        <v>10237.5</v>
      </c>
      <c r="M117" s="3530" t="s">
        <v>3681</v>
      </c>
    </row>
    <row r="118" spans="1:13" s="3533" customFormat="1" ht="15">
      <c r="A118" s="3526">
        <v>117</v>
      </c>
      <c r="B118" s="3529" t="s">
        <v>3660</v>
      </c>
      <c r="C118" s="3530">
        <v>281.16000000000003</v>
      </c>
      <c r="D118" s="3531">
        <v>44330</v>
      </c>
      <c r="E118" s="3531">
        <v>46095</v>
      </c>
      <c r="F118" s="3530">
        <v>126522.00000000001</v>
      </c>
      <c r="G118" s="3532">
        <f t="shared" si="1"/>
        <v>15</v>
      </c>
      <c r="H118" s="3530">
        <v>120497.14285714287</v>
      </c>
      <c r="I118" s="3530">
        <v>428.57142857142856</v>
      </c>
      <c r="J118" s="3530">
        <v>1136964.8219178084</v>
      </c>
      <c r="K118" s="3530">
        <v>18275.400000000001</v>
      </c>
      <c r="L118" s="3530">
        <v>17240.943396226416</v>
      </c>
      <c r="M118" s="3530" t="s">
        <v>3682</v>
      </c>
    </row>
    <row r="119" spans="1:13" s="3533" customFormat="1" ht="15">
      <c r="A119" s="3526">
        <v>118</v>
      </c>
      <c r="B119" s="3529" t="s">
        <v>3660</v>
      </c>
      <c r="C119" s="3530">
        <v>323.25</v>
      </c>
      <c r="D119" s="3531">
        <v>45675</v>
      </c>
      <c r="E119" s="3531">
        <v>47542</v>
      </c>
      <c r="F119" s="3530">
        <v>99811.8</v>
      </c>
      <c r="G119" s="3532">
        <f t="shared" si="1"/>
        <v>10.292529002320185</v>
      </c>
      <c r="H119" s="3530">
        <v>95058.857142857145</v>
      </c>
      <c r="I119" s="3530">
        <v>294.07225720914818</v>
      </c>
      <c r="J119" s="3530">
        <v>5419136.1628180044</v>
      </c>
      <c r="K119" s="3530">
        <v>21011.25</v>
      </c>
      <c r="L119" s="3530">
        <v>19821.933962264149</v>
      </c>
      <c r="M119" s="3530" t="s">
        <v>3683</v>
      </c>
    </row>
    <row r="120" spans="1:13" s="3533" customFormat="1" ht="15">
      <c r="A120" s="3526">
        <v>119</v>
      </c>
      <c r="B120" s="3535" t="s">
        <v>3660</v>
      </c>
      <c r="C120" s="3536">
        <v>315</v>
      </c>
      <c r="D120" s="3537">
        <v>44075</v>
      </c>
      <c r="E120" s="3537">
        <v>46203</v>
      </c>
      <c r="F120" s="3536">
        <v>113400</v>
      </c>
      <c r="G120" s="3532">
        <f t="shared" si="1"/>
        <v>12</v>
      </c>
      <c r="H120" s="3536">
        <v>108000</v>
      </c>
      <c r="I120" s="3536">
        <v>342.85714285714283</v>
      </c>
      <c r="J120" s="3530">
        <v>106520.54794520549</v>
      </c>
      <c r="K120" s="3530">
        <v>20475</v>
      </c>
      <c r="L120" s="3530">
        <v>19316.037735849055</v>
      </c>
      <c r="M120" s="3530" t="s">
        <v>3684</v>
      </c>
    </row>
    <row r="121" spans="1:13" s="3533" customFormat="1" ht="15">
      <c r="A121" s="3526">
        <v>120</v>
      </c>
      <c r="B121" s="3529" t="s">
        <v>3660</v>
      </c>
      <c r="C121" s="3530">
        <v>318.36</v>
      </c>
      <c r="D121" s="3531"/>
      <c r="E121" s="3531"/>
      <c r="F121" s="3530"/>
      <c r="G121" s="3532">
        <f t="shared" si="1"/>
        <v>0</v>
      </c>
      <c r="H121" s="3530"/>
      <c r="I121" s="3530"/>
      <c r="J121" s="3530"/>
      <c r="K121" s="3530"/>
      <c r="L121" s="3530"/>
      <c r="M121" s="3530"/>
    </row>
    <row r="122" spans="1:13" s="3533" customFormat="1" ht="15">
      <c r="A122" s="3526">
        <v>121</v>
      </c>
      <c r="B122" s="3529" t="s">
        <v>3660</v>
      </c>
      <c r="C122" s="3530">
        <v>198.85</v>
      </c>
      <c r="D122" s="3531">
        <v>44470</v>
      </c>
      <c r="E122" s="3531">
        <v>45869</v>
      </c>
      <c r="F122" s="3530">
        <v>71586</v>
      </c>
      <c r="G122" s="3532">
        <f t="shared" si="1"/>
        <v>12</v>
      </c>
      <c r="H122" s="3530">
        <v>68177.142857142855</v>
      </c>
      <c r="I122" s="3530">
        <v>342.85714285714283</v>
      </c>
      <c r="J122" s="3530">
        <v>136727.85909980431</v>
      </c>
      <c r="K122" s="3530">
        <v>12925.25</v>
      </c>
      <c r="L122" s="3530">
        <v>12193.632075471698</v>
      </c>
      <c r="M122" s="3530" t="s">
        <v>3685</v>
      </c>
    </row>
    <row r="123" spans="1:13" s="3533" customFormat="1" ht="15">
      <c r="A123" s="3526">
        <v>122</v>
      </c>
      <c r="B123" s="3529" t="s">
        <v>3660</v>
      </c>
      <c r="C123" s="3530">
        <v>1782.23</v>
      </c>
      <c r="D123" s="3531">
        <v>41638</v>
      </c>
      <c r="E123" s="3531">
        <v>46021</v>
      </c>
      <c r="F123" s="3530">
        <v>193942.27</v>
      </c>
      <c r="G123" s="3532">
        <f t="shared" si="1"/>
        <v>3.6273333595177575</v>
      </c>
      <c r="H123" s="3530">
        <v>184706.92380952378</v>
      </c>
      <c r="I123" s="3530">
        <v>103.63809598622163</v>
      </c>
      <c r="J123" s="3530">
        <v>1293454.5130332678</v>
      </c>
      <c r="K123" s="3530">
        <v>71289.2</v>
      </c>
      <c r="L123" s="3530">
        <v>67253.962264150934</v>
      </c>
      <c r="M123" s="3530" t="s">
        <v>3686</v>
      </c>
    </row>
    <row r="124" spans="1:13" s="3533" customFormat="1" ht="15">
      <c r="A124" s="3526">
        <v>123</v>
      </c>
      <c r="B124" s="3529" t="s">
        <v>3687</v>
      </c>
      <c r="C124" s="3530">
        <v>154.9</v>
      </c>
      <c r="D124" s="3531">
        <v>44499</v>
      </c>
      <c r="E124" s="3531">
        <v>45959</v>
      </c>
      <c r="F124" s="3530">
        <v>66607</v>
      </c>
      <c r="G124" s="3532">
        <f t="shared" si="1"/>
        <v>14.333333333333334</v>
      </c>
      <c r="H124" s="3530">
        <v>63435.238095238092</v>
      </c>
      <c r="I124" s="3530">
        <v>409.52380952380946</v>
      </c>
      <c r="J124" s="3530">
        <v>314916.85322896275</v>
      </c>
      <c r="K124" s="3530">
        <v>13941</v>
      </c>
      <c r="L124" s="3530">
        <v>13151.886792452829</v>
      </c>
      <c r="M124" s="3530" t="s">
        <v>3688</v>
      </c>
    </row>
    <row r="125" spans="1:13" s="3533" customFormat="1" ht="15">
      <c r="A125" s="3526">
        <v>124</v>
      </c>
      <c r="B125" s="3529" t="s">
        <v>3687</v>
      </c>
      <c r="C125" s="3530">
        <v>90</v>
      </c>
      <c r="D125" s="3531">
        <v>42490</v>
      </c>
      <c r="E125" s="3531">
        <v>46140</v>
      </c>
      <c r="F125" s="3530">
        <v>27000</v>
      </c>
      <c r="G125" s="3532">
        <f t="shared" si="1"/>
        <v>10</v>
      </c>
      <c r="H125" s="3530">
        <v>25714.285714285714</v>
      </c>
      <c r="I125" s="3530">
        <v>285.71428571428572</v>
      </c>
      <c r="J125" s="3530">
        <v>280673.18982387474</v>
      </c>
      <c r="K125" s="3530">
        <v>8100</v>
      </c>
      <c r="L125" s="3530">
        <v>7641.5094339622638</v>
      </c>
      <c r="M125" s="3530" t="s">
        <v>3689</v>
      </c>
    </row>
    <row r="126" spans="1:13" s="3533" customFormat="1" ht="15">
      <c r="A126" s="3526">
        <v>125</v>
      </c>
      <c r="B126" s="3529" t="s">
        <v>3687</v>
      </c>
      <c r="C126" s="3530">
        <v>46.72</v>
      </c>
      <c r="D126" s="3531">
        <v>45110</v>
      </c>
      <c r="E126" s="3531">
        <v>46225</v>
      </c>
      <c r="F126" s="3530">
        <v>39712</v>
      </c>
      <c r="G126" s="3532">
        <f t="shared" si="1"/>
        <v>28.333333333333332</v>
      </c>
      <c r="H126" s="3530">
        <v>37820.952380952382</v>
      </c>
      <c r="I126" s="3530">
        <v>809.52380952380952</v>
      </c>
      <c r="J126" s="3530">
        <v>518509.7142857142</v>
      </c>
      <c r="K126" s="3530">
        <v>4204.8</v>
      </c>
      <c r="L126" s="3530">
        <v>3966.7924528301887</v>
      </c>
      <c r="M126" s="3530" t="s">
        <v>3690</v>
      </c>
    </row>
    <row r="127" spans="1:13" s="3533" customFormat="1" ht="15">
      <c r="A127" s="3526">
        <v>126</v>
      </c>
      <c r="B127" s="3529" t="s">
        <v>3687</v>
      </c>
      <c r="C127" s="3530">
        <v>43.64</v>
      </c>
      <c r="D127" s="3531">
        <v>45658</v>
      </c>
      <c r="E127" s="3531">
        <v>46407</v>
      </c>
      <c r="F127" s="3530">
        <v>25311.200000000001</v>
      </c>
      <c r="G127" s="3532">
        <f t="shared" si="1"/>
        <v>19.333333333333332</v>
      </c>
      <c r="H127" s="3530">
        <v>24105.904761904763</v>
      </c>
      <c r="I127" s="3530">
        <v>552.38095238095241</v>
      </c>
      <c r="J127" s="3530">
        <v>474721.21487279842</v>
      </c>
      <c r="K127" s="3530">
        <v>3927.6</v>
      </c>
      <c r="L127" s="3530">
        <v>3705.2830188679241</v>
      </c>
      <c r="M127" s="3530" t="s">
        <v>3691</v>
      </c>
    </row>
    <row r="128" spans="1:13" s="3533" customFormat="1" ht="15">
      <c r="A128" s="3526">
        <v>127</v>
      </c>
      <c r="B128" s="3529" t="s">
        <v>3687</v>
      </c>
      <c r="C128" s="3530">
        <v>153.34</v>
      </c>
      <c r="D128" s="3531">
        <v>45031</v>
      </c>
      <c r="E128" s="3531">
        <v>46171</v>
      </c>
      <c r="F128" s="3530">
        <v>53518.92</v>
      </c>
      <c r="G128" s="3532">
        <f t="shared" si="1"/>
        <v>11.634041998173991</v>
      </c>
      <c r="H128" s="3530">
        <v>50970.399999999994</v>
      </c>
      <c r="I128" s="3530">
        <v>332.40119994782833</v>
      </c>
      <c r="J128" s="3530">
        <v>608293.32164383563</v>
      </c>
      <c r="K128" s="3530">
        <v>13800.6</v>
      </c>
      <c r="L128" s="3530">
        <v>13019.433962264151</v>
      </c>
      <c r="M128" s="3530" t="s">
        <v>3692</v>
      </c>
    </row>
    <row r="129" spans="1:13" s="3533" customFormat="1" ht="15">
      <c r="A129" s="3526">
        <v>128</v>
      </c>
      <c r="B129" s="3529" t="s">
        <v>3687</v>
      </c>
      <c r="C129" s="3530">
        <v>62.71</v>
      </c>
      <c r="D129" s="3531">
        <v>43661</v>
      </c>
      <c r="E129" s="3531">
        <v>46005</v>
      </c>
      <c r="F129" s="3530">
        <v>59574.5</v>
      </c>
      <c r="G129" s="3532">
        <f t="shared" si="1"/>
        <v>31.666666666666668</v>
      </c>
      <c r="H129" s="3530">
        <v>56737.619047619046</v>
      </c>
      <c r="I129" s="3530">
        <v>904.7619047619047</v>
      </c>
      <c r="J129" s="3530">
        <v>367473.23679060664</v>
      </c>
      <c r="K129" s="3530">
        <v>5643.9</v>
      </c>
      <c r="L129" s="3530">
        <v>5324.4339622641501</v>
      </c>
      <c r="M129" s="3530" t="s">
        <v>3693</v>
      </c>
    </row>
    <row r="130" spans="1:13" s="3533" customFormat="1" ht="15">
      <c r="A130" s="3526">
        <v>129</v>
      </c>
      <c r="B130" s="3529" t="s">
        <v>3687</v>
      </c>
      <c r="C130" s="3530">
        <v>73.58</v>
      </c>
      <c r="D130" s="3531">
        <v>43525</v>
      </c>
      <c r="E130" s="3531">
        <v>46187</v>
      </c>
      <c r="F130" s="3530">
        <v>60335.6</v>
      </c>
      <c r="G130" s="3532">
        <f t="shared" si="1"/>
        <v>27.333333333333332</v>
      </c>
      <c r="H130" s="3530">
        <v>57462.476190476184</v>
      </c>
      <c r="I130" s="3530">
        <v>780.95238095238085</v>
      </c>
      <c r="J130" s="3530">
        <v>715998.1964774949</v>
      </c>
      <c r="K130" s="3530">
        <v>6622.2</v>
      </c>
      <c r="L130" s="3530">
        <v>6247.3584905660373</v>
      </c>
      <c r="M130" s="3530" t="s">
        <v>3694</v>
      </c>
    </row>
    <row r="131" spans="1:13" s="3533" customFormat="1" ht="15">
      <c r="A131" s="3526">
        <v>130</v>
      </c>
      <c r="B131" s="3529" t="s">
        <v>3687</v>
      </c>
      <c r="C131" s="3530">
        <v>40.15</v>
      </c>
      <c r="D131" s="3531">
        <v>42659</v>
      </c>
      <c r="E131" s="3531">
        <v>45961</v>
      </c>
      <c r="F131" s="3530">
        <v>39668.199999999997</v>
      </c>
      <c r="G131" s="3532">
        <f t="shared" ref="G131:G144" si="2">F131/C131/30</f>
        <v>32.93333333333333</v>
      </c>
      <c r="H131" s="3530">
        <v>37779.238095238092</v>
      </c>
      <c r="I131" s="3530">
        <v>940.95238095238085</v>
      </c>
      <c r="J131" s="3530">
        <v>190034.74285714282</v>
      </c>
      <c r="K131" s="3530">
        <v>3613.5</v>
      </c>
      <c r="L131" s="3530">
        <v>3408.9622641509432</v>
      </c>
      <c r="M131" s="3530" t="s">
        <v>3695</v>
      </c>
    </row>
    <row r="132" spans="1:13" s="3533" customFormat="1" ht="15">
      <c r="A132" s="3526">
        <v>131</v>
      </c>
      <c r="B132" s="3529" t="s">
        <v>3687</v>
      </c>
      <c r="C132" s="3530">
        <v>40.15</v>
      </c>
      <c r="D132" s="3531">
        <v>44981</v>
      </c>
      <c r="E132" s="3531">
        <v>46115</v>
      </c>
      <c r="F132" s="3530">
        <v>16863</v>
      </c>
      <c r="G132" s="3532">
        <f t="shared" si="2"/>
        <v>14</v>
      </c>
      <c r="H132" s="3530">
        <v>16060</v>
      </c>
      <c r="I132" s="3530">
        <v>400</v>
      </c>
      <c r="J132" s="3530">
        <v>162095.99999999997</v>
      </c>
      <c r="K132" s="3530">
        <v>3613.5</v>
      </c>
      <c r="L132" s="3530">
        <v>3408.9622641509432</v>
      </c>
      <c r="M132" s="3530" t="s">
        <v>3696</v>
      </c>
    </row>
    <row r="133" spans="1:13" s="3533" customFormat="1" ht="15">
      <c r="A133" s="3526">
        <v>132</v>
      </c>
      <c r="B133" s="3529" t="s">
        <v>3687</v>
      </c>
      <c r="C133" s="3530">
        <v>219.57</v>
      </c>
      <c r="D133" s="3531">
        <v>44499</v>
      </c>
      <c r="E133" s="3531">
        <v>46112</v>
      </c>
      <c r="F133" s="3530">
        <v>65871</v>
      </c>
      <c r="G133" s="3532">
        <f t="shared" si="2"/>
        <v>10</v>
      </c>
      <c r="H133" s="3530">
        <v>62734.28571428571</v>
      </c>
      <c r="I133" s="3530">
        <v>285.71428571428572</v>
      </c>
      <c r="J133" s="3530">
        <v>626999.10763209395</v>
      </c>
      <c r="K133" s="3530">
        <v>19761.3</v>
      </c>
      <c r="L133" s="3530">
        <v>18642.735849056604</v>
      </c>
      <c r="M133" s="3530" t="s">
        <v>3697</v>
      </c>
    </row>
    <row r="134" spans="1:13" s="3533" customFormat="1" ht="15">
      <c r="A134" s="3526">
        <v>133</v>
      </c>
      <c r="B134" s="3529" t="s">
        <v>3687</v>
      </c>
      <c r="C134" s="3530">
        <v>1162.97</v>
      </c>
      <c r="D134" s="3531">
        <v>45689</v>
      </c>
      <c r="E134" s="3531">
        <v>45869</v>
      </c>
      <c r="F134" s="3530">
        <v>75593.05</v>
      </c>
      <c r="G134" s="3532">
        <f t="shared" si="2"/>
        <v>2.1666666666666665</v>
      </c>
      <c r="H134" s="3530">
        <v>71993.380952380947</v>
      </c>
      <c r="I134" s="3530">
        <v>61.904761904761898</v>
      </c>
      <c r="J134" s="3530">
        <v>144381.24618395304</v>
      </c>
      <c r="K134" s="3530">
        <v>36052.07</v>
      </c>
      <c r="L134" s="3530">
        <v>34011.386792452831</v>
      </c>
      <c r="M134" s="3530" t="s">
        <v>3698</v>
      </c>
    </row>
    <row r="135" spans="1:13" s="3533" customFormat="1" ht="15">
      <c r="A135" s="3526">
        <v>134</v>
      </c>
      <c r="B135" s="3529" t="s">
        <v>3687</v>
      </c>
      <c r="C135" s="3530">
        <v>19.29</v>
      </c>
      <c r="D135" s="3531"/>
      <c r="E135" s="3531"/>
      <c r="F135" s="3530"/>
      <c r="G135" s="3532">
        <f t="shared" si="2"/>
        <v>0</v>
      </c>
      <c r="H135" s="3530"/>
      <c r="I135" s="3530"/>
      <c r="J135" s="3530"/>
      <c r="K135" s="3530"/>
      <c r="L135" s="3530"/>
      <c r="M135" s="3530"/>
    </row>
    <row r="136" spans="1:13" s="3533" customFormat="1" ht="15">
      <c r="A136" s="3526">
        <v>135</v>
      </c>
      <c r="B136" s="3529" t="s">
        <v>3687</v>
      </c>
      <c r="C136" s="3530">
        <v>57.72</v>
      </c>
      <c r="D136" s="3531">
        <v>45019</v>
      </c>
      <c r="E136" s="3531">
        <v>46144</v>
      </c>
      <c r="F136" s="3530">
        <v>27994.2</v>
      </c>
      <c r="G136" s="3532">
        <f t="shared" si="2"/>
        <v>16.166666666666668</v>
      </c>
      <c r="H136" s="3530">
        <v>26661.142857142855</v>
      </c>
      <c r="I136" s="3530">
        <v>461.90476190476187</v>
      </c>
      <c r="J136" s="3530">
        <v>294514.32328767126</v>
      </c>
      <c r="K136" s="3530">
        <v>5194.8</v>
      </c>
      <c r="L136" s="3530">
        <v>4900.7547169811323</v>
      </c>
      <c r="M136" s="3530" t="s">
        <v>3699</v>
      </c>
    </row>
    <row r="137" spans="1:13" s="3533" customFormat="1" ht="15">
      <c r="A137" s="3526">
        <v>136</v>
      </c>
      <c r="B137" s="3529" t="s">
        <v>3687</v>
      </c>
      <c r="C137" s="3530">
        <v>85.62</v>
      </c>
      <c r="D137" s="3531">
        <v>44081</v>
      </c>
      <c r="E137" s="3531">
        <v>45906</v>
      </c>
      <c r="F137" s="3530">
        <v>49274.310000000005</v>
      </c>
      <c r="G137" s="3532">
        <f t="shared" si="2"/>
        <v>19.183333333333334</v>
      </c>
      <c r="H137" s="3530">
        <v>46927.914285714287</v>
      </c>
      <c r="I137" s="3530">
        <v>548.09523809523807</v>
      </c>
      <c r="J137" s="3530">
        <v>151197.88273972605</v>
      </c>
      <c r="K137" s="3530">
        <v>7705.8</v>
      </c>
      <c r="L137" s="3530">
        <v>7269.6226415094334</v>
      </c>
      <c r="M137" s="3530" t="s">
        <v>3700</v>
      </c>
    </row>
    <row r="138" spans="1:13" s="3533" customFormat="1" ht="15">
      <c r="A138" s="3526">
        <v>137</v>
      </c>
      <c r="B138" s="3529" t="s">
        <v>3687</v>
      </c>
      <c r="C138" s="3530">
        <v>230.22</v>
      </c>
      <c r="D138" s="3531">
        <v>44866</v>
      </c>
      <c r="E138" s="3531">
        <v>46006</v>
      </c>
      <c r="F138" s="3530">
        <v>73670.399999999994</v>
      </c>
      <c r="G138" s="3532">
        <f t="shared" si="2"/>
        <v>10.666666666666666</v>
      </c>
      <c r="H138" s="3530">
        <v>70162.28571428571</v>
      </c>
      <c r="I138" s="3530">
        <v>304.76190476190476</v>
      </c>
      <c r="J138" s="3530">
        <v>456727.64618395292</v>
      </c>
      <c r="K138" s="3530">
        <v>20719.8</v>
      </c>
      <c r="L138" s="3530">
        <v>19546.981132075471</v>
      </c>
      <c r="M138" s="3530" t="s">
        <v>3701</v>
      </c>
    </row>
    <row r="139" spans="1:13" s="3533" customFormat="1" ht="15">
      <c r="A139" s="3526">
        <v>138</v>
      </c>
      <c r="B139" s="3529" t="s">
        <v>3687</v>
      </c>
      <c r="C139" s="3530">
        <v>8.5</v>
      </c>
      <c r="D139" s="3531">
        <v>44397</v>
      </c>
      <c r="E139" s="3531">
        <v>45857</v>
      </c>
      <c r="F139" s="3530">
        <v>3995</v>
      </c>
      <c r="G139" s="3532">
        <f t="shared" si="2"/>
        <v>15.666666666666666</v>
      </c>
      <c r="H139" s="3530">
        <v>3804.7619047619046</v>
      </c>
      <c r="I139" s="3530">
        <v>447.61904761904759</v>
      </c>
      <c r="J139" s="3530">
        <v>6129.3150684931497</v>
      </c>
      <c r="K139" s="3530">
        <v>765</v>
      </c>
      <c r="L139" s="3530">
        <v>721.69811320754718</v>
      </c>
      <c r="M139" s="3530" t="s">
        <v>3702</v>
      </c>
    </row>
    <row r="140" spans="1:13" s="3533" customFormat="1" ht="15">
      <c r="A140" s="3526">
        <v>139</v>
      </c>
      <c r="B140" s="3529" t="s">
        <v>3687</v>
      </c>
      <c r="C140" s="3530">
        <v>17.72</v>
      </c>
      <c r="D140" s="3531">
        <v>45210</v>
      </c>
      <c r="E140" s="3531">
        <v>45940</v>
      </c>
      <c r="F140" s="3530">
        <v>11518</v>
      </c>
      <c r="G140" s="3532">
        <f t="shared" si="2"/>
        <v>21.666666666666668</v>
      </c>
      <c r="H140" s="3530">
        <v>10969.523809523809</v>
      </c>
      <c r="I140" s="3530">
        <v>619.04761904761904</v>
      </c>
      <c r="J140" s="3530">
        <v>47604.727984344419</v>
      </c>
      <c r="K140" s="3530">
        <v>1594.8</v>
      </c>
      <c r="L140" s="3530">
        <v>1504.5283018867924</v>
      </c>
      <c r="M140" s="3530" t="s">
        <v>3703</v>
      </c>
    </row>
    <row r="141" spans="1:13" s="3533" customFormat="1" ht="15">
      <c r="A141" s="3526">
        <v>140</v>
      </c>
      <c r="B141" s="3529" t="s">
        <v>3687</v>
      </c>
      <c r="C141" s="3530">
        <v>14.5</v>
      </c>
      <c r="D141" s="3531">
        <v>42211</v>
      </c>
      <c r="E141" s="3531">
        <v>45868</v>
      </c>
      <c r="F141" s="3530">
        <v>6235</v>
      </c>
      <c r="G141" s="3532">
        <f t="shared" si="2"/>
        <v>14.333333333333334</v>
      </c>
      <c r="H141" s="3530">
        <v>5938.0952380952376</v>
      </c>
      <c r="I141" s="3530">
        <v>409.52380952380952</v>
      </c>
      <c r="J141" s="3530">
        <v>11713.502935420742</v>
      </c>
      <c r="K141" s="3530">
        <v>1305</v>
      </c>
      <c r="L141" s="3530">
        <v>1231.132075471698</v>
      </c>
      <c r="M141" s="3530" t="s">
        <v>3704</v>
      </c>
    </row>
    <row r="142" spans="1:13" s="3533" customFormat="1" ht="15">
      <c r="A142" s="3526">
        <v>141</v>
      </c>
      <c r="B142" s="3529" t="s">
        <v>3687</v>
      </c>
      <c r="C142" s="3530">
        <v>14</v>
      </c>
      <c r="D142" s="3531">
        <v>44058</v>
      </c>
      <c r="E142" s="3531">
        <v>45883</v>
      </c>
      <c r="F142" s="3530">
        <v>6762</v>
      </c>
      <c r="G142" s="3532">
        <f t="shared" si="2"/>
        <v>16.100000000000001</v>
      </c>
      <c r="H142" s="3530">
        <v>6440</v>
      </c>
      <c r="I142" s="3530">
        <v>460</v>
      </c>
      <c r="J142" s="3530">
        <v>15879.452054794521</v>
      </c>
      <c r="K142" s="3530">
        <v>1260</v>
      </c>
      <c r="L142" s="3530">
        <v>1188.6792452830189</v>
      </c>
      <c r="M142" s="3530" t="s">
        <v>3705</v>
      </c>
    </row>
    <row r="143" spans="1:13" s="3533" customFormat="1" ht="15">
      <c r="A143" s="3526">
        <v>142</v>
      </c>
      <c r="B143" s="3529" t="s">
        <v>3687</v>
      </c>
      <c r="C143" s="3530">
        <v>28</v>
      </c>
      <c r="D143" s="3531">
        <v>45253</v>
      </c>
      <c r="E143" s="3531">
        <v>45984</v>
      </c>
      <c r="F143" s="3530">
        <v>19600</v>
      </c>
      <c r="G143" s="3532">
        <f t="shared" si="2"/>
        <v>23.333333333333332</v>
      </c>
      <c r="H143" s="3530">
        <v>18666.666666666664</v>
      </c>
      <c r="I143" s="3530">
        <v>666.66666666666663</v>
      </c>
      <c r="J143" s="3530">
        <v>108010.95890410958</v>
      </c>
      <c r="K143" s="3530">
        <v>2520</v>
      </c>
      <c r="L143" s="3530">
        <v>2377.3584905660377</v>
      </c>
      <c r="M143" s="3530" t="s">
        <v>3706</v>
      </c>
    </row>
    <row r="144" spans="1:13" s="3533" customFormat="1" ht="15">
      <c r="A144" s="3526">
        <v>143</v>
      </c>
      <c r="B144" s="3529" t="s">
        <v>3687</v>
      </c>
      <c r="C144" s="3530">
        <v>154.72</v>
      </c>
      <c r="D144" s="3531">
        <v>45107</v>
      </c>
      <c r="E144" s="3531">
        <v>46612</v>
      </c>
      <c r="F144" s="3530">
        <v>40227.199999999997</v>
      </c>
      <c r="G144" s="3532">
        <f t="shared" si="2"/>
        <v>8.6666666666666661</v>
      </c>
      <c r="H144" s="3530">
        <v>38311.619047619046</v>
      </c>
      <c r="I144" s="3530">
        <v>247.61904761904762</v>
      </c>
      <c r="J144" s="3530">
        <v>1012686.3029354205</v>
      </c>
      <c r="K144" s="3530">
        <v>13924.8</v>
      </c>
      <c r="L144" s="3530">
        <v>13136.603773584904</v>
      </c>
      <c r="M144" s="3530" t="s">
        <v>3707</v>
      </c>
    </row>
    <row r="145" spans="1:13" s="3533" customFormat="1" ht="15">
      <c r="A145" s="3526">
        <v>144</v>
      </c>
      <c r="B145" s="3529"/>
      <c r="C145" s="3530">
        <f>SUM(C124:C144)+SUM(C2:C68)</f>
        <v>17527.249999999996</v>
      </c>
      <c r="D145" s="3531"/>
      <c r="E145" s="3531"/>
      <c r="F145" s="3530">
        <f>SUM(F124:F144)+SUM(F2:F68)</f>
        <v>3503645.0740000005</v>
      </c>
      <c r="G145" s="3543">
        <f>F145/C145/30</f>
        <v>6.6632340574438871</v>
      </c>
      <c r="I145" s="3530"/>
      <c r="J145" s="3530"/>
      <c r="K145" s="3530"/>
      <c r="L145" s="3530"/>
      <c r="M145" s="3539"/>
    </row>
    <row r="146" spans="1:13" s="3533" customFormat="1" ht="15">
      <c r="A146" s="3526">
        <v>145</v>
      </c>
      <c r="B146" s="3529"/>
      <c r="C146" s="3530">
        <f>'数据-汇总表'!E31</f>
        <v>36389.269999999997</v>
      </c>
      <c r="D146" s="3531"/>
      <c r="E146" s="3531"/>
      <c r="F146" s="3530">
        <f>F145*12</f>
        <v>42043740.888000004</v>
      </c>
      <c r="G146" s="3543">
        <f>G145*C147</f>
        <v>3.2094122562319427</v>
      </c>
      <c r="H146" s="3530"/>
      <c r="I146" s="3530"/>
      <c r="J146" s="3530"/>
      <c r="K146" s="3530"/>
      <c r="L146" s="3530"/>
      <c r="M146" s="3539"/>
    </row>
    <row r="147" spans="1:13" s="3533" customFormat="1" ht="15">
      <c r="A147" s="3526">
        <v>146</v>
      </c>
      <c r="B147" s="3529"/>
      <c r="C147" s="3544">
        <f>C145/C146</f>
        <v>0.48165984093662767</v>
      </c>
      <c r="D147" s="3531"/>
      <c r="E147" s="3531"/>
      <c r="F147" s="3530">
        <f>SUM(F2:F144)</f>
        <v>6413476.7940000007</v>
      </c>
      <c r="G147" s="3530"/>
      <c r="H147" s="3530"/>
      <c r="I147" s="3530"/>
      <c r="J147" s="3530"/>
      <c r="K147" s="3530"/>
      <c r="L147" s="3530"/>
      <c r="M147" s="3539"/>
    </row>
    <row r="148" spans="1:13" s="3533" customFormat="1" ht="15">
      <c r="A148" s="3526">
        <v>147</v>
      </c>
      <c r="B148" s="3529"/>
      <c r="C148" s="3530"/>
      <c r="D148" s="3531"/>
      <c r="E148" s="3531"/>
      <c r="F148" s="3530">
        <f>F147*12</f>
        <v>76961721.528000012</v>
      </c>
      <c r="G148" s="3530"/>
      <c r="H148" s="3530"/>
      <c r="I148" s="3530"/>
      <c r="J148" s="3530"/>
      <c r="K148" s="3530"/>
      <c r="L148" s="3530"/>
      <c r="M148" s="3539"/>
    </row>
    <row r="149" spans="1:13" s="3533" customFormat="1" ht="15">
      <c r="A149" s="3526">
        <v>148</v>
      </c>
      <c r="B149" s="3529"/>
      <c r="C149" s="3530"/>
      <c r="D149" s="3531"/>
      <c r="E149" s="3531"/>
      <c r="F149" s="3532">
        <f>F146/F148</f>
        <v>0.54629418434596422</v>
      </c>
      <c r="G149" s="3530"/>
      <c r="H149" s="3530"/>
      <c r="I149" s="3530"/>
      <c r="J149" s="3530"/>
      <c r="K149" s="3530"/>
      <c r="L149" s="3530"/>
      <c r="M149" s="3539"/>
    </row>
    <row r="150" spans="1:13" s="3533" customFormat="1" ht="15">
      <c r="A150" s="3526">
        <v>149</v>
      </c>
      <c r="B150" s="3529"/>
      <c r="C150" s="3530"/>
      <c r="D150" s="3531"/>
      <c r="E150" s="3531"/>
      <c r="F150" s="3530"/>
      <c r="H150" s="3530"/>
      <c r="I150" s="3530"/>
      <c r="J150" s="3530"/>
      <c r="K150" s="3530"/>
      <c r="L150" s="3530"/>
      <c r="M150" s="3539"/>
    </row>
    <row r="151" spans="1:13" s="3533" customFormat="1" ht="15">
      <c r="A151" s="3526">
        <v>150</v>
      </c>
      <c r="B151" s="3529"/>
      <c r="C151" s="3530"/>
      <c r="D151" s="3531"/>
      <c r="E151" s="3531"/>
      <c r="F151" s="3530"/>
      <c r="G151" s="3530"/>
      <c r="H151" s="3530"/>
      <c r="I151" s="3530"/>
      <c r="J151" s="3530"/>
      <c r="K151" s="3530"/>
      <c r="L151" s="3530"/>
      <c r="M151" s="3539"/>
    </row>
    <row r="152" spans="1:13" s="3533" customFormat="1" ht="15">
      <c r="A152" s="3526">
        <v>151</v>
      </c>
      <c r="B152" s="3529"/>
      <c r="C152" s="3530"/>
      <c r="D152" s="3531"/>
      <c r="E152" s="3531"/>
      <c r="F152" s="3530"/>
      <c r="G152" s="3530"/>
      <c r="H152" s="3530"/>
      <c r="I152" s="3530"/>
      <c r="J152" s="3530"/>
      <c r="K152" s="3530"/>
      <c r="L152" s="3530"/>
      <c r="M152" s="3539"/>
    </row>
    <row r="153" spans="1:13" s="3533" customFormat="1" ht="15">
      <c r="A153" s="3526">
        <v>152</v>
      </c>
      <c r="B153" s="3529"/>
      <c r="C153" s="3530"/>
      <c r="D153" s="3531"/>
      <c r="E153" s="3531"/>
      <c r="F153" s="3530"/>
      <c r="G153" s="3530"/>
      <c r="H153" s="3530"/>
      <c r="I153" s="3530"/>
      <c r="J153" s="3530"/>
      <c r="K153" s="3530"/>
      <c r="L153" s="3530"/>
      <c r="M153" s="3539"/>
    </row>
    <row r="154" spans="1:13" s="3533" customFormat="1" ht="15">
      <c r="A154" s="3526">
        <v>153</v>
      </c>
      <c r="B154" s="3529"/>
      <c r="C154" s="3530"/>
      <c r="D154" s="3531"/>
      <c r="E154" s="3531"/>
      <c r="F154" s="3530"/>
      <c r="G154" s="3530"/>
      <c r="H154" s="3530"/>
      <c r="I154" s="3530"/>
      <c r="J154" s="3530"/>
      <c r="K154" s="3530"/>
      <c r="L154" s="3530"/>
      <c r="M154" s="3539"/>
    </row>
    <row r="155" spans="1:13" s="3533" customFormat="1" ht="15">
      <c r="A155" s="3526">
        <v>154</v>
      </c>
      <c r="B155" s="3529"/>
      <c r="C155" s="3530"/>
      <c r="D155" s="3531"/>
      <c r="E155" s="3531"/>
      <c r="F155" s="3530"/>
      <c r="G155" s="3530"/>
      <c r="H155" s="3530"/>
      <c r="I155" s="3530"/>
      <c r="J155" s="3530"/>
      <c r="K155" s="3530"/>
      <c r="L155" s="3530"/>
      <c r="M155" s="3539"/>
    </row>
    <row r="156" spans="1:13" s="3533" customFormat="1" ht="15">
      <c r="A156" s="3526">
        <v>155</v>
      </c>
      <c r="B156" s="3529"/>
      <c r="C156" s="3530"/>
      <c r="D156" s="3531"/>
      <c r="E156" s="3531"/>
      <c r="F156" s="3530"/>
      <c r="G156" s="3530"/>
      <c r="H156" s="3530"/>
      <c r="I156" s="3530"/>
      <c r="J156" s="3530"/>
      <c r="K156" s="3530"/>
      <c r="L156" s="3530"/>
      <c r="M156" s="3539"/>
    </row>
    <row r="157" spans="1:13" s="3533" customFormat="1" ht="15">
      <c r="A157" s="3526">
        <v>156</v>
      </c>
      <c r="B157" s="3529"/>
      <c r="C157" s="3530"/>
      <c r="D157" s="3531"/>
      <c r="E157" s="3531"/>
      <c r="F157" s="3530"/>
      <c r="G157" s="3530"/>
      <c r="H157" s="3530"/>
      <c r="I157" s="3530"/>
      <c r="J157" s="3530"/>
      <c r="K157" s="3530"/>
      <c r="L157" s="3530"/>
      <c r="M157" s="3539"/>
    </row>
    <row r="158" spans="1:13" s="3533" customFormat="1" ht="15">
      <c r="A158" s="3526">
        <v>157</v>
      </c>
      <c r="B158" s="3529"/>
      <c r="C158" s="3530"/>
      <c r="D158" s="3531"/>
      <c r="E158" s="3531"/>
      <c r="F158" s="3530"/>
      <c r="G158" s="3530"/>
      <c r="H158" s="3530"/>
      <c r="I158" s="3530"/>
      <c r="J158" s="3530"/>
      <c r="K158" s="3530"/>
      <c r="L158" s="3530"/>
      <c r="M158" s="3539"/>
    </row>
    <row r="159" spans="1:13" s="3533" customFormat="1" ht="15">
      <c r="A159" s="3526">
        <v>158</v>
      </c>
      <c r="B159" s="3529"/>
      <c r="C159" s="3530"/>
      <c r="D159" s="3531"/>
      <c r="E159" s="3531"/>
      <c r="F159" s="3530"/>
      <c r="G159" s="3530"/>
      <c r="H159" s="3530"/>
      <c r="I159" s="3530"/>
      <c r="J159" s="3530"/>
      <c r="K159" s="3530"/>
      <c r="L159" s="3530"/>
      <c r="M159" s="3539"/>
    </row>
    <row r="160" spans="1:13" s="3533" customFormat="1" ht="15">
      <c r="A160" s="3526">
        <v>159</v>
      </c>
      <c r="B160" s="3529"/>
      <c r="C160" s="3530"/>
      <c r="D160" s="3531"/>
      <c r="E160" s="3531"/>
      <c r="F160" s="3530"/>
      <c r="G160" s="3530"/>
      <c r="H160" s="3530"/>
      <c r="I160" s="3530"/>
      <c r="J160" s="3530"/>
      <c r="K160" s="3530"/>
      <c r="L160" s="3530"/>
      <c r="M160" s="3539"/>
    </row>
    <row r="161" spans="1:13" s="3533" customFormat="1" ht="15">
      <c r="A161" s="3526">
        <v>160</v>
      </c>
      <c r="B161" s="3529"/>
      <c r="C161" s="3530"/>
      <c r="D161" s="3531"/>
      <c r="E161" s="3531"/>
      <c r="F161" s="3530"/>
      <c r="G161" s="3530"/>
      <c r="H161" s="3530"/>
      <c r="I161" s="3530"/>
      <c r="J161" s="3530"/>
      <c r="K161" s="3530"/>
      <c r="L161" s="3530"/>
      <c r="M161" s="3539"/>
    </row>
    <row r="162" spans="1:13" s="3533" customFormat="1" ht="15">
      <c r="A162" s="3526">
        <v>161</v>
      </c>
      <c r="B162" s="3529"/>
      <c r="C162" s="3530"/>
      <c r="D162" s="3531"/>
      <c r="E162" s="3531"/>
      <c r="F162" s="3530"/>
      <c r="G162" s="3530"/>
      <c r="H162" s="3530"/>
      <c r="I162" s="3530"/>
      <c r="J162" s="3530"/>
      <c r="K162" s="3530"/>
      <c r="L162" s="3530"/>
      <c r="M162" s="3539"/>
    </row>
    <row r="163" spans="1:13" s="3533" customFormat="1" ht="15">
      <c r="A163" s="3526">
        <v>162</v>
      </c>
      <c r="B163" s="3529"/>
      <c r="C163" s="3530"/>
      <c r="D163" s="3531"/>
      <c r="E163" s="3531"/>
      <c r="F163" s="3530"/>
      <c r="G163" s="3530"/>
      <c r="H163" s="3530"/>
      <c r="I163" s="3530"/>
      <c r="J163" s="3530"/>
      <c r="K163" s="3530"/>
      <c r="L163" s="3530"/>
      <c r="M163" s="3539"/>
    </row>
    <row r="164" spans="1:13" s="3533" customFormat="1" ht="15">
      <c r="A164" s="3526">
        <v>163</v>
      </c>
      <c r="B164" s="3529"/>
      <c r="C164" s="3530"/>
      <c r="D164" s="3531"/>
      <c r="E164" s="3531"/>
      <c r="F164" s="3530"/>
      <c r="G164" s="3530"/>
      <c r="H164" s="3530"/>
      <c r="I164" s="3530"/>
      <c r="J164" s="3530"/>
      <c r="K164" s="3530"/>
      <c r="L164" s="3530"/>
      <c r="M164" s="3539"/>
    </row>
    <row r="165" spans="1:13" s="3533" customFormat="1" ht="15">
      <c r="A165" s="3526">
        <v>164</v>
      </c>
      <c r="B165" s="3529"/>
      <c r="C165" s="3530"/>
      <c r="D165" s="3531"/>
      <c r="E165" s="3531"/>
      <c r="F165" s="3530"/>
      <c r="G165" s="3530"/>
      <c r="H165" s="3530"/>
      <c r="I165" s="3530"/>
      <c r="J165" s="3530"/>
      <c r="K165" s="3530"/>
      <c r="L165" s="3530"/>
      <c r="M165" s="3539"/>
    </row>
    <row r="166" spans="1:13" s="3533" customFormat="1" ht="15">
      <c r="A166" s="3526">
        <v>165</v>
      </c>
      <c r="B166" s="3529"/>
      <c r="C166" s="3530"/>
      <c r="D166" s="3531"/>
      <c r="E166" s="3531"/>
      <c r="F166" s="3530"/>
      <c r="G166" s="3530"/>
      <c r="H166" s="3530"/>
      <c r="I166" s="3530"/>
      <c r="J166" s="3530"/>
      <c r="K166" s="3530"/>
      <c r="L166" s="3530"/>
      <c r="M166" s="3539"/>
    </row>
    <row r="167" spans="1:13" s="3533" customFormat="1" ht="15">
      <c r="A167" s="3526">
        <v>166</v>
      </c>
      <c r="B167" s="3529"/>
      <c r="C167" s="3530"/>
      <c r="D167" s="3531"/>
      <c r="E167" s="3531"/>
      <c r="F167" s="3530"/>
      <c r="G167" s="3530"/>
      <c r="H167" s="3530"/>
      <c r="I167" s="3530"/>
      <c r="J167" s="3530"/>
      <c r="K167" s="3530"/>
      <c r="L167" s="3530"/>
      <c r="M167" s="3539"/>
    </row>
    <row r="168" spans="1:13" s="3533" customFormat="1" ht="15">
      <c r="A168" s="3526">
        <v>167</v>
      </c>
      <c r="B168" s="3529"/>
      <c r="C168" s="3530"/>
      <c r="D168" s="3531"/>
      <c r="E168" s="3531"/>
      <c r="F168" s="3530"/>
      <c r="G168" s="3530"/>
      <c r="H168" s="3530"/>
      <c r="I168" s="3530"/>
      <c r="J168" s="3530"/>
      <c r="K168" s="3530"/>
      <c r="L168" s="3530"/>
      <c r="M168" s="3539"/>
    </row>
    <row r="169" spans="1:13" s="3533" customFormat="1" ht="15">
      <c r="A169" s="3526">
        <v>168</v>
      </c>
      <c r="B169" s="3529"/>
      <c r="C169" s="3530"/>
      <c r="D169" s="3531"/>
      <c r="E169" s="3531"/>
      <c r="F169" s="3530"/>
      <c r="G169" s="3530"/>
      <c r="H169" s="3530"/>
      <c r="I169" s="3530"/>
      <c r="J169" s="3530"/>
      <c r="K169" s="3530"/>
      <c r="L169" s="3530"/>
      <c r="M169" s="3539"/>
    </row>
    <row r="170" spans="1:13" s="3533" customFormat="1" ht="15">
      <c r="A170" s="3526">
        <v>169</v>
      </c>
      <c r="B170" s="3529"/>
      <c r="C170" s="3530"/>
      <c r="D170" s="3531"/>
      <c r="E170" s="3531"/>
      <c r="F170" s="3530"/>
      <c r="G170" s="3530"/>
      <c r="H170" s="3530"/>
      <c r="I170" s="3530"/>
      <c r="J170" s="3530"/>
      <c r="K170" s="3530"/>
      <c r="L170" s="3530"/>
      <c r="M170" s="3539"/>
    </row>
    <row r="171" spans="1:13" s="3533" customFormat="1" ht="15">
      <c r="A171" s="3526">
        <v>170</v>
      </c>
      <c r="B171" s="3529"/>
      <c r="C171" s="3530"/>
      <c r="D171" s="3531"/>
      <c r="E171" s="3531"/>
      <c r="F171" s="3530"/>
      <c r="G171" s="3530"/>
      <c r="H171" s="3530"/>
      <c r="I171" s="3530"/>
      <c r="J171" s="3530"/>
      <c r="K171" s="3530"/>
      <c r="L171" s="3530"/>
      <c r="M171" s="3539"/>
    </row>
    <row r="172" spans="1:13" s="3533" customFormat="1" ht="15">
      <c r="A172" s="3526">
        <v>171</v>
      </c>
      <c r="B172" s="3529"/>
      <c r="C172" s="3530"/>
      <c r="D172" s="3531"/>
      <c r="E172" s="3531"/>
      <c r="F172" s="3530"/>
      <c r="G172" s="3530"/>
      <c r="H172" s="3530"/>
      <c r="I172" s="3530"/>
      <c r="J172" s="3530"/>
      <c r="K172" s="3530"/>
      <c r="L172" s="3530"/>
      <c r="M172" s="3539"/>
    </row>
    <row r="173" spans="1:13" s="3533" customFormat="1" ht="15">
      <c r="A173" s="3526">
        <v>172</v>
      </c>
      <c r="B173" s="3529"/>
      <c r="C173" s="3530"/>
      <c r="D173" s="3531"/>
      <c r="E173" s="3531"/>
      <c r="F173" s="3530"/>
      <c r="G173" s="3530"/>
      <c r="H173" s="3530"/>
      <c r="I173" s="3530"/>
      <c r="J173" s="3530"/>
      <c r="K173" s="3530"/>
      <c r="L173" s="3530"/>
      <c r="M173" s="3539"/>
    </row>
    <row r="174" spans="1:13" s="3533" customFormat="1" ht="15">
      <c r="A174" s="3526">
        <v>173</v>
      </c>
      <c r="B174" s="3529"/>
      <c r="C174" s="3530"/>
      <c r="D174" s="3531"/>
      <c r="E174" s="3531"/>
      <c r="F174" s="3530"/>
      <c r="G174" s="3530"/>
      <c r="H174" s="3530"/>
      <c r="I174" s="3530"/>
      <c r="J174" s="3530"/>
      <c r="K174" s="3530"/>
      <c r="L174" s="3530"/>
      <c r="M174" s="3539"/>
    </row>
    <row r="175" spans="1:13" s="3533" customFormat="1" ht="15">
      <c r="A175" s="3526">
        <v>174</v>
      </c>
      <c r="B175" s="3529"/>
      <c r="C175" s="3530"/>
      <c r="D175" s="3531"/>
      <c r="E175" s="3531"/>
      <c r="F175" s="3530"/>
      <c r="G175" s="3530"/>
      <c r="H175" s="3530"/>
      <c r="I175" s="3530"/>
      <c r="J175" s="3530"/>
      <c r="K175" s="3530"/>
      <c r="L175" s="3530"/>
      <c r="M175" s="3539"/>
    </row>
    <row r="176" spans="1:13" s="3533" customFormat="1" ht="15">
      <c r="A176" s="3526">
        <v>175</v>
      </c>
      <c r="B176" s="3529"/>
      <c r="C176" s="3530"/>
      <c r="D176" s="3531"/>
      <c r="E176" s="3531"/>
      <c r="F176" s="3530"/>
      <c r="G176" s="3530"/>
      <c r="H176" s="3530"/>
      <c r="I176" s="3530"/>
      <c r="J176" s="3530"/>
      <c r="K176" s="3530"/>
      <c r="L176" s="3530"/>
      <c r="M176" s="3539"/>
    </row>
    <row r="177" spans="1:13" s="3533" customFormat="1" ht="15">
      <c r="A177" s="3526">
        <v>176</v>
      </c>
      <c r="B177" s="3529"/>
      <c r="C177" s="3530"/>
      <c r="D177" s="3531"/>
      <c r="E177" s="3531"/>
      <c r="F177" s="3530"/>
      <c r="G177" s="3530"/>
      <c r="H177" s="3530"/>
      <c r="I177" s="3530"/>
      <c r="J177" s="3530"/>
      <c r="K177" s="3530"/>
      <c r="L177" s="3530"/>
      <c r="M177" s="3539"/>
    </row>
    <row r="178" spans="1:13" s="3533" customFormat="1" ht="15">
      <c r="A178" s="3526">
        <v>177</v>
      </c>
      <c r="B178" s="3529"/>
      <c r="C178" s="3530"/>
      <c r="D178" s="3531"/>
      <c r="E178" s="3531"/>
      <c r="F178" s="3530"/>
      <c r="G178" s="3530"/>
      <c r="H178" s="3530"/>
      <c r="I178" s="3530"/>
      <c r="J178" s="3530"/>
      <c r="K178" s="3530"/>
      <c r="L178" s="3530"/>
      <c r="M178" s="3539"/>
    </row>
    <row r="179" spans="1:13" s="3533" customFormat="1" ht="15">
      <c r="A179" s="3526">
        <v>178</v>
      </c>
      <c r="B179" s="3529"/>
      <c r="C179" s="3530"/>
      <c r="D179" s="3531"/>
      <c r="E179" s="3531"/>
      <c r="F179" s="3530"/>
      <c r="G179" s="3530"/>
      <c r="H179" s="3530"/>
      <c r="I179" s="3530"/>
      <c r="J179" s="3530"/>
      <c r="K179" s="3530"/>
      <c r="L179" s="3530"/>
      <c r="M179" s="3539"/>
    </row>
    <row r="180" spans="1:13" s="3533" customFormat="1" ht="15">
      <c r="A180" s="3526">
        <v>179</v>
      </c>
      <c r="B180" s="3529"/>
      <c r="C180" s="3530"/>
      <c r="D180" s="3531"/>
      <c r="E180" s="3531"/>
      <c r="F180" s="3530"/>
      <c r="G180" s="3530"/>
      <c r="H180" s="3530"/>
      <c r="I180" s="3530"/>
      <c r="J180" s="3530"/>
      <c r="K180" s="3530"/>
      <c r="L180" s="3530"/>
      <c r="M180" s="3539"/>
    </row>
    <row r="181" spans="1:13" s="3533" customFormat="1" ht="15">
      <c r="A181" s="3526">
        <v>180</v>
      </c>
      <c r="B181" s="3529"/>
      <c r="C181" s="3530"/>
      <c r="D181" s="3531"/>
      <c r="E181" s="3531"/>
      <c r="F181" s="3530"/>
      <c r="G181" s="3530"/>
      <c r="H181" s="3530"/>
      <c r="I181" s="3530"/>
      <c r="J181" s="3530"/>
      <c r="K181" s="3530"/>
      <c r="L181" s="3530"/>
      <c r="M181" s="3539"/>
    </row>
    <row r="182" spans="1:13" s="3533" customFormat="1" ht="15">
      <c r="A182" s="3526">
        <v>181</v>
      </c>
      <c r="B182" s="3529"/>
      <c r="C182" s="3530"/>
      <c r="D182" s="3531"/>
      <c r="E182" s="3531"/>
      <c r="F182" s="3530"/>
      <c r="G182" s="3530"/>
      <c r="H182" s="3530"/>
      <c r="I182" s="3530"/>
      <c r="J182" s="3530"/>
      <c r="K182" s="3530"/>
      <c r="L182" s="3530"/>
      <c r="M182" s="3539"/>
    </row>
    <row r="183" spans="1:13" s="3533" customFormat="1" ht="15">
      <c r="A183" s="3526">
        <v>182</v>
      </c>
      <c r="B183" s="3529"/>
      <c r="C183" s="3530"/>
      <c r="D183" s="3531"/>
      <c r="E183" s="3531"/>
      <c r="F183" s="3530"/>
      <c r="G183" s="3530"/>
      <c r="H183" s="3530"/>
      <c r="I183" s="3530"/>
      <c r="J183" s="3530"/>
      <c r="K183" s="3530"/>
      <c r="L183" s="3530"/>
      <c r="M183" s="3539"/>
    </row>
    <row r="184" spans="1:13" s="3533" customFormat="1" ht="15">
      <c r="A184" s="3526">
        <v>183</v>
      </c>
      <c r="B184" s="3529"/>
      <c r="C184" s="3530"/>
      <c r="D184" s="3531"/>
      <c r="E184" s="3531"/>
      <c r="F184" s="3530"/>
      <c r="G184" s="3530"/>
      <c r="H184" s="3530"/>
      <c r="I184" s="3530"/>
      <c r="J184" s="3530"/>
      <c r="K184" s="3530"/>
      <c r="L184" s="3530"/>
      <c r="M184" s="3539"/>
    </row>
    <row r="185" spans="1:13" s="3533" customFormat="1" ht="15">
      <c r="A185" s="3526">
        <v>184</v>
      </c>
      <c r="B185" s="3529"/>
      <c r="C185" s="3530"/>
      <c r="D185" s="3531"/>
      <c r="E185" s="3531"/>
      <c r="F185" s="3530"/>
      <c r="G185" s="3530"/>
      <c r="H185" s="3530"/>
      <c r="I185" s="3530"/>
      <c r="J185" s="3530"/>
      <c r="K185" s="3530"/>
      <c r="L185" s="3530"/>
      <c r="M185" s="3539"/>
    </row>
    <row r="186" spans="1:13" s="3533" customFormat="1" ht="15">
      <c r="A186" s="3526">
        <v>185</v>
      </c>
      <c r="B186" s="3529"/>
      <c r="C186" s="3530"/>
      <c r="D186" s="3531"/>
      <c r="E186" s="3531"/>
      <c r="F186" s="3530"/>
      <c r="G186" s="3530"/>
      <c r="H186" s="3530"/>
      <c r="I186" s="3530"/>
      <c r="J186" s="3530"/>
      <c r="K186" s="3530"/>
      <c r="L186" s="3530"/>
      <c r="M186" s="3539"/>
    </row>
    <row r="187" spans="1:13" s="3533" customFormat="1" ht="15">
      <c r="A187" s="3526">
        <v>186</v>
      </c>
      <c r="B187" s="3529"/>
      <c r="C187" s="3530"/>
      <c r="D187" s="3531"/>
      <c r="E187" s="3531"/>
      <c r="F187" s="3530"/>
      <c r="G187" s="3530"/>
      <c r="H187" s="3530"/>
      <c r="I187" s="3530"/>
      <c r="J187" s="3530"/>
      <c r="K187" s="3530"/>
      <c r="L187" s="3530"/>
      <c r="M187" s="3539"/>
    </row>
    <row r="188" spans="1:13" s="3533" customFormat="1" ht="15">
      <c r="A188" s="3526">
        <v>187</v>
      </c>
      <c r="B188" s="3529"/>
      <c r="C188" s="3530"/>
      <c r="D188" s="3531"/>
      <c r="E188" s="3531"/>
      <c r="F188" s="3530"/>
      <c r="G188" s="3530"/>
      <c r="H188" s="3530"/>
      <c r="I188" s="3530"/>
      <c r="J188" s="3530"/>
      <c r="K188" s="3530"/>
      <c r="L188" s="3530"/>
      <c r="M188" s="3539"/>
    </row>
    <row r="189" spans="1:13" s="3533" customFormat="1" ht="15">
      <c r="A189" s="3526">
        <v>188</v>
      </c>
      <c r="B189" s="3529"/>
      <c r="C189" s="3530"/>
      <c r="D189" s="3531"/>
      <c r="E189" s="3531"/>
      <c r="F189" s="3530"/>
      <c r="G189" s="3530"/>
      <c r="H189" s="3530"/>
      <c r="I189" s="3530"/>
      <c r="J189" s="3530"/>
      <c r="K189" s="3530"/>
      <c r="L189" s="3530"/>
      <c r="M189" s="3539"/>
    </row>
    <row r="190" spans="1:13" s="3533" customFormat="1" ht="15">
      <c r="A190" s="3526">
        <v>189</v>
      </c>
      <c r="B190" s="3529"/>
      <c r="C190" s="3530"/>
      <c r="D190" s="3531"/>
      <c r="E190" s="3531"/>
      <c r="F190" s="3530"/>
      <c r="G190" s="3530"/>
      <c r="H190" s="3530"/>
      <c r="I190" s="3530"/>
      <c r="J190" s="3530"/>
      <c r="K190" s="3530"/>
      <c r="L190" s="3530"/>
      <c r="M190" s="3539"/>
    </row>
    <row r="191" spans="1:13" s="3533" customFormat="1" ht="15">
      <c r="A191" s="3526">
        <v>190</v>
      </c>
      <c r="B191" s="3529"/>
      <c r="C191" s="3530"/>
      <c r="D191" s="3531"/>
      <c r="E191" s="3531"/>
      <c r="F191" s="3530"/>
      <c r="G191" s="3530"/>
      <c r="H191" s="3530"/>
      <c r="I191" s="3530"/>
      <c r="J191" s="3530"/>
      <c r="K191" s="3530"/>
      <c r="L191" s="3530"/>
      <c r="M191" s="3539"/>
    </row>
    <row r="192" spans="1:13" s="3533" customFormat="1" ht="15">
      <c r="A192" s="3526">
        <v>191</v>
      </c>
      <c r="B192" s="3529"/>
      <c r="C192" s="3530"/>
      <c r="D192" s="3531"/>
      <c r="E192" s="3531"/>
      <c r="F192" s="3530"/>
      <c r="G192" s="3530"/>
      <c r="H192" s="3530"/>
      <c r="I192" s="3530"/>
      <c r="J192" s="3530"/>
      <c r="K192" s="3530"/>
      <c r="L192" s="3530"/>
      <c r="M192" s="3539"/>
    </row>
    <row r="193" spans="1:13" s="3533" customFormat="1" ht="15">
      <c r="A193" s="3526">
        <v>192</v>
      </c>
      <c r="B193" s="3529"/>
      <c r="C193" s="3530"/>
      <c r="D193" s="3531"/>
      <c r="E193" s="3531"/>
      <c r="F193" s="3530"/>
      <c r="G193" s="3530"/>
      <c r="H193" s="3530"/>
      <c r="I193" s="3530"/>
      <c r="J193" s="3530"/>
      <c r="K193" s="3530"/>
      <c r="L193" s="3530"/>
      <c r="M193" s="3539"/>
    </row>
    <row r="194" spans="1:13" s="3533" customFormat="1" ht="15">
      <c r="A194" s="3526">
        <v>193</v>
      </c>
      <c r="B194" s="3529"/>
      <c r="C194" s="3530"/>
      <c r="D194" s="3531"/>
      <c r="E194" s="3531"/>
      <c r="F194" s="3530"/>
      <c r="G194" s="3530"/>
      <c r="H194" s="3530"/>
      <c r="I194" s="3530"/>
      <c r="J194" s="3530"/>
      <c r="K194" s="3530"/>
      <c r="L194" s="3530"/>
      <c r="M194" s="3539"/>
    </row>
    <row r="195" spans="1:13" s="3533" customFormat="1" ht="15">
      <c r="A195" s="3526">
        <v>194</v>
      </c>
      <c r="B195" s="3529"/>
      <c r="C195" s="3530"/>
      <c r="D195" s="3531"/>
      <c r="E195" s="3531"/>
      <c r="F195" s="3530"/>
      <c r="G195" s="3530"/>
      <c r="H195" s="3530"/>
      <c r="I195" s="3530"/>
      <c r="J195" s="3530"/>
      <c r="K195" s="3530"/>
      <c r="L195" s="3530"/>
      <c r="M195" s="3539"/>
    </row>
    <row r="196" spans="1:13" s="3533" customFormat="1" ht="15">
      <c r="A196" s="3526">
        <v>195</v>
      </c>
      <c r="B196" s="3529"/>
      <c r="C196" s="3530"/>
      <c r="D196" s="3531"/>
      <c r="E196" s="3531"/>
      <c r="F196" s="3530"/>
      <c r="G196" s="3530"/>
      <c r="H196" s="3530"/>
      <c r="I196" s="3530"/>
      <c r="J196" s="3530"/>
      <c r="K196" s="3530"/>
      <c r="L196" s="3530"/>
      <c r="M196" s="3539"/>
    </row>
    <row r="197" spans="1:13" s="3533" customFormat="1" ht="15">
      <c r="A197" s="3526">
        <v>196</v>
      </c>
      <c r="B197" s="3529"/>
      <c r="C197" s="3530"/>
      <c r="D197" s="3531"/>
      <c r="E197" s="3531"/>
      <c r="F197" s="3530"/>
      <c r="G197" s="3530"/>
      <c r="H197" s="3530"/>
      <c r="I197" s="3530"/>
      <c r="J197" s="3530"/>
      <c r="K197" s="3530"/>
      <c r="L197" s="3530"/>
      <c r="M197" s="3539"/>
    </row>
    <row r="198" spans="1:13" s="3533" customFormat="1" ht="15">
      <c r="A198" s="3526">
        <v>197</v>
      </c>
      <c r="B198" s="3529"/>
      <c r="C198" s="3530"/>
      <c r="D198" s="3531"/>
      <c r="E198" s="3531"/>
      <c r="F198" s="3530"/>
      <c r="G198" s="3530"/>
      <c r="H198" s="3530"/>
      <c r="I198" s="3530"/>
      <c r="J198" s="3530"/>
      <c r="K198" s="3530"/>
      <c r="L198" s="3530"/>
      <c r="M198" s="3539"/>
    </row>
    <row r="199" spans="1:13" s="3533" customFormat="1" ht="15">
      <c r="A199" s="3526">
        <v>198</v>
      </c>
      <c r="B199" s="3529"/>
      <c r="C199" s="3530"/>
      <c r="D199" s="3531"/>
      <c r="E199" s="3531"/>
      <c r="F199" s="3530"/>
      <c r="G199" s="3530"/>
      <c r="H199" s="3530"/>
      <c r="I199" s="3530"/>
      <c r="J199" s="3530"/>
      <c r="K199" s="3530"/>
      <c r="L199" s="3530"/>
      <c r="M199" s="3539"/>
    </row>
    <row r="200" spans="1:13" s="3533" customFormat="1" ht="15">
      <c r="A200" s="3526">
        <v>199</v>
      </c>
      <c r="B200" s="3529"/>
      <c r="C200" s="3530"/>
      <c r="D200" s="3531"/>
      <c r="E200" s="3531"/>
      <c r="F200" s="3530"/>
      <c r="G200" s="3530"/>
      <c r="H200" s="3530"/>
      <c r="I200" s="3530"/>
      <c r="J200" s="3530"/>
      <c r="K200" s="3530"/>
      <c r="L200" s="3530"/>
      <c r="M200" s="3539"/>
    </row>
    <row r="201" spans="1:13" s="3533" customFormat="1" ht="15">
      <c r="A201" s="3526">
        <v>200</v>
      </c>
      <c r="B201" s="3529"/>
      <c r="C201" s="3530"/>
      <c r="D201" s="3531"/>
      <c r="E201" s="3531"/>
      <c r="F201" s="3530"/>
      <c r="G201" s="3530"/>
      <c r="H201" s="3530"/>
      <c r="I201" s="3530"/>
      <c r="J201" s="3530"/>
      <c r="K201" s="3530"/>
      <c r="L201" s="3530"/>
      <c r="M201" s="3539"/>
    </row>
    <row r="202" spans="1:13" s="3533" customFormat="1" ht="15">
      <c r="A202" s="3526">
        <v>201</v>
      </c>
      <c r="B202" s="3529"/>
      <c r="C202" s="3530"/>
      <c r="D202" s="3531"/>
      <c r="E202" s="3531"/>
      <c r="F202" s="3530"/>
      <c r="G202" s="3530"/>
      <c r="H202" s="3530"/>
      <c r="I202" s="3530"/>
      <c r="J202" s="3530"/>
      <c r="K202" s="3530"/>
      <c r="L202" s="3530"/>
      <c r="M202" s="3539"/>
    </row>
    <row r="203" spans="1:13" s="3533" customFormat="1" ht="15">
      <c r="A203" s="3526">
        <v>202</v>
      </c>
      <c r="B203" s="3529"/>
      <c r="C203" s="3530"/>
      <c r="D203" s="3531"/>
      <c r="E203" s="3531"/>
      <c r="F203" s="3530"/>
      <c r="G203" s="3530"/>
      <c r="H203" s="3530"/>
      <c r="I203" s="3530"/>
      <c r="J203" s="3530"/>
      <c r="K203" s="3530"/>
      <c r="L203" s="3530"/>
      <c r="M203" s="3539"/>
    </row>
    <row r="204" spans="1:13" s="3533" customFormat="1" ht="15">
      <c r="A204" s="3526">
        <v>203</v>
      </c>
      <c r="B204" s="3529"/>
      <c r="C204" s="3530"/>
      <c r="D204" s="3531"/>
      <c r="E204" s="3531"/>
      <c r="F204" s="3530"/>
      <c r="G204" s="3530"/>
      <c r="H204" s="3530"/>
      <c r="I204" s="3530"/>
      <c r="J204" s="3530"/>
      <c r="K204" s="3530"/>
      <c r="L204" s="3530"/>
      <c r="M204" s="3539"/>
    </row>
    <row r="205" spans="1:13" s="3533" customFormat="1" ht="15">
      <c r="A205" s="3526">
        <v>204</v>
      </c>
      <c r="B205" s="3529"/>
      <c r="C205" s="3530"/>
      <c r="D205" s="3531"/>
      <c r="E205" s="3531"/>
      <c r="F205" s="3530"/>
      <c r="G205" s="3530"/>
      <c r="H205" s="3530"/>
      <c r="I205" s="3530"/>
      <c r="J205" s="3530"/>
      <c r="K205" s="3530"/>
      <c r="L205" s="3530"/>
      <c r="M205" s="3539"/>
    </row>
    <row r="206" spans="1:13" s="3533" customFormat="1" ht="15">
      <c r="A206" s="3526">
        <v>205</v>
      </c>
      <c r="B206" s="3529"/>
      <c r="C206" s="3530"/>
      <c r="D206" s="3531"/>
      <c r="E206" s="3531"/>
      <c r="F206" s="3530"/>
      <c r="G206" s="3530"/>
      <c r="H206" s="3530"/>
      <c r="I206" s="3530"/>
      <c r="J206" s="3530"/>
      <c r="K206" s="3530"/>
      <c r="L206" s="3530"/>
      <c r="M206" s="3539"/>
    </row>
    <row r="207" spans="1:13" s="3533" customFormat="1" ht="15">
      <c r="A207" s="3526">
        <v>206</v>
      </c>
      <c r="B207" s="3529"/>
      <c r="C207" s="3530"/>
      <c r="D207" s="3531"/>
      <c r="E207" s="3531"/>
      <c r="F207" s="3530"/>
      <c r="G207" s="3530"/>
      <c r="H207" s="3530"/>
      <c r="I207" s="3530"/>
      <c r="J207" s="3530"/>
      <c r="K207" s="3530"/>
      <c r="L207" s="3530"/>
      <c r="M207" s="3539"/>
    </row>
    <row r="208" spans="1:13" s="3533" customFormat="1" ht="15">
      <c r="A208" s="3526">
        <v>207</v>
      </c>
      <c r="B208" s="3529"/>
      <c r="C208" s="3530"/>
      <c r="D208" s="3531"/>
      <c r="E208" s="3531"/>
      <c r="F208" s="3530"/>
      <c r="G208" s="3530"/>
      <c r="H208" s="3530"/>
      <c r="I208" s="3530"/>
      <c r="J208" s="3530"/>
      <c r="K208" s="3530"/>
      <c r="L208" s="3530"/>
      <c r="M208" s="3539"/>
    </row>
    <row r="209" spans="1:13" s="3533" customFormat="1" ht="15">
      <c r="A209" s="3526">
        <v>208</v>
      </c>
      <c r="B209" s="3529"/>
      <c r="C209" s="3530"/>
      <c r="D209" s="3531"/>
      <c r="E209" s="3531"/>
      <c r="F209" s="3530"/>
      <c r="G209" s="3530"/>
      <c r="H209" s="3530"/>
      <c r="I209" s="3530"/>
      <c r="J209" s="3530"/>
      <c r="K209" s="3530"/>
      <c r="L209" s="3530"/>
      <c r="M209" s="3539"/>
    </row>
    <row r="210" spans="1:13" s="3533" customFormat="1" ht="15">
      <c r="A210" s="3526">
        <v>209</v>
      </c>
      <c r="B210" s="3529"/>
      <c r="C210" s="3530"/>
      <c r="D210" s="3531"/>
      <c r="E210" s="3531"/>
      <c r="F210" s="3530"/>
      <c r="G210" s="3530"/>
      <c r="H210" s="3530"/>
      <c r="I210" s="3530"/>
      <c r="J210" s="3530"/>
      <c r="K210" s="3530"/>
      <c r="L210" s="3530"/>
      <c r="M210" s="3539"/>
    </row>
    <row r="211" spans="1:13" s="3533" customFormat="1" ht="15">
      <c r="A211" s="3526">
        <v>210</v>
      </c>
      <c r="B211" s="3529"/>
      <c r="C211" s="3530"/>
      <c r="D211" s="3531"/>
      <c r="E211" s="3531"/>
      <c r="F211" s="3530"/>
      <c r="G211" s="3530"/>
      <c r="H211" s="3530"/>
      <c r="I211" s="3530"/>
      <c r="J211" s="3530"/>
      <c r="K211" s="3530"/>
      <c r="L211" s="3530"/>
      <c r="M211" s="3539"/>
    </row>
    <row r="212" spans="1:13" s="3533" customFormat="1" ht="15">
      <c r="A212" s="3526">
        <v>211</v>
      </c>
      <c r="B212" s="3529"/>
      <c r="C212" s="3530"/>
      <c r="D212" s="3531"/>
      <c r="E212" s="3531"/>
      <c r="F212" s="3530"/>
      <c r="G212" s="3530"/>
      <c r="H212" s="3530"/>
      <c r="I212" s="3530"/>
      <c r="J212" s="3530"/>
      <c r="K212" s="3530"/>
      <c r="L212" s="3530"/>
      <c r="M212" s="3539"/>
    </row>
    <row r="213" spans="1:13" s="3533" customFormat="1" ht="15">
      <c r="A213" s="3526">
        <v>212</v>
      </c>
      <c r="B213" s="3529"/>
      <c r="C213" s="3530"/>
      <c r="D213" s="3531"/>
      <c r="E213" s="3531"/>
      <c r="F213" s="3530"/>
      <c r="G213" s="3530"/>
      <c r="H213" s="3530"/>
      <c r="I213" s="3530"/>
      <c r="J213" s="3530"/>
      <c r="K213" s="3530"/>
      <c r="L213" s="3530"/>
      <c r="M213" s="3539"/>
    </row>
    <row r="214" spans="1:13" s="3533" customFormat="1" ht="15">
      <c r="A214" s="3526">
        <v>213</v>
      </c>
      <c r="B214" s="3529"/>
      <c r="C214" s="3530"/>
      <c r="D214" s="3531"/>
      <c r="E214" s="3531"/>
      <c r="F214" s="3530"/>
      <c r="G214" s="3530"/>
      <c r="H214" s="3530"/>
      <c r="I214" s="3530"/>
      <c r="J214" s="3530"/>
      <c r="K214" s="3530"/>
      <c r="L214" s="3530"/>
      <c r="M214" s="3539"/>
    </row>
    <row r="215" spans="1:13" s="3533" customFormat="1" ht="15">
      <c r="A215" s="3526">
        <v>214</v>
      </c>
      <c r="B215" s="3529"/>
      <c r="C215" s="3530"/>
      <c r="D215" s="3531"/>
      <c r="E215" s="3531"/>
      <c r="F215" s="3530"/>
      <c r="G215" s="3530"/>
      <c r="H215" s="3530"/>
      <c r="I215" s="3530"/>
      <c r="J215" s="3530"/>
      <c r="K215" s="3530"/>
      <c r="L215" s="3530"/>
      <c r="M215" s="3539"/>
    </row>
    <row r="216" spans="1:13" s="3533" customFormat="1" ht="15">
      <c r="A216" s="3526">
        <v>215</v>
      </c>
      <c r="B216" s="3529"/>
      <c r="C216" s="3530"/>
      <c r="D216" s="3531"/>
      <c r="E216" s="3531"/>
      <c r="F216" s="3530"/>
      <c r="G216" s="3530"/>
      <c r="H216" s="3530"/>
      <c r="I216" s="3530"/>
      <c r="J216" s="3530"/>
      <c r="K216" s="3530"/>
      <c r="L216" s="3530"/>
      <c r="M216" s="3539"/>
    </row>
    <row r="217" spans="1:13" s="3533" customFormat="1" ht="15">
      <c r="A217" s="3526">
        <v>216</v>
      </c>
      <c r="B217" s="3529"/>
      <c r="C217" s="3530"/>
      <c r="D217" s="3531"/>
      <c r="E217" s="3531"/>
      <c r="F217" s="3530"/>
      <c r="G217" s="3530"/>
      <c r="H217" s="3530"/>
      <c r="I217" s="3530"/>
      <c r="J217" s="3530"/>
      <c r="K217" s="3530"/>
      <c r="L217" s="3530"/>
      <c r="M217" s="3539"/>
    </row>
    <row r="218" spans="1:13" s="3533" customFormat="1" ht="15">
      <c r="A218" s="3526">
        <v>217</v>
      </c>
      <c r="B218" s="3529"/>
      <c r="C218" s="3530"/>
      <c r="D218" s="3531"/>
      <c r="E218" s="3531"/>
      <c r="F218" s="3530"/>
      <c r="G218" s="3530"/>
      <c r="H218" s="3530"/>
      <c r="I218" s="3530"/>
      <c r="J218" s="3530"/>
      <c r="K218" s="3530"/>
      <c r="L218" s="3530"/>
      <c r="M218" s="3539"/>
    </row>
    <row r="219" spans="1:13" s="3533" customFormat="1" ht="15">
      <c r="A219" s="3526">
        <v>218</v>
      </c>
      <c r="B219" s="3529"/>
      <c r="C219" s="3530"/>
      <c r="D219" s="3531"/>
      <c r="E219" s="3531"/>
      <c r="F219" s="3530"/>
      <c r="G219" s="3530"/>
      <c r="H219" s="3530"/>
      <c r="I219" s="3530"/>
      <c r="J219" s="3530"/>
      <c r="K219" s="3530"/>
      <c r="L219" s="3530"/>
      <c r="M219" s="3539"/>
    </row>
    <row r="220" spans="1:13" s="3533" customFormat="1" ht="15">
      <c r="A220" s="3526">
        <v>219</v>
      </c>
      <c r="B220" s="3529"/>
      <c r="C220" s="3530"/>
      <c r="D220" s="3531"/>
      <c r="E220" s="3531"/>
      <c r="F220" s="3530"/>
      <c r="G220" s="3530"/>
      <c r="H220" s="3530"/>
      <c r="I220" s="3530"/>
      <c r="J220" s="3530"/>
      <c r="K220" s="3530"/>
      <c r="L220" s="3530"/>
      <c r="M220" s="3539"/>
    </row>
    <row r="221" spans="1:13" s="3533" customFormat="1" ht="15">
      <c r="A221" s="3526">
        <v>220</v>
      </c>
      <c r="B221" s="3529"/>
      <c r="C221" s="3530"/>
      <c r="D221" s="3531"/>
      <c r="E221" s="3531"/>
      <c r="F221" s="3530"/>
      <c r="G221" s="3530"/>
      <c r="H221" s="3530"/>
      <c r="I221" s="3530"/>
      <c r="J221" s="3530"/>
      <c r="K221" s="3530"/>
      <c r="L221" s="3530"/>
      <c r="M221" s="3539"/>
    </row>
    <row r="222" spans="1:13" s="3533" customFormat="1" ht="15">
      <c r="A222" s="3526">
        <v>221</v>
      </c>
      <c r="B222" s="3529"/>
      <c r="C222" s="3530"/>
      <c r="D222" s="3531"/>
      <c r="E222" s="3531"/>
      <c r="F222" s="3530"/>
      <c r="G222" s="3530"/>
      <c r="H222" s="3530"/>
      <c r="I222" s="3530"/>
      <c r="J222" s="3530"/>
      <c r="K222" s="3530"/>
      <c r="L222" s="3530"/>
      <c r="M222" s="3539"/>
    </row>
    <row r="223" spans="1:13" s="3533" customFormat="1" ht="15">
      <c r="A223" s="3526">
        <v>222</v>
      </c>
      <c r="B223" s="3529"/>
      <c r="C223" s="3530"/>
      <c r="D223" s="3531"/>
      <c r="E223" s="3531"/>
      <c r="F223" s="3530"/>
      <c r="G223" s="3530"/>
      <c r="H223" s="3530"/>
      <c r="I223" s="3530"/>
      <c r="J223" s="3530"/>
      <c r="K223" s="3530"/>
      <c r="L223" s="3530"/>
      <c r="M223" s="3539"/>
    </row>
    <row r="224" spans="1:13" s="3533" customFormat="1" ht="15">
      <c r="A224" s="3526">
        <v>223</v>
      </c>
      <c r="B224" s="3529"/>
      <c r="C224" s="3530"/>
      <c r="D224" s="3531"/>
      <c r="E224" s="3531"/>
      <c r="F224" s="3530"/>
      <c r="G224" s="3530"/>
      <c r="H224" s="3530"/>
      <c r="I224" s="3530"/>
      <c r="J224" s="3530"/>
      <c r="K224" s="3530"/>
      <c r="L224" s="3530"/>
      <c r="M224" s="3539"/>
    </row>
    <row r="225" spans="1:13" s="3533" customFormat="1" ht="15">
      <c r="A225" s="3526">
        <v>224</v>
      </c>
      <c r="B225" s="3529"/>
      <c r="C225" s="3530"/>
      <c r="D225" s="3531"/>
      <c r="E225" s="3531"/>
      <c r="F225" s="3530"/>
      <c r="G225" s="3530"/>
      <c r="H225" s="3530"/>
      <c r="I225" s="3530"/>
      <c r="J225" s="3530"/>
      <c r="K225" s="3530"/>
      <c r="L225" s="3530"/>
      <c r="M225" s="3539"/>
    </row>
    <row r="226" spans="1:13" s="3533" customFormat="1" ht="15">
      <c r="A226" s="3526">
        <v>225</v>
      </c>
      <c r="B226" s="3529"/>
      <c r="C226" s="3530"/>
      <c r="D226" s="3531"/>
      <c r="E226" s="3531"/>
      <c r="F226" s="3530"/>
      <c r="G226" s="3530"/>
      <c r="H226" s="3530"/>
      <c r="I226" s="3530"/>
      <c r="J226" s="3530"/>
      <c r="K226" s="3530"/>
      <c r="L226" s="3530"/>
      <c r="M226" s="3539"/>
    </row>
    <row r="227" spans="1:13" s="3533" customFormat="1" ht="15">
      <c r="A227" s="3526">
        <v>226</v>
      </c>
      <c r="B227" s="3529"/>
      <c r="C227" s="3530"/>
      <c r="D227" s="3531"/>
      <c r="E227" s="3531"/>
      <c r="F227" s="3530"/>
      <c r="G227" s="3530"/>
      <c r="H227" s="3530"/>
      <c r="I227" s="3530"/>
      <c r="J227" s="3530"/>
      <c r="K227" s="3530"/>
      <c r="L227" s="3530"/>
      <c r="M227" s="3539"/>
    </row>
    <row r="228" spans="1:13" s="3533" customFormat="1" ht="15">
      <c r="A228" s="3526">
        <v>227</v>
      </c>
      <c r="B228" s="3529"/>
      <c r="C228" s="3530"/>
      <c r="D228" s="3531"/>
      <c r="E228" s="3531"/>
      <c r="F228" s="3530"/>
      <c r="G228" s="3530"/>
      <c r="H228" s="3530"/>
      <c r="I228" s="3530"/>
      <c r="J228" s="3530"/>
      <c r="K228" s="3530"/>
      <c r="L228" s="3530"/>
      <c r="M228" s="3539"/>
    </row>
    <row r="229" spans="1:13" s="3533" customFormat="1" ht="15">
      <c r="A229" s="3526">
        <v>228</v>
      </c>
      <c r="B229" s="3529"/>
      <c r="C229" s="3530"/>
      <c r="D229" s="3531"/>
      <c r="E229" s="3531"/>
      <c r="F229" s="3530"/>
      <c r="G229" s="3530"/>
      <c r="H229" s="3530"/>
      <c r="I229" s="3530"/>
      <c r="J229" s="3530"/>
      <c r="K229" s="3530"/>
      <c r="L229" s="3530"/>
      <c r="M229" s="3539"/>
    </row>
    <row r="230" spans="1:13" s="3533" customFormat="1" ht="15">
      <c r="A230" s="3526">
        <v>229</v>
      </c>
      <c r="B230" s="3529"/>
      <c r="C230" s="3530"/>
      <c r="D230" s="3531"/>
      <c r="E230" s="3531"/>
      <c r="F230" s="3530"/>
      <c r="G230" s="3530"/>
      <c r="H230" s="3530"/>
      <c r="I230" s="3530"/>
      <c r="J230" s="3530"/>
      <c r="K230" s="3530"/>
      <c r="L230" s="3530"/>
      <c r="M230" s="3539"/>
    </row>
    <row r="231" spans="1:13" s="3533" customFormat="1" ht="15">
      <c r="A231" s="3526">
        <v>230</v>
      </c>
      <c r="B231" s="3529"/>
      <c r="C231" s="3530"/>
      <c r="D231" s="3531"/>
      <c r="E231" s="3531"/>
      <c r="F231" s="3530"/>
      <c r="G231" s="3530"/>
      <c r="H231" s="3530"/>
      <c r="I231" s="3530"/>
      <c r="J231" s="3530"/>
      <c r="K231" s="3530"/>
      <c r="L231" s="3530"/>
      <c r="M231" s="3539"/>
    </row>
    <row r="232" spans="1:13" s="3533" customFormat="1" ht="15">
      <c r="A232" s="3526">
        <v>231</v>
      </c>
      <c r="B232" s="3529"/>
      <c r="C232" s="3530"/>
      <c r="D232" s="3531"/>
      <c r="E232" s="3531"/>
      <c r="F232" s="3530"/>
      <c r="G232" s="3530"/>
      <c r="H232" s="3530"/>
      <c r="I232" s="3530"/>
      <c r="J232" s="3530"/>
      <c r="K232" s="3530"/>
      <c r="L232" s="3530"/>
      <c r="M232" s="3539"/>
    </row>
    <row r="233" spans="1:13" s="3533" customFormat="1" ht="15">
      <c r="A233" s="3526">
        <v>232</v>
      </c>
      <c r="B233" s="3529"/>
      <c r="C233" s="3530"/>
      <c r="D233" s="3531"/>
      <c r="E233" s="3531"/>
      <c r="F233" s="3530"/>
      <c r="G233" s="3530"/>
      <c r="H233" s="3530"/>
      <c r="I233" s="3530"/>
      <c r="J233" s="3530"/>
      <c r="K233" s="3530"/>
      <c r="L233" s="3530"/>
      <c r="M233" s="3539"/>
    </row>
    <row r="234" spans="1:13" s="3533" customFormat="1" ht="15">
      <c r="A234" s="3526">
        <v>233</v>
      </c>
      <c r="B234" s="3529"/>
      <c r="C234" s="3530"/>
      <c r="D234" s="3531"/>
      <c r="E234" s="3531"/>
      <c r="F234" s="3530"/>
      <c r="G234" s="3530"/>
      <c r="H234" s="3530"/>
      <c r="I234" s="3530"/>
      <c r="J234" s="3530"/>
      <c r="K234" s="3530"/>
      <c r="L234" s="3530"/>
      <c r="M234" s="3539"/>
    </row>
    <row r="235" spans="1:13" s="3533" customFormat="1" ht="15">
      <c r="A235" s="3526">
        <v>234</v>
      </c>
      <c r="B235" s="3529"/>
      <c r="C235" s="3530"/>
      <c r="D235" s="3531"/>
      <c r="E235" s="3531"/>
      <c r="F235" s="3530"/>
      <c r="G235" s="3530"/>
      <c r="H235" s="3530"/>
      <c r="I235" s="3530"/>
      <c r="J235" s="3530"/>
      <c r="K235" s="3530"/>
      <c r="L235" s="3530"/>
      <c r="M235" s="3539"/>
    </row>
    <row r="236" spans="1:13" s="3533" customFormat="1" ht="15">
      <c r="A236" s="3526">
        <v>235</v>
      </c>
      <c r="B236" s="3529"/>
      <c r="C236" s="3530"/>
      <c r="D236" s="3531"/>
      <c r="E236" s="3531"/>
      <c r="F236" s="3530"/>
      <c r="G236" s="3530"/>
      <c r="H236" s="3530"/>
      <c r="I236" s="3530"/>
      <c r="J236" s="3530"/>
      <c r="K236" s="3530"/>
      <c r="L236" s="3530"/>
      <c r="M236" s="3539"/>
    </row>
    <row r="237" spans="1:13" s="3533" customFormat="1" ht="15">
      <c r="A237" s="3526">
        <v>236</v>
      </c>
      <c r="B237" s="3529"/>
      <c r="C237" s="3530"/>
      <c r="D237" s="3531"/>
      <c r="E237" s="3531"/>
      <c r="F237" s="3530"/>
      <c r="G237" s="3530"/>
      <c r="H237" s="3530"/>
      <c r="I237" s="3530"/>
      <c r="J237" s="3530"/>
      <c r="K237" s="3530"/>
      <c r="L237" s="3530"/>
      <c r="M237" s="3539"/>
    </row>
    <row r="238" spans="1:13" s="3533" customFormat="1" ht="15">
      <c r="A238" s="3526">
        <v>237</v>
      </c>
      <c r="B238" s="3529"/>
      <c r="C238" s="3530"/>
      <c r="D238" s="3531"/>
      <c r="E238" s="3531"/>
      <c r="F238" s="3530"/>
      <c r="G238" s="3530"/>
      <c r="H238" s="3530"/>
      <c r="I238" s="3530"/>
      <c r="J238" s="3530"/>
      <c r="K238" s="3530"/>
      <c r="L238" s="3530"/>
      <c r="M238" s="3539"/>
    </row>
    <row r="239" spans="1:13" s="3533" customFormat="1" ht="15">
      <c r="A239" s="3526">
        <v>238</v>
      </c>
      <c r="B239" s="3529"/>
      <c r="C239" s="3530"/>
      <c r="D239" s="3531"/>
      <c r="E239" s="3531"/>
      <c r="F239" s="3530"/>
      <c r="G239" s="3530"/>
      <c r="H239" s="3530"/>
      <c r="I239" s="3530"/>
      <c r="J239" s="3530"/>
      <c r="K239" s="3530"/>
      <c r="L239" s="3530"/>
      <c r="M239" s="3539"/>
    </row>
    <row r="240" spans="1:13" s="3533" customFormat="1" ht="15">
      <c r="A240" s="3526">
        <v>239</v>
      </c>
      <c r="B240" s="3529"/>
      <c r="C240" s="3530"/>
      <c r="D240" s="3531"/>
      <c r="E240" s="3531"/>
      <c r="F240" s="3530"/>
      <c r="G240" s="3530"/>
      <c r="H240" s="3530"/>
      <c r="I240" s="3530"/>
      <c r="J240" s="3530"/>
      <c r="K240" s="3530"/>
      <c r="L240" s="3530"/>
      <c r="M240" s="3539"/>
    </row>
    <row r="241" spans="1:13" s="3533" customFormat="1" ht="15">
      <c r="A241" s="3526">
        <v>240</v>
      </c>
      <c r="B241" s="3529"/>
      <c r="C241" s="3530"/>
      <c r="D241" s="3531"/>
      <c r="E241" s="3531"/>
      <c r="F241" s="3530"/>
      <c r="G241" s="3530"/>
      <c r="H241" s="3530"/>
      <c r="I241" s="3530"/>
      <c r="J241" s="3530"/>
      <c r="K241" s="3530"/>
      <c r="L241" s="3530"/>
      <c r="M241" s="3539"/>
    </row>
    <row r="242" spans="1:13" s="3533" customFormat="1" ht="15">
      <c r="A242" s="3526">
        <v>241</v>
      </c>
      <c r="B242" s="3529"/>
      <c r="C242" s="3530"/>
      <c r="D242" s="3531"/>
      <c r="E242" s="3531"/>
      <c r="F242" s="3530"/>
      <c r="G242" s="3530"/>
      <c r="H242" s="3530"/>
      <c r="I242" s="3530"/>
      <c r="J242" s="3530"/>
      <c r="K242" s="3530"/>
      <c r="L242" s="3530"/>
      <c r="M242" s="3539"/>
    </row>
    <row r="243" spans="1:13" s="3533" customFormat="1" ht="15">
      <c r="A243" s="3526">
        <v>242</v>
      </c>
      <c r="B243" s="3529"/>
      <c r="C243" s="3530"/>
      <c r="D243" s="3531"/>
      <c r="E243" s="3531"/>
      <c r="F243" s="3530"/>
      <c r="G243" s="3530"/>
      <c r="H243" s="3530"/>
      <c r="I243" s="3530"/>
      <c r="J243" s="3530"/>
      <c r="K243" s="3530"/>
      <c r="L243" s="3530"/>
      <c r="M243" s="3539"/>
    </row>
    <row r="244" spans="1:13" s="3533" customFormat="1" ht="15">
      <c r="A244" s="3526">
        <v>243</v>
      </c>
      <c r="B244" s="3529"/>
      <c r="C244" s="3530"/>
      <c r="D244" s="3531"/>
      <c r="E244" s="3531"/>
      <c r="F244" s="3530"/>
      <c r="G244" s="3530"/>
      <c r="H244" s="3530"/>
      <c r="I244" s="3530"/>
      <c r="J244" s="3530"/>
      <c r="K244" s="3530"/>
      <c r="L244" s="3530"/>
      <c r="M244" s="3539"/>
    </row>
    <row r="245" spans="1:13" s="3533" customFormat="1" ht="15">
      <c r="A245" s="3526">
        <v>244</v>
      </c>
      <c r="B245" s="3529"/>
      <c r="C245" s="3530"/>
      <c r="D245" s="3531"/>
      <c r="E245" s="3531"/>
      <c r="F245" s="3530"/>
      <c r="G245" s="3530"/>
      <c r="H245" s="3530"/>
      <c r="I245" s="3530"/>
      <c r="J245" s="3530"/>
      <c r="K245" s="3530"/>
      <c r="L245" s="3530"/>
      <c r="M245" s="3539"/>
    </row>
    <row r="246" spans="1:13" s="3533" customFormat="1" ht="15">
      <c r="A246" s="3526">
        <v>245</v>
      </c>
      <c r="B246" s="3529"/>
      <c r="C246" s="3530"/>
      <c r="D246" s="3531"/>
      <c r="E246" s="3531"/>
      <c r="F246" s="3530"/>
      <c r="G246" s="3530"/>
      <c r="H246" s="3530"/>
      <c r="I246" s="3530"/>
      <c r="J246" s="3530"/>
      <c r="K246" s="3530"/>
      <c r="L246" s="3530"/>
      <c r="M246" s="3539"/>
    </row>
    <row r="247" spans="1:13" s="3533" customFormat="1" ht="15">
      <c r="A247" s="3526">
        <v>246</v>
      </c>
      <c r="B247" s="3529"/>
      <c r="C247" s="3530"/>
      <c r="D247" s="3531"/>
      <c r="E247" s="3531"/>
      <c r="F247" s="3530"/>
      <c r="G247" s="3530"/>
      <c r="H247" s="3530"/>
      <c r="I247" s="3530"/>
      <c r="J247" s="3530"/>
      <c r="K247" s="3530"/>
      <c r="L247" s="3530"/>
      <c r="M247" s="3539"/>
    </row>
    <row r="248" spans="1:13" s="3533" customFormat="1" ht="15">
      <c r="A248" s="3526">
        <v>247</v>
      </c>
      <c r="B248" s="3529"/>
      <c r="C248" s="3530"/>
      <c r="D248" s="3531"/>
      <c r="E248" s="3531"/>
      <c r="F248" s="3530"/>
      <c r="G248" s="3530"/>
      <c r="H248" s="3530"/>
      <c r="I248" s="3530"/>
      <c r="J248" s="3530"/>
      <c r="K248" s="3530"/>
      <c r="L248" s="3530"/>
      <c r="M248" s="3539"/>
    </row>
    <row r="249" spans="1:13" s="3533" customFormat="1" ht="15">
      <c r="A249" s="3526">
        <v>248</v>
      </c>
      <c r="B249" s="3529"/>
      <c r="C249" s="3530"/>
      <c r="D249" s="3531"/>
      <c r="E249" s="3531"/>
      <c r="F249" s="3530"/>
      <c r="G249" s="3530"/>
      <c r="H249" s="3530"/>
      <c r="I249" s="3530"/>
      <c r="J249" s="3530"/>
      <c r="K249" s="3530"/>
      <c r="L249" s="3530"/>
      <c r="M249" s="3539"/>
    </row>
    <row r="250" spans="1:13" s="3533" customFormat="1" ht="15">
      <c r="A250" s="3526">
        <v>249</v>
      </c>
      <c r="B250" s="3529"/>
      <c r="C250" s="3530"/>
      <c r="D250" s="3531"/>
      <c r="E250" s="3531"/>
      <c r="F250" s="3530"/>
      <c r="G250" s="3530"/>
      <c r="H250" s="3530"/>
      <c r="I250" s="3530"/>
      <c r="J250" s="3530"/>
      <c r="K250" s="3530"/>
      <c r="L250" s="3530"/>
      <c r="M250" s="3539"/>
    </row>
    <row r="251" spans="1:13" s="3533" customFormat="1" ht="15">
      <c r="A251" s="3526">
        <v>250</v>
      </c>
      <c r="B251" s="3529"/>
      <c r="C251" s="3530"/>
      <c r="D251" s="3531"/>
      <c r="E251" s="3531"/>
      <c r="F251" s="3530"/>
      <c r="G251" s="3530"/>
      <c r="H251" s="3530"/>
      <c r="I251" s="3530"/>
      <c r="J251" s="3530"/>
      <c r="K251" s="3530"/>
      <c r="L251" s="3530"/>
      <c r="M251" s="3539"/>
    </row>
    <row r="252" spans="1:13" s="3533" customFormat="1" ht="15">
      <c r="A252" s="3526">
        <v>251</v>
      </c>
      <c r="B252" s="3529"/>
      <c r="C252" s="3530"/>
      <c r="D252" s="3531"/>
      <c r="E252" s="3531"/>
      <c r="F252" s="3530"/>
      <c r="G252" s="3530"/>
      <c r="H252" s="3530"/>
      <c r="I252" s="3530"/>
      <c r="J252" s="3530"/>
      <c r="K252" s="3530"/>
      <c r="L252" s="3530"/>
      <c r="M252" s="3539"/>
    </row>
    <row r="253" spans="1:13" s="3533" customFormat="1" ht="15">
      <c r="A253" s="3526">
        <v>252</v>
      </c>
      <c r="B253" s="3529"/>
      <c r="C253" s="3530"/>
      <c r="D253" s="3531"/>
      <c r="E253" s="3531"/>
      <c r="F253" s="3530"/>
      <c r="G253" s="3530"/>
      <c r="H253" s="3530"/>
      <c r="I253" s="3530"/>
      <c r="J253" s="3530"/>
      <c r="K253" s="3530"/>
      <c r="L253" s="3530"/>
      <c r="M253" s="3539"/>
    </row>
    <row r="254" spans="1:13" s="3533" customFormat="1" ht="15">
      <c r="A254" s="3526">
        <v>253</v>
      </c>
      <c r="B254" s="3529"/>
      <c r="C254" s="3530"/>
      <c r="D254" s="3531"/>
      <c r="E254" s="3531"/>
      <c r="F254" s="3530"/>
      <c r="G254" s="3530"/>
      <c r="H254" s="3530"/>
      <c r="I254" s="3530"/>
      <c r="J254" s="3530"/>
      <c r="K254" s="3530"/>
      <c r="L254" s="3530"/>
      <c r="M254" s="3539"/>
    </row>
    <row r="255" spans="1:13" s="3533" customFormat="1" ht="15">
      <c r="A255" s="3526">
        <v>254</v>
      </c>
      <c r="B255" s="3529"/>
      <c r="C255" s="3530"/>
      <c r="D255" s="3531"/>
      <c r="E255" s="3531"/>
      <c r="F255" s="3530"/>
      <c r="G255" s="3530"/>
      <c r="H255" s="3530"/>
      <c r="I255" s="3530"/>
      <c r="J255" s="3530"/>
      <c r="K255" s="3530"/>
      <c r="L255" s="3530"/>
      <c r="M255" s="3539"/>
    </row>
    <row r="256" spans="1:13" s="3533" customFormat="1" ht="15">
      <c r="A256" s="3526">
        <v>255</v>
      </c>
      <c r="B256" s="3529"/>
      <c r="C256" s="3530"/>
      <c r="D256" s="3531"/>
      <c r="E256" s="3531"/>
      <c r="F256" s="3530"/>
      <c r="G256" s="3530"/>
      <c r="H256" s="3530"/>
      <c r="I256" s="3530"/>
      <c r="J256" s="3530"/>
      <c r="K256" s="3530"/>
      <c r="L256" s="3530"/>
      <c r="M256" s="3539"/>
    </row>
    <row r="257" spans="1:13" s="3533" customFormat="1" ht="15">
      <c r="A257" s="3526">
        <v>256</v>
      </c>
      <c r="B257" s="3529"/>
      <c r="C257" s="3530"/>
      <c r="D257" s="3531"/>
      <c r="E257" s="3531"/>
      <c r="F257" s="3530"/>
      <c r="G257" s="3530"/>
      <c r="H257" s="3530"/>
      <c r="I257" s="3530"/>
      <c r="J257" s="3530"/>
      <c r="K257" s="3530"/>
      <c r="L257" s="3530"/>
      <c r="M257" s="3539"/>
    </row>
    <row r="258" spans="1:13" s="3533" customFormat="1" ht="15">
      <c r="A258" s="3526">
        <v>257</v>
      </c>
      <c r="B258" s="3529"/>
      <c r="C258" s="3530"/>
      <c r="D258" s="3531"/>
      <c r="E258" s="3531"/>
      <c r="F258" s="3530"/>
      <c r="G258" s="3530"/>
      <c r="H258" s="3530"/>
      <c r="I258" s="3530"/>
      <c r="J258" s="3530"/>
      <c r="K258" s="3530"/>
      <c r="L258" s="3530"/>
      <c r="M258" s="3539"/>
    </row>
    <row r="259" spans="1:13" s="3533" customFormat="1" ht="15">
      <c r="A259" s="3526">
        <v>258</v>
      </c>
      <c r="B259" s="3529"/>
      <c r="C259" s="3530"/>
      <c r="D259" s="3531"/>
      <c r="E259" s="3531"/>
      <c r="F259" s="3530"/>
      <c r="G259" s="3530"/>
      <c r="H259" s="3530"/>
      <c r="I259" s="3530"/>
      <c r="J259" s="3530"/>
      <c r="K259" s="3530"/>
      <c r="L259" s="3530"/>
      <c r="M259" s="3539"/>
    </row>
    <row r="260" spans="1:13" s="3533" customFormat="1" ht="15">
      <c r="A260" s="3526">
        <v>259</v>
      </c>
      <c r="B260" s="3529"/>
      <c r="C260" s="3530"/>
      <c r="D260" s="3531"/>
      <c r="E260" s="3531"/>
      <c r="F260" s="3530"/>
      <c r="G260" s="3530"/>
      <c r="H260" s="3530"/>
      <c r="I260" s="3530"/>
      <c r="J260" s="3530"/>
      <c r="K260" s="3530"/>
      <c r="L260" s="3530"/>
      <c r="M260" s="3539"/>
    </row>
    <row r="261" spans="1:13" s="3533" customFormat="1" ht="15">
      <c r="A261" s="3526">
        <v>260</v>
      </c>
      <c r="B261" s="3529"/>
      <c r="C261" s="3530"/>
      <c r="D261" s="3531"/>
      <c r="E261" s="3531"/>
      <c r="F261" s="3530"/>
      <c r="G261" s="3530"/>
      <c r="H261" s="3530"/>
      <c r="I261" s="3530"/>
      <c r="J261" s="3530"/>
      <c r="K261" s="3530"/>
      <c r="L261" s="3530"/>
      <c r="M261" s="3539"/>
    </row>
    <row r="262" spans="1:13" s="3533" customFormat="1" ht="15">
      <c r="A262" s="3526">
        <v>261</v>
      </c>
      <c r="B262" s="3529"/>
      <c r="C262" s="3530"/>
      <c r="D262" s="3531"/>
      <c r="E262" s="3531"/>
      <c r="F262" s="3530"/>
      <c r="G262" s="3530"/>
      <c r="H262" s="3530"/>
      <c r="I262" s="3530"/>
      <c r="J262" s="3530"/>
      <c r="K262" s="3530"/>
      <c r="L262" s="3530"/>
      <c r="M262" s="3539"/>
    </row>
    <row r="263" spans="1:13" s="3533" customFormat="1" ht="15">
      <c r="A263" s="3526">
        <v>262</v>
      </c>
      <c r="B263" s="3529"/>
      <c r="C263" s="3530"/>
      <c r="D263" s="3531"/>
      <c r="E263" s="3531"/>
      <c r="F263" s="3530"/>
      <c r="G263" s="3530"/>
      <c r="H263" s="3530"/>
      <c r="I263" s="3530"/>
      <c r="J263" s="3530"/>
      <c r="K263" s="3530"/>
      <c r="L263" s="3530"/>
      <c r="M263" s="3539"/>
    </row>
    <row r="264" spans="1:13" s="3533" customFormat="1" ht="15">
      <c r="A264" s="3526">
        <v>263</v>
      </c>
      <c r="B264" s="3529"/>
      <c r="C264" s="3530"/>
      <c r="D264" s="3531"/>
      <c r="E264" s="3531"/>
      <c r="F264" s="3530"/>
      <c r="G264" s="3530"/>
      <c r="H264" s="3530"/>
      <c r="I264" s="3530"/>
      <c r="J264" s="3530"/>
      <c r="K264" s="3530"/>
      <c r="L264" s="3530"/>
      <c r="M264" s="3539"/>
    </row>
    <row r="265" spans="1:13" s="3533" customFormat="1" ht="15">
      <c r="A265" s="3526">
        <v>264</v>
      </c>
      <c r="B265" s="3529"/>
      <c r="C265" s="3530"/>
      <c r="D265" s="3531"/>
      <c r="E265" s="3531"/>
      <c r="F265" s="3530"/>
      <c r="G265" s="3530"/>
      <c r="H265" s="3530"/>
      <c r="I265" s="3530"/>
      <c r="J265" s="3530"/>
      <c r="K265" s="3530"/>
      <c r="L265" s="3530"/>
      <c r="M265" s="3539"/>
    </row>
    <row r="266" spans="1:13" s="3533" customFormat="1" ht="15">
      <c r="A266" s="3526">
        <v>265</v>
      </c>
      <c r="B266" s="3529"/>
      <c r="C266" s="3530"/>
      <c r="D266" s="3531"/>
      <c r="E266" s="3531"/>
      <c r="F266" s="3530"/>
      <c r="G266" s="3530"/>
      <c r="H266" s="3530"/>
      <c r="I266" s="3530"/>
      <c r="J266" s="3530"/>
      <c r="K266" s="3530"/>
      <c r="L266" s="3530"/>
      <c r="M266" s="3539"/>
    </row>
    <row r="267" spans="1:13" s="3533" customFormat="1" ht="15">
      <c r="A267" s="3526">
        <v>266</v>
      </c>
      <c r="B267" s="3529"/>
      <c r="C267" s="3530"/>
      <c r="D267" s="3531"/>
      <c r="E267" s="3531"/>
      <c r="F267" s="3530"/>
      <c r="G267" s="3530"/>
      <c r="H267" s="3530"/>
      <c r="I267" s="3530"/>
      <c r="J267" s="3530"/>
      <c r="K267" s="3530"/>
      <c r="L267" s="3530"/>
      <c r="M267" s="3539"/>
    </row>
    <row r="268" spans="1:13" s="3533" customFormat="1" ht="15">
      <c r="A268" s="3526">
        <v>267</v>
      </c>
      <c r="B268" s="3529"/>
      <c r="C268" s="3530"/>
      <c r="D268" s="3531"/>
      <c r="E268" s="3531"/>
      <c r="F268" s="3530"/>
      <c r="G268" s="3530"/>
      <c r="H268" s="3530"/>
      <c r="I268" s="3530"/>
      <c r="J268" s="3530"/>
      <c r="K268" s="3530"/>
      <c r="L268" s="3530"/>
      <c r="M268" s="3539"/>
    </row>
    <row r="269" spans="1:13" s="3533" customFormat="1" ht="15">
      <c r="A269" s="3526">
        <v>268</v>
      </c>
      <c r="B269" s="3529"/>
      <c r="C269" s="3530"/>
      <c r="D269" s="3531"/>
      <c r="E269" s="3531"/>
      <c r="F269" s="3530"/>
      <c r="G269" s="3530"/>
      <c r="H269" s="3530"/>
      <c r="I269" s="3530"/>
      <c r="J269" s="3530"/>
      <c r="K269" s="3530"/>
      <c r="L269" s="3530"/>
      <c r="M269" s="3539"/>
    </row>
    <row r="270" spans="1:13" s="3533" customFormat="1" ht="15">
      <c r="A270" s="3526">
        <v>269</v>
      </c>
      <c r="B270" s="3529"/>
      <c r="C270" s="3530"/>
      <c r="D270" s="3531"/>
      <c r="E270" s="3531"/>
      <c r="F270" s="3530"/>
      <c r="G270" s="3530"/>
      <c r="H270" s="3530"/>
      <c r="I270" s="3530"/>
      <c r="J270" s="3530"/>
      <c r="K270" s="3530"/>
      <c r="L270" s="3530"/>
      <c r="M270" s="3539"/>
    </row>
    <row r="271" spans="1:13" s="3533" customFormat="1" ht="15">
      <c r="A271" s="3526">
        <v>270</v>
      </c>
      <c r="B271" s="3529"/>
      <c r="C271" s="3530"/>
      <c r="D271" s="3531"/>
      <c r="E271" s="3531"/>
      <c r="F271" s="3530"/>
      <c r="G271" s="3530"/>
      <c r="H271" s="3530"/>
      <c r="I271" s="3530"/>
      <c r="J271" s="3530"/>
      <c r="K271" s="3530"/>
      <c r="L271" s="3530"/>
      <c r="M271" s="3539"/>
    </row>
    <row r="272" spans="1:13" s="3533" customFormat="1" ht="15">
      <c r="A272" s="3526">
        <v>271</v>
      </c>
      <c r="B272" s="3529"/>
      <c r="C272" s="3530"/>
      <c r="D272" s="3531"/>
      <c r="E272" s="3531"/>
      <c r="F272" s="3530"/>
      <c r="G272" s="3530"/>
      <c r="H272" s="3530"/>
      <c r="I272" s="3530"/>
      <c r="J272" s="3530"/>
      <c r="K272" s="3530"/>
      <c r="L272" s="3530"/>
      <c r="M272" s="3539"/>
    </row>
    <row r="273" spans="1:13" s="3533" customFormat="1" ht="15">
      <c r="A273" s="3526">
        <v>272</v>
      </c>
      <c r="B273" s="3529"/>
      <c r="C273" s="3530"/>
      <c r="D273" s="3531"/>
      <c r="E273" s="3531"/>
      <c r="F273" s="3530"/>
      <c r="G273" s="3530"/>
      <c r="H273" s="3530"/>
      <c r="I273" s="3530"/>
      <c r="J273" s="3530"/>
      <c r="K273" s="3530"/>
      <c r="L273" s="3530"/>
      <c r="M273" s="3539"/>
    </row>
    <row r="274" spans="1:13" s="3533" customFormat="1" ht="15">
      <c r="A274" s="3526">
        <v>273</v>
      </c>
      <c r="B274" s="3529"/>
      <c r="C274" s="3530"/>
      <c r="D274" s="3531"/>
      <c r="E274" s="3531"/>
      <c r="F274" s="3530"/>
      <c r="G274" s="3530"/>
      <c r="H274" s="3530"/>
      <c r="I274" s="3530"/>
      <c r="J274" s="3530"/>
      <c r="K274" s="3530"/>
      <c r="L274" s="3530"/>
      <c r="M274" s="3539"/>
    </row>
    <row r="275" spans="1:13" s="3533" customFormat="1" ht="15">
      <c r="A275" s="3526">
        <v>274</v>
      </c>
      <c r="B275" s="3529"/>
      <c r="C275" s="3530"/>
      <c r="D275" s="3531"/>
      <c r="E275" s="3531"/>
      <c r="F275" s="3530"/>
      <c r="G275" s="3530"/>
      <c r="H275" s="3530"/>
      <c r="I275" s="3530"/>
      <c r="J275" s="3530"/>
      <c r="K275" s="3530"/>
      <c r="L275" s="3530"/>
      <c r="M275" s="3539"/>
    </row>
    <row r="276" spans="1:13" s="3533" customFormat="1" ht="15">
      <c r="A276" s="3526">
        <v>275</v>
      </c>
      <c r="B276" s="3529"/>
      <c r="C276" s="3530"/>
      <c r="D276" s="3531"/>
      <c r="E276" s="3531"/>
      <c r="F276" s="3530"/>
      <c r="G276" s="3530"/>
      <c r="H276" s="3530"/>
      <c r="I276" s="3530"/>
      <c r="J276" s="3530"/>
      <c r="K276" s="3530"/>
      <c r="L276" s="3530"/>
      <c r="M276" s="3539"/>
    </row>
    <row r="277" spans="1:13" s="3533" customFormat="1" ht="15">
      <c r="A277" s="3526">
        <v>276</v>
      </c>
      <c r="B277" s="3529"/>
      <c r="C277" s="3530"/>
      <c r="D277" s="3531"/>
      <c r="E277" s="3531"/>
      <c r="F277" s="3530"/>
      <c r="G277" s="3530"/>
      <c r="H277" s="3530"/>
      <c r="I277" s="3530"/>
      <c r="J277" s="3530"/>
      <c r="K277" s="3530"/>
      <c r="L277" s="3530"/>
      <c r="M277" s="3539"/>
    </row>
    <row r="278" spans="1:13" s="3533" customFormat="1" ht="15">
      <c r="A278" s="3526">
        <v>277</v>
      </c>
      <c r="B278" s="3529"/>
      <c r="C278" s="3530"/>
      <c r="D278" s="3531"/>
      <c r="E278" s="3531"/>
      <c r="F278" s="3530"/>
      <c r="G278" s="3530"/>
      <c r="H278" s="3530"/>
      <c r="I278" s="3530"/>
      <c r="J278" s="3530"/>
      <c r="K278" s="3530"/>
      <c r="L278" s="3530"/>
      <c r="M278" s="3539"/>
    </row>
    <row r="279" spans="1:13" s="3533" customFormat="1" ht="15">
      <c r="A279" s="3526">
        <v>278</v>
      </c>
      <c r="B279" s="3529"/>
      <c r="C279" s="3530"/>
      <c r="D279" s="3531"/>
      <c r="E279" s="3531"/>
      <c r="F279" s="3530"/>
      <c r="G279" s="3530"/>
      <c r="H279" s="3530"/>
      <c r="I279" s="3530"/>
      <c r="J279" s="3530"/>
      <c r="K279" s="3530"/>
      <c r="L279" s="3530"/>
      <c r="M279" s="3539"/>
    </row>
    <row r="280" spans="1:13" s="3533" customFormat="1" ht="15">
      <c r="A280" s="3526">
        <v>279</v>
      </c>
      <c r="B280" s="3529"/>
      <c r="C280" s="3530"/>
      <c r="D280" s="3531"/>
      <c r="E280" s="3531"/>
      <c r="F280" s="3530"/>
      <c r="G280" s="3530"/>
      <c r="H280" s="3530"/>
      <c r="I280" s="3530"/>
      <c r="J280" s="3530"/>
      <c r="K280" s="3530"/>
      <c r="L280" s="3530"/>
      <c r="M280" s="3539"/>
    </row>
    <row r="281" spans="1:13" s="3533" customFormat="1" ht="15">
      <c r="A281" s="3526">
        <v>280</v>
      </c>
      <c r="B281" s="3529"/>
      <c r="C281" s="3530"/>
      <c r="D281" s="3531"/>
      <c r="E281" s="3531"/>
      <c r="F281" s="3530"/>
      <c r="G281" s="3530"/>
      <c r="H281" s="3530"/>
      <c r="I281" s="3530"/>
      <c r="J281" s="3530"/>
      <c r="K281" s="3530"/>
      <c r="L281" s="3530"/>
      <c r="M281" s="3539"/>
    </row>
    <row r="282" spans="1:13" s="3533" customFormat="1" ht="15">
      <c r="A282" s="3526">
        <v>281</v>
      </c>
      <c r="B282" s="3529"/>
      <c r="C282" s="3530"/>
      <c r="D282" s="3531"/>
      <c r="E282" s="3531"/>
      <c r="F282" s="3530"/>
      <c r="G282" s="3530"/>
      <c r="H282" s="3530"/>
      <c r="I282" s="3530"/>
      <c r="J282" s="3530"/>
      <c r="K282" s="3530"/>
      <c r="L282" s="3530"/>
      <c r="M282" s="3539"/>
    </row>
    <row r="283" spans="1:13" s="3533" customFormat="1" ht="15">
      <c r="A283" s="3526">
        <v>282</v>
      </c>
      <c r="B283" s="3529"/>
      <c r="C283" s="3530"/>
      <c r="D283" s="3531"/>
      <c r="E283" s="3531"/>
      <c r="F283" s="3530"/>
      <c r="G283" s="3530"/>
      <c r="H283" s="3530"/>
      <c r="I283" s="3530"/>
      <c r="J283" s="3530"/>
      <c r="K283" s="3530"/>
      <c r="L283" s="3530"/>
      <c r="M283" s="3539"/>
    </row>
    <row r="284" spans="1:13" s="3533" customFormat="1" ht="15">
      <c r="A284" s="3526">
        <v>283</v>
      </c>
      <c r="B284" s="3529"/>
      <c r="C284" s="3530"/>
      <c r="D284" s="3531"/>
      <c r="E284" s="3531"/>
      <c r="F284" s="3530"/>
      <c r="G284" s="3530"/>
      <c r="H284" s="3530"/>
      <c r="I284" s="3530"/>
      <c r="J284" s="3530"/>
      <c r="K284" s="3530"/>
      <c r="L284" s="3530"/>
      <c r="M284" s="3539"/>
    </row>
    <row r="285" spans="1:13" s="3533" customFormat="1" ht="15">
      <c r="A285" s="3526">
        <v>284</v>
      </c>
      <c r="B285" s="3529"/>
      <c r="C285" s="3530"/>
      <c r="D285" s="3531"/>
      <c r="E285" s="3531"/>
      <c r="F285" s="3530"/>
      <c r="G285" s="3530"/>
      <c r="H285" s="3530"/>
      <c r="I285" s="3530"/>
      <c r="J285" s="3530"/>
      <c r="K285" s="3530"/>
      <c r="L285" s="3530"/>
      <c r="M285" s="3539"/>
    </row>
    <row r="286" spans="1:13" s="3533" customFormat="1" ht="15">
      <c r="A286" s="3526">
        <v>285</v>
      </c>
      <c r="B286" s="3529"/>
      <c r="C286" s="3530"/>
      <c r="D286" s="3531"/>
      <c r="E286" s="3531"/>
      <c r="F286" s="3530"/>
      <c r="G286" s="3530"/>
      <c r="H286" s="3530"/>
      <c r="I286" s="3530"/>
      <c r="J286" s="3530"/>
      <c r="K286" s="3530"/>
      <c r="L286" s="3530"/>
      <c r="M286" s="3539"/>
    </row>
    <row r="287" spans="1:13" s="3533" customFormat="1" ht="15">
      <c r="A287" s="3526">
        <v>286</v>
      </c>
      <c r="B287" s="3529"/>
      <c r="C287" s="3530"/>
      <c r="D287" s="3531"/>
      <c r="E287" s="3531"/>
      <c r="F287" s="3530"/>
      <c r="G287" s="3530"/>
      <c r="H287" s="3530"/>
      <c r="I287" s="3530"/>
      <c r="J287" s="3530"/>
      <c r="K287" s="3530"/>
      <c r="L287" s="3530"/>
      <c r="M287" s="3539"/>
    </row>
    <row r="288" spans="1:13" s="3533" customFormat="1" ht="15">
      <c r="A288" s="3526">
        <v>287</v>
      </c>
      <c r="B288" s="3529"/>
      <c r="C288" s="3530"/>
      <c r="D288" s="3531"/>
      <c r="E288" s="3531"/>
      <c r="F288" s="3530"/>
      <c r="G288" s="3530"/>
      <c r="H288" s="3530"/>
      <c r="I288" s="3530"/>
      <c r="J288" s="3530"/>
      <c r="K288" s="3530"/>
      <c r="L288" s="3530"/>
      <c r="M288" s="3539"/>
    </row>
    <row r="289" spans="1:13" s="3533" customFormat="1" ht="15">
      <c r="A289" s="3526">
        <v>288</v>
      </c>
      <c r="B289" s="3529"/>
      <c r="C289" s="3530"/>
      <c r="D289" s="3531"/>
      <c r="E289" s="3531"/>
      <c r="F289" s="3530"/>
      <c r="G289" s="3530"/>
      <c r="H289" s="3530"/>
      <c r="I289" s="3530"/>
      <c r="J289" s="3530"/>
      <c r="K289" s="3530"/>
      <c r="L289" s="3530"/>
      <c r="M289" s="3539"/>
    </row>
    <row r="290" spans="1:13" s="3533" customFormat="1" ht="15">
      <c r="A290" s="3526">
        <v>289</v>
      </c>
      <c r="B290" s="3529"/>
      <c r="C290" s="3530"/>
      <c r="D290" s="3531"/>
      <c r="E290" s="3531"/>
      <c r="F290" s="3530"/>
      <c r="G290" s="3530"/>
      <c r="H290" s="3530"/>
      <c r="I290" s="3530"/>
      <c r="J290" s="3530"/>
      <c r="K290" s="3530"/>
      <c r="L290" s="3530"/>
      <c r="M290" s="3539"/>
    </row>
    <row r="291" spans="1:13" s="3533" customFormat="1" ht="15">
      <c r="A291" s="3526">
        <v>290</v>
      </c>
      <c r="B291" s="3529"/>
      <c r="C291" s="3530"/>
      <c r="D291" s="3531"/>
      <c r="E291" s="3531"/>
      <c r="F291" s="3530"/>
      <c r="G291" s="3530"/>
      <c r="H291" s="3530"/>
      <c r="I291" s="3530"/>
      <c r="J291" s="3530"/>
      <c r="K291" s="3530"/>
      <c r="L291" s="3530"/>
      <c r="M291" s="3539"/>
    </row>
    <row r="292" spans="1:13" s="3533" customFormat="1" ht="15">
      <c r="A292" s="3526">
        <v>291</v>
      </c>
      <c r="B292" s="3529"/>
      <c r="C292" s="3530"/>
      <c r="D292" s="3531"/>
      <c r="E292" s="3531"/>
      <c r="F292" s="3530"/>
      <c r="G292" s="3530"/>
      <c r="H292" s="3530"/>
      <c r="I292" s="3530"/>
      <c r="J292" s="3530"/>
      <c r="K292" s="3530"/>
      <c r="L292" s="3530"/>
      <c r="M292" s="3539"/>
    </row>
    <row r="293" spans="1:13" s="3533" customFormat="1" ht="15">
      <c r="A293" s="3526">
        <v>292</v>
      </c>
      <c r="B293" s="3529"/>
      <c r="C293" s="3530"/>
      <c r="D293" s="3531"/>
      <c r="E293" s="3531"/>
      <c r="F293" s="3530"/>
      <c r="G293" s="3530"/>
      <c r="H293" s="3530"/>
      <c r="I293" s="3530"/>
      <c r="J293" s="3530"/>
      <c r="K293" s="3530"/>
      <c r="L293" s="3530"/>
      <c r="M293" s="3539"/>
    </row>
    <row r="294" spans="1:13" s="3533" customFormat="1" ht="15">
      <c r="A294" s="3526">
        <v>293</v>
      </c>
      <c r="B294" s="3529"/>
      <c r="C294" s="3530"/>
      <c r="D294" s="3531"/>
      <c r="E294" s="3531"/>
      <c r="F294" s="3530"/>
      <c r="G294" s="3530"/>
      <c r="H294" s="3530"/>
      <c r="I294" s="3530"/>
      <c r="J294" s="3530"/>
      <c r="K294" s="3530"/>
      <c r="L294" s="3530"/>
      <c r="M294" s="3539"/>
    </row>
    <row r="295" spans="1:13" s="3533" customFormat="1" ht="15">
      <c r="A295" s="3526">
        <v>294</v>
      </c>
      <c r="B295" s="3529"/>
      <c r="C295" s="3530"/>
      <c r="D295" s="3531"/>
      <c r="E295" s="3531"/>
      <c r="F295" s="3530"/>
      <c r="G295" s="3530"/>
      <c r="H295" s="3530"/>
      <c r="I295" s="3530"/>
      <c r="J295" s="3530"/>
      <c r="K295" s="3530"/>
      <c r="L295" s="3530"/>
      <c r="M295" s="3539"/>
    </row>
    <row r="296" spans="1:13" s="3533" customFormat="1" ht="15">
      <c r="A296" s="3526">
        <v>295</v>
      </c>
      <c r="B296" s="3529"/>
      <c r="C296" s="3530"/>
      <c r="D296" s="3531"/>
      <c r="E296" s="3531"/>
      <c r="F296" s="3530"/>
      <c r="G296" s="3530"/>
      <c r="H296" s="3530"/>
      <c r="I296" s="3530"/>
      <c r="J296" s="3530"/>
      <c r="K296" s="3530"/>
      <c r="L296" s="3530"/>
      <c r="M296" s="3539"/>
    </row>
    <row r="297" spans="1:13" s="3533" customFormat="1" ht="15">
      <c r="A297" s="3526">
        <v>296</v>
      </c>
      <c r="B297" s="3529"/>
      <c r="C297" s="3530"/>
      <c r="D297" s="3531"/>
      <c r="E297" s="3531"/>
      <c r="F297" s="3530"/>
      <c r="G297" s="3530"/>
      <c r="H297" s="3530"/>
      <c r="I297" s="3530"/>
      <c r="J297" s="3530"/>
      <c r="K297" s="3530"/>
      <c r="L297" s="3530"/>
      <c r="M297" s="3539"/>
    </row>
    <row r="298" spans="1:13" s="3533" customFormat="1" ht="15">
      <c r="A298" s="3526">
        <v>297</v>
      </c>
      <c r="B298" s="3529"/>
      <c r="C298" s="3530"/>
      <c r="D298" s="3531"/>
      <c r="E298" s="3531"/>
      <c r="F298" s="3530"/>
      <c r="G298" s="3530"/>
      <c r="H298" s="3530"/>
      <c r="I298" s="3530"/>
      <c r="J298" s="3530"/>
      <c r="K298" s="3530"/>
      <c r="L298" s="3530"/>
      <c r="M298" s="3539"/>
    </row>
    <row r="299" spans="1:13" s="3533" customFormat="1" ht="15">
      <c r="A299" s="3526">
        <v>298</v>
      </c>
      <c r="B299" s="3529"/>
      <c r="C299" s="3530"/>
      <c r="D299" s="3531"/>
      <c r="E299" s="3531"/>
      <c r="F299" s="3530"/>
      <c r="G299" s="3530"/>
      <c r="H299" s="3530"/>
      <c r="I299" s="3530"/>
      <c r="J299" s="3530"/>
      <c r="K299" s="3530"/>
      <c r="L299" s="3530"/>
      <c r="M299" s="3539"/>
    </row>
    <row r="300" spans="1:13" s="3533" customFormat="1" ht="15">
      <c r="A300" s="3526">
        <v>299</v>
      </c>
      <c r="B300" s="3529"/>
      <c r="C300" s="3530"/>
      <c r="D300" s="3531"/>
      <c r="E300" s="3531"/>
      <c r="F300" s="3530"/>
      <c r="G300" s="3530"/>
      <c r="H300" s="3530"/>
      <c r="I300" s="3530"/>
      <c r="J300" s="3530"/>
      <c r="K300" s="3530"/>
      <c r="L300" s="3530"/>
      <c r="M300" s="3539"/>
    </row>
    <row r="301" spans="1:13" s="3533" customFormat="1" ht="15">
      <c r="A301" s="3526">
        <v>300</v>
      </c>
      <c r="B301" s="3529"/>
      <c r="C301" s="3530"/>
      <c r="D301" s="3531"/>
      <c r="E301" s="3531"/>
      <c r="F301" s="3530"/>
      <c r="G301" s="3530"/>
      <c r="H301" s="3530"/>
      <c r="I301" s="3530"/>
      <c r="J301" s="3530"/>
      <c r="K301" s="3530"/>
      <c r="L301" s="3530"/>
      <c r="M301" s="3539"/>
    </row>
    <row r="302" spans="1:13" s="3533" customFormat="1" ht="15">
      <c r="A302" s="3526">
        <v>301</v>
      </c>
      <c r="B302" s="3529"/>
      <c r="C302" s="3530"/>
      <c r="D302" s="3531"/>
      <c r="E302" s="3531"/>
      <c r="F302" s="3530"/>
      <c r="G302" s="3530"/>
      <c r="H302" s="3530"/>
      <c r="I302" s="3530"/>
      <c r="J302" s="3530"/>
      <c r="K302" s="3530"/>
      <c r="L302" s="3530"/>
      <c r="M302" s="3539"/>
    </row>
    <row r="303" spans="1:13" s="3533" customFormat="1" ht="15">
      <c r="A303" s="3526">
        <v>302</v>
      </c>
      <c r="B303" s="3529"/>
      <c r="C303" s="3530"/>
      <c r="D303" s="3531"/>
      <c r="E303" s="3531"/>
      <c r="F303" s="3530"/>
      <c r="G303" s="3530"/>
      <c r="H303" s="3530"/>
      <c r="I303" s="3530"/>
      <c r="J303" s="3530"/>
      <c r="K303" s="3530"/>
      <c r="L303" s="3530"/>
      <c r="M303" s="3539"/>
    </row>
    <row r="304" spans="1:13" s="3533" customFormat="1" ht="15">
      <c r="A304" s="3526">
        <v>303</v>
      </c>
      <c r="B304" s="3529"/>
      <c r="C304" s="3530"/>
      <c r="D304" s="3531"/>
      <c r="E304" s="3531"/>
      <c r="F304" s="3530"/>
      <c r="G304" s="3530"/>
      <c r="H304" s="3530"/>
      <c r="I304" s="3530"/>
      <c r="J304" s="3530"/>
      <c r="K304" s="3530"/>
      <c r="L304" s="3530"/>
      <c r="M304" s="3539"/>
    </row>
    <row r="305" spans="1:13" s="3533" customFormat="1" ht="15">
      <c r="A305" s="3526">
        <v>304</v>
      </c>
      <c r="B305" s="3529"/>
      <c r="C305" s="3530"/>
      <c r="D305" s="3531"/>
      <c r="E305" s="3531"/>
      <c r="F305" s="3530"/>
      <c r="G305" s="3530"/>
      <c r="H305" s="3530"/>
      <c r="I305" s="3530"/>
      <c r="J305" s="3530"/>
      <c r="K305" s="3530"/>
      <c r="L305" s="3530"/>
      <c r="M305" s="3539"/>
    </row>
    <row r="306" spans="1:13" s="3533" customFormat="1" ht="15">
      <c r="A306" s="3526">
        <v>305</v>
      </c>
      <c r="B306" s="3529"/>
      <c r="C306" s="3530"/>
      <c r="D306" s="3531"/>
      <c r="E306" s="3531"/>
      <c r="F306" s="3530"/>
      <c r="G306" s="3530"/>
      <c r="H306" s="3530"/>
      <c r="I306" s="3530"/>
      <c r="J306" s="3530"/>
      <c r="K306" s="3530"/>
      <c r="L306" s="3530"/>
      <c r="M306" s="3539"/>
    </row>
    <row r="307" spans="1:13" s="3533" customFormat="1" ht="15">
      <c r="A307" s="3526">
        <v>306</v>
      </c>
      <c r="B307" s="3529"/>
      <c r="C307" s="3530"/>
      <c r="D307" s="3531"/>
      <c r="E307" s="3531"/>
      <c r="F307" s="3530"/>
      <c r="G307" s="3530"/>
      <c r="H307" s="3530"/>
      <c r="I307" s="3530"/>
      <c r="J307" s="3530"/>
      <c r="K307" s="3530"/>
      <c r="L307" s="3530"/>
      <c r="M307" s="3539"/>
    </row>
    <row r="308" spans="1:13" s="3533" customFormat="1" ht="15">
      <c r="A308" s="3526">
        <v>307</v>
      </c>
      <c r="B308" s="3529"/>
      <c r="C308" s="3530"/>
      <c r="D308" s="3531"/>
      <c r="E308" s="3531"/>
      <c r="F308" s="3530"/>
      <c r="G308" s="3530"/>
      <c r="H308" s="3530"/>
      <c r="I308" s="3530"/>
      <c r="J308" s="3530"/>
      <c r="K308" s="3530"/>
      <c r="L308" s="3530"/>
      <c r="M308" s="3539"/>
    </row>
    <row r="309" spans="1:13" s="3533" customFormat="1" ht="15">
      <c r="A309" s="3526">
        <v>308</v>
      </c>
      <c r="B309" s="3529"/>
      <c r="C309" s="3530"/>
      <c r="D309" s="3531"/>
      <c r="E309" s="3531"/>
      <c r="F309" s="3530"/>
      <c r="G309" s="3530"/>
      <c r="H309" s="3530"/>
      <c r="I309" s="3530"/>
      <c r="J309" s="3530"/>
      <c r="K309" s="3530"/>
      <c r="L309" s="3530"/>
      <c r="M309" s="3539"/>
    </row>
    <row r="310" spans="1:13" s="3533" customFormat="1" ht="15">
      <c r="A310" s="3526">
        <v>309</v>
      </c>
      <c r="B310" s="3529"/>
      <c r="C310" s="3530"/>
      <c r="D310" s="3531"/>
      <c r="E310" s="3531"/>
      <c r="F310" s="3530"/>
      <c r="G310" s="3530"/>
      <c r="H310" s="3530"/>
      <c r="I310" s="3530"/>
      <c r="J310" s="3530"/>
      <c r="K310" s="3530"/>
      <c r="L310" s="3530"/>
      <c r="M310" s="3539"/>
    </row>
    <row r="311" spans="1:13" s="3533" customFormat="1" ht="15">
      <c r="A311" s="3526">
        <v>310</v>
      </c>
      <c r="B311" s="3529"/>
      <c r="C311" s="3530"/>
      <c r="D311" s="3531"/>
      <c r="E311" s="3531"/>
      <c r="F311" s="3530"/>
      <c r="G311" s="3530"/>
      <c r="H311" s="3530"/>
      <c r="I311" s="3530"/>
      <c r="J311" s="3530"/>
      <c r="K311" s="3530"/>
      <c r="L311" s="3530"/>
      <c r="M311" s="3539"/>
    </row>
    <row r="312" spans="1:13" s="3533" customFormat="1" ht="15">
      <c r="A312" s="3526">
        <v>311</v>
      </c>
      <c r="B312" s="3529"/>
      <c r="C312" s="3530"/>
      <c r="D312" s="3531"/>
      <c r="E312" s="3531"/>
      <c r="F312" s="3530"/>
      <c r="G312" s="3530"/>
      <c r="H312" s="3530"/>
      <c r="I312" s="3530"/>
      <c r="J312" s="3530"/>
      <c r="K312" s="3530"/>
      <c r="L312" s="3530"/>
      <c r="M312" s="3539"/>
    </row>
    <row r="313" spans="1:13" s="3533" customFormat="1" ht="15">
      <c r="A313" s="3526">
        <v>312</v>
      </c>
      <c r="B313" s="3529"/>
      <c r="C313" s="3530"/>
      <c r="D313" s="3531"/>
      <c r="E313" s="3531"/>
      <c r="F313" s="3530"/>
      <c r="G313" s="3530"/>
      <c r="H313" s="3530"/>
      <c r="I313" s="3530"/>
      <c r="J313" s="3530"/>
      <c r="K313" s="3530"/>
      <c r="L313" s="3530"/>
      <c r="M313" s="3539"/>
    </row>
    <row r="314" spans="1:13" s="3533" customFormat="1" ht="15">
      <c r="A314" s="3526">
        <v>313</v>
      </c>
      <c r="B314" s="3529"/>
      <c r="C314" s="3530"/>
      <c r="D314" s="3531"/>
      <c r="E314" s="3531"/>
      <c r="F314" s="3530"/>
      <c r="G314" s="3530"/>
      <c r="H314" s="3530"/>
      <c r="I314" s="3530"/>
      <c r="J314" s="3530"/>
      <c r="K314" s="3530"/>
      <c r="L314" s="3530"/>
      <c r="M314" s="3539"/>
    </row>
    <row r="315" spans="1:13" s="3533" customFormat="1" ht="15">
      <c r="A315" s="3526">
        <v>314</v>
      </c>
      <c r="B315" s="3529"/>
      <c r="C315" s="3530"/>
      <c r="D315" s="3531"/>
      <c r="E315" s="3531"/>
      <c r="F315" s="3530"/>
      <c r="G315" s="3530"/>
      <c r="H315" s="3530"/>
      <c r="I315" s="3530"/>
      <c r="J315" s="3530"/>
      <c r="K315" s="3530"/>
      <c r="L315" s="3530"/>
      <c r="M315" s="3539"/>
    </row>
    <row r="316" spans="1:13" s="3533" customFormat="1" ht="15">
      <c r="A316" s="3526">
        <v>315</v>
      </c>
      <c r="B316" s="3529"/>
      <c r="C316" s="3530"/>
      <c r="D316" s="3531"/>
      <c r="E316" s="3531"/>
      <c r="F316" s="3530"/>
      <c r="G316" s="3530"/>
      <c r="H316" s="3530"/>
      <c r="I316" s="3530"/>
      <c r="J316" s="3530"/>
      <c r="K316" s="3530"/>
      <c r="L316" s="3530"/>
      <c r="M316" s="3539"/>
    </row>
    <row r="317" spans="1:13" s="3533" customFormat="1" ht="15">
      <c r="A317" s="3526">
        <v>316</v>
      </c>
      <c r="B317" s="3529"/>
      <c r="C317" s="3530"/>
      <c r="D317" s="3531"/>
      <c r="E317" s="3531"/>
      <c r="F317" s="3530"/>
      <c r="G317" s="3530"/>
      <c r="H317" s="3530"/>
      <c r="I317" s="3530"/>
      <c r="J317" s="3530"/>
      <c r="K317" s="3530"/>
      <c r="L317" s="3530"/>
      <c r="M317" s="3539"/>
    </row>
    <row r="318" spans="1:13" s="3533" customFormat="1" ht="15">
      <c r="A318" s="3526">
        <v>317</v>
      </c>
      <c r="B318" s="3529"/>
      <c r="C318" s="3530"/>
      <c r="D318" s="3531"/>
      <c r="E318" s="3531"/>
      <c r="F318" s="3530"/>
      <c r="G318" s="3530"/>
      <c r="H318" s="3530"/>
      <c r="I318" s="3530"/>
      <c r="J318" s="3530"/>
      <c r="K318" s="3530"/>
      <c r="L318" s="3530"/>
      <c r="M318" s="3539"/>
    </row>
    <row r="319" spans="1:13" s="3533" customFormat="1" ht="15">
      <c r="A319" s="3526">
        <v>318</v>
      </c>
      <c r="B319" s="3529"/>
      <c r="C319" s="3530"/>
      <c r="D319" s="3531"/>
      <c r="E319" s="3531"/>
      <c r="F319" s="3530"/>
      <c r="G319" s="3530"/>
      <c r="H319" s="3530"/>
      <c r="I319" s="3530"/>
      <c r="J319" s="3530"/>
      <c r="K319" s="3530"/>
      <c r="L319" s="3530"/>
      <c r="M319" s="3539"/>
    </row>
    <row r="320" spans="1:13" s="3533" customFormat="1" ht="15">
      <c r="A320" s="3526">
        <v>319</v>
      </c>
      <c r="B320" s="3529"/>
      <c r="C320" s="3530"/>
      <c r="D320" s="3531"/>
      <c r="E320" s="3531"/>
      <c r="F320" s="3530"/>
      <c r="G320" s="3530"/>
      <c r="H320" s="3530"/>
      <c r="I320" s="3530"/>
      <c r="J320" s="3530"/>
      <c r="K320" s="3530"/>
      <c r="L320" s="3530"/>
      <c r="M320" s="3539"/>
    </row>
    <row r="321" spans="1:13" s="3533" customFormat="1" ht="15">
      <c r="A321" s="3526">
        <v>320</v>
      </c>
      <c r="B321" s="3529"/>
      <c r="C321" s="3530"/>
      <c r="D321" s="3531"/>
      <c r="E321" s="3531"/>
      <c r="F321" s="3530"/>
      <c r="G321" s="3530"/>
      <c r="H321" s="3530"/>
      <c r="I321" s="3530"/>
      <c r="J321" s="3530"/>
      <c r="K321" s="3530"/>
      <c r="L321" s="3530"/>
      <c r="M321" s="3539"/>
    </row>
    <row r="322" spans="1:13" s="3533" customFormat="1" ht="15">
      <c r="A322" s="3526">
        <v>321</v>
      </c>
      <c r="B322" s="3529"/>
      <c r="C322" s="3530"/>
      <c r="D322" s="3531"/>
      <c r="E322" s="3531"/>
      <c r="F322" s="3530"/>
      <c r="G322" s="3530"/>
      <c r="H322" s="3530"/>
      <c r="I322" s="3530"/>
      <c r="J322" s="3530"/>
      <c r="K322" s="3530"/>
      <c r="L322" s="3530"/>
      <c r="M322" s="3539"/>
    </row>
    <row r="323" spans="1:13" s="3533" customFormat="1" ht="15">
      <c r="A323" s="3526">
        <v>322</v>
      </c>
      <c r="B323" s="3529"/>
      <c r="C323" s="3530"/>
      <c r="D323" s="3531"/>
      <c r="E323" s="3531"/>
      <c r="F323" s="3530"/>
      <c r="G323" s="3530"/>
      <c r="H323" s="3530"/>
      <c r="I323" s="3530"/>
      <c r="J323" s="3530"/>
      <c r="K323" s="3530"/>
      <c r="L323" s="3530"/>
      <c r="M323" s="3539"/>
    </row>
    <row r="324" spans="1:13" s="3533" customFormat="1" ht="15">
      <c r="A324" s="3526">
        <v>323</v>
      </c>
      <c r="B324" s="3529"/>
      <c r="C324" s="3530"/>
      <c r="D324" s="3531"/>
      <c r="E324" s="3531"/>
      <c r="F324" s="3530"/>
      <c r="G324" s="3530"/>
      <c r="H324" s="3530"/>
      <c r="I324" s="3530"/>
      <c r="J324" s="3530"/>
      <c r="K324" s="3530"/>
      <c r="L324" s="3530"/>
      <c r="M324" s="3539"/>
    </row>
    <row r="325" spans="1:13" s="3533" customFormat="1" ht="15">
      <c r="A325" s="3526">
        <v>324</v>
      </c>
      <c r="B325" s="3529"/>
      <c r="C325" s="3530"/>
      <c r="D325" s="3531"/>
      <c r="E325" s="3531"/>
      <c r="F325" s="3530"/>
      <c r="G325" s="3530"/>
      <c r="H325" s="3530"/>
      <c r="I325" s="3530"/>
      <c r="J325" s="3530"/>
      <c r="K325" s="3530"/>
      <c r="L325" s="3530"/>
      <c r="M325" s="3539"/>
    </row>
    <row r="326" spans="1:13" s="3533" customFormat="1" ht="15">
      <c r="A326" s="3526">
        <v>325</v>
      </c>
      <c r="B326" s="3529"/>
      <c r="C326" s="3530"/>
      <c r="D326" s="3531"/>
      <c r="E326" s="3531"/>
      <c r="F326" s="3530"/>
      <c r="G326" s="3530"/>
      <c r="H326" s="3530"/>
      <c r="I326" s="3530"/>
      <c r="J326" s="3530"/>
      <c r="K326" s="3530"/>
      <c r="L326" s="3530"/>
      <c r="M326" s="3539"/>
    </row>
    <row r="327" spans="1:13" s="3533" customFormat="1" ht="15">
      <c r="A327" s="3526">
        <v>326</v>
      </c>
      <c r="B327" s="3529"/>
      <c r="C327" s="3530"/>
      <c r="D327" s="3531"/>
      <c r="E327" s="3531"/>
      <c r="F327" s="3530"/>
      <c r="G327" s="3530"/>
      <c r="H327" s="3530"/>
      <c r="I327" s="3530"/>
      <c r="J327" s="3530"/>
      <c r="K327" s="3530"/>
      <c r="L327" s="3530"/>
      <c r="M327" s="3539"/>
    </row>
    <row r="328" spans="1:13" s="3533" customFormat="1" ht="15">
      <c r="A328" s="3526">
        <v>327</v>
      </c>
      <c r="B328" s="3529"/>
      <c r="C328" s="3530"/>
      <c r="D328" s="3531"/>
      <c r="E328" s="3531"/>
      <c r="F328" s="3530"/>
      <c r="G328" s="3530"/>
      <c r="H328" s="3530"/>
      <c r="I328" s="3530"/>
      <c r="J328" s="3530"/>
      <c r="K328" s="3530"/>
      <c r="L328" s="3530"/>
      <c r="M328" s="3539"/>
    </row>
    <row r="329" spans="1:13" s="3533" customFormat="1" ht="15">
      <c r="A329" s="3526">
        <v>328</v>
      </c>
      <c r="B329" s="3529"/>
      <c r="C329" s="3530"/>
      <c r="D329" s="3531"/>
      <c r="E329" s="3531"/>
      <c r="F329" s="3530"/>
      <c r="G329" s="3530"/>
      <c r="H329" s="3530"/>
      <c r="I329" s="3530"/>
      <c r="J329" s="3530"/>
      <c r="K329" s="3530"/>
      <c r="L329" s="3530"/>
      <c r="M329" s="3539"/>
    </row>
    <row r="330" spans="1:13" s="3533" customFormat="1" ht="15">
      <c r="A330" s="3526">
        <v>329</v>
      </c>
      <c r="B330" s="3529"/>
      <c r="C330" s="3530"/>
      <c r="D330" s="3531"/>
      <c r="E330" s="3531"/>
      <c r="F330" s="3530"/>
      <c r="G330" s="3530"/>
      <c r="H330" s="3530"/>
      <c r="I330" s="3530"/>
      <c r="J330" s="3530"/>
      <c r="K330" s="3530"/>
      <c r="L330" s="3530"/>
      <c r="M330" s="3539"/>
    </row>
    <row r="331" spans="1:13" s="3533" customFormat="1" ht="15">
      <c r="A331" s="3526">
        <v>330</v>
      </c>
      <c r="B331" s="3529"/>
      <c r="C331" s="3530"/>
      <c r="D331" s="3531"/>
      <c r="E331" s="3531"/>
      <c r="F331" s="3530"/>
      <c r="G331" s="3530"/>
      <c r="H331" s="3530"/>
      <c r="I331" s="3530"/>
      <c r="J331" s="3530"/>
      <c r="K331" s="3530"/>
      <c r="L331" s="3530"/>
      <c r="M331" s="3539"/>
    </row>
    <row r="332" spans="1:13" s="3533" customFormat="1" ht="15">
      <c r="A332" s="3526">
        <v>331</v>
      </c>
      <c r="B332" s="3529"/>
      <c r="C332" s="3530"/>
      <c r="D332" s="3531"/>
      <c r="E332" s="3531"/>
      <c r="F332" s="3530"/>
      <c r="G332" s="3530"/>
      <c r="H332" s="3530"/>
      <c r="I332" s="3530"/>
      <c r="J332" s="3530"/>
      <c r="K332" s="3530"/>
      <c r="L332" s="3530"/>
      <c r="M332" s="3539"/>
    </row>
    <row r="333" spans="1:13" s="3533" customFormat="1" ht="15">
      <c r="A333" s="3526">
        <v>332</v>
      </c>
      <c r="B333" s="3529"/>
      <c r="C333" s="3530"/>
      <c r="D333" s="3531"/>
      <c r="E333" s="3531"/>
      <c r="F333" s="3530"/>
      <c r="G333" s="3530"/>
      <c r="H333" s="3530"/>
      <c r="I333" s="3530"/>
      <c r="J333" s="3530"/>
      <c r="K333" s="3530"/>
      <c r="L333" s="3530"/>
      <c r="M333" s="3539"/>
    </row>
    <row r="334" spans="1:13" s="3533" customFormat="1" ht="15">
      <c r="A334" s="3526">
        <v>333</v>
      </c>
      <c r="B334" s="3529"/>
      <c r="C334" s="3530"/>
      <c r="D334" s="3531"/>
      <c r="E334" s="3531"/>
      <c r="F334" s="3530"/>
      <c r="G334" s="3530"/>
      <c r="H334" s="3530"/>
      <c r="I334" s="3530"/>
      <c r="J334" s="3530"/>
      <c r="K334" s="3530"/>
      <c r="L334" s="3530"/>
      <c r="M334" s="3539"/>
    </row>
    <row r="335" spans="1:13" s="3533" customFormat="1" ht="15">
      <c r="A335" s="3526">
        <v>334</v>
      </c>
      <c r="B335" s="3529"/>
      <c r="C335" s="3530"/>
      <c r="D335" s="3531"/>
      <c r="E335" s="3531"/>
      <c r="F335" s="3530"/>
      <c r="G335" s="3530"/>
      <c r="H335" s="3530"/>
      <c r="I335" s="3530"/>
      <c r="J335" s="3530"/>
      <c r="K335" s="3530"/>
      <c r="L335" s="3530"/>
      <c r="M335" s="3539"/>
    </row>
    <row r="336" spans="1:13" s="3533" customFormat="1" ht="15">
      <c r="A336" s="3526">
        <v>335</v>
      </c>
      <c r="B336" s="3529"/>
      <c r="C336" s="3530"/>
      <c r="D336" s="3531"/>
      <c r="E336" s="3531"/>
      <c r="F336" s="3530"/>
      <c r="G336" s="3530"/>
      <c r="H336" s="3530"/>
      <c r="I336" s="3530"/>
      <c r="J336" s="3530"/>
      <c r="K336" s="3530"/>
      <c r="L336" s="3530"/>
      <c r="M336" s="3539"/>
    </row>
    <row r="337" spans="1:13" s="3533" customFormat="1" ht="15">
      <c r="A337" s="3526">
        <v>336</v>
      </c>
      <c r="B337" s="3529"/>
      <c r="C337" s="3530"/>
      <c r="D337" s="3531"/>
      <c r="E337" s="3531"/>
      <c r="F337" s="3530"/>
      <c r="G337" s="3530"/>
      <c r="H337" s="3530"/>
      <c r="I337" s="3530"/>
      <c r="J337" s="3530"/>
      <c r="K337" s="3530"/>
      <c r="L337" s="3530"/>
      <c r="M337" s="3539"/>
    </row>
    <row r="338" spans="1:13" s="3533" customFormat="1" ht="15">
      <c r="A338" s="3526">
        <v>337</v>
      </c>
      <c r="B338" s="3529"/>
      <c r="C338" s="3530"/>
      <c r="D338" s="3531"/>
      <c r="E338" s="3531"/>
      <c r="F338" s="3530"/>
      <c r="G338" s="3530"/>
      <c r="H338" s="3530"/>
      <c r="I338" s="3530"/>
      <c r="J338" s="3530"/>
      <c r="K338" s="3530"/>
      <c r="L338" s="3530"/>
      <c r="M338" s="3539"/>
    </row>
    <row r="339" spans="1:13" s="3533" customFormat="1" ht="15">
      <c r="A339" s="3526">
        <v>338</v>
      </c>
      <c r="B339" s="3529"/>
      <c r="C339" s="3530"/>
      <c r="D339" s="3531"/>
      <c r="E339" s="3531"/>
      <c r="F339" s="3530"/>
      <c r="G339" s="3530"/>
      <c r="H339" s="3530"/>
      <c r="I339" s="3530"/>
      <c r="J339" s="3530"/>
      <c r="K339" s="3530"/>
      <c r="L339" s="3530"/>
      <c r="M339" s="3539"/>
    </row>
    <row r="340" spans="1:13" s="3533" customFormat="1" ht="15">
      <c r="A340" s="3526">
        <v>339</v>
      </c>
      <c r="B340" s="3529"/>
      <c r="C340" s="3530"/>
      <c r="D340" s="3531"/>
      <c r="E340" s="3531"/>
      <c r="F340" s="3530"/>
      <c r="G340" s="3530"/>
      <c r="H340" s="3530"/>
      <c r="I340" s="3530"/>
      <c r="J340" s="3530"/>
      <c r="K340" s="3530"/>
      <c r="L340" s="3530"/>
      <c r="M340" s="3539"/>
    </row>
    <row r="341" spans="1:13" s="3533" customFormat="1" ht="15">
      <c r="A341" s="3526">
        <v>340</v>
      </c>
      <c r="B341" s="3529"/>
      <c r="C341" s="3530"/>
      <c r="D341" s="3531"/>
      <c r="E341" s="3531"/>
      <c r="F341" s="3530"/>
      <c r="G341" s="3530"/>
      <c r="H341" s="3530"/>
      <c r="I341" s="3530"/>
      <c r="J341" s="3530"/>
      <c r="K341" s="3530"/>
      <c r="L341" s="3530"/>
      <c r="M341" s="3539"/>
    </row>
    <row r="342" spans="1:13" s="3533" customFormat="1" ht="15">
      <c r="A342" s="3526">
        <v>341</v>
      </c>
      <c r="B342" s="3529"/>
      <c r="C342" s="3530"/>
      <c r="D342" s="3531"/>
      <c r="E342" s="3531"/>
      <c r="F342" s="3530"/>
      <c r="G342" s="3530"/>
      <c r="H342" s="3530"/>
      <c r="I342" s="3530"/>
      <c r="J342" s="3530"/>
      <c r="K342" s="3530"/>
      <c r="L342" s="3530"/>
      <c r="M342" s="3539"/>
    </row>
    <row r="343" spans="1:13" s="3533" customFormat="1" ht="15">
      <c r="A343" s="3526">
        <v>342</v>
      </c>
      <c r="B343" s="3529"/>
      <c r="C343" s="3530"/>
      <c r="D343" s="3531"/>
      <c r="E343" s="3531"/>
      <c r="F343" s="3530"/>
      <c r="G343" s="3530"/>
      <c r="H343" s="3530"/>
      <c r="I343" s="3530"/>
      <c r="J343" s="3530"/>
      <c r="K343" s="3530"/>
      <c r="L343" s="3530"/>
      <c r="M343" s="3539"/>
    </row>
    <row r="344" spans="1:13" s="3533" customFormat="1" ht="15">
      <c r="A344" s="3526">
        <v>343</v>
      </c>
      <c r="B344" s="3529"/>
      <c r="C344" s="3530"/>
      <c r="D344" s="3531"/>
      <c r="E344" s="3531"/>
      <c r="F344" s="3530"/>
      <c r="G344" s="3530"/>
      <c r="H344" s="3530"/>
      <c r="I344" s="3530"/>
      <c r="J344" s="3530"/>
      <c r="K344" s="3530"/>
      <c r="L344" s="3530"/>
      <c r="M344" s="3539"/>
    </row>
    <row r="345" spans="1:13" s="3533" customFormat="1" ht="15">
      <c r="A345" s="3526">
        <v>344</v>
      </c>
      <c r="B345" s="3529"/>
      <c r="C345" s="3530"/>
      <c r="D345" s="3531"/>
      <c r="E345" s="3531"/>
      <c r="F345" s="3530"/>
      <c r="G345" s="3530"/>
      <c r="H345" s="3530"/>
      <c r="I345" s="3530"/>
      <c r="J345" s="3530"/>
      <c r="K345" s="3530"/>
      <c r="L345" s="3530"/>
      <c r="M345" s="3539"/>
    </row>
    <row r="346" spans="1:13" s="3533" customFormat="1" ht="15">
      <c r="A346" s="3526">
        <v>345</v>
      </c>
      <c r="B346" s="3529"/>
      <c r="C346" s="3530"/>
      <c r="D346" s="3531"/>
      <c r="E346" s="3531"/>
      <c r="F346" s="3530"/>
      <c r="G346" s="3530"/>
      <c r="H346" s="3530"/>
      <c r="I346" s="3530"/>
      <c r="J346" s="3530"/>
      <c r="K346" s="3530"/>
      <c r="L346" s="3530"/>
      <c r="M346" s="3539"/>
    </row>
    <row r="347" spans="1:13" s="3533" customFormat="1" ht="15">
      <c r="A347" s="3526">
        <v>346</v>
      </c>
      <c r="B347" s="3529"/>
      <c r="C347" s="3530"/>
      <c r="D347" s="3531"/>
      <c r="E347" s="3531"/>
      <c r="F347" s="3530"/>
      <c r="G347" s="3530"/>
      <c r="H347" s="3530"/>
      <c r="I347" s="3530"/>
      <c r="J347" s="3530"/>
      <c r="K347" s="3530"/>
      <c r="L347" s="3530"/>
      <c r="M347" s="3539"/>
    </row>
    <row r="348" spans="1:13" s="3533" customFormat="1" ht="15">
      <c r="A348" s="3526">
        <v>347</v>
      </c>
      <c r="B348" s="3529"/>
      <c r="C348" s="3530"/>
      <c r="D348" s="3531"/>
      <c r="E348" s="3531"/>
      <c r="F348" s="3530"/>
      <c r="G348" s="3530"/>
      <c r="H348" s="3530"/>
      <c r="I348" s="3530"/>
      <c r="J348" s="3530"/>
      <c r="K348" s="3530"/>
      <c r="L348" s="3530"/>
      <c r="M348" s="3539"/>
    </row>
    <row r="349" spans="1:13" s="3533" customFormat="1" ht="15">
      <c r="A349" s="3526">
        <v>348</v>
      </c>
      <c r="B349" s="3529"/>
      <c r="C349" s="3530"/>
      <c r="D349" s="3531"/>
      <c r="E349" s="3531"/>
      <c r="F349" s="3530"/>
      <c r="G349" s="3530"/>
      <c r="H349" s="3530"/>
      <c r="I349" s="3530"/>
      <c r="J349" s="3530"/>
      <c r="K349" s="3530"/>
      <c r="L349" s="3530"/>
      <c r="M349" s="3539"/>
    </row>
    <row r="350" spans="1:13" s="3533" customFormat="1" ht="15">
      <c r="A350" s="3526">
        <v>349</v>
      </c>
      <c r="B350" s="3529"/>
      <c r="C350" s="3530"/>
      <c r="D350" s="3531"/>
      <c r="E350" s="3531"/>
      <c r="F350" s="3530"/>
      <c r="G350" s="3530"/>
      <c r="H350" s="3530"/>
      <c r="I350" s="3530"/>
      <c r="J350" s="3530"/>
      <c r="K350" s="3530"/>
      <c r="L350" s="3530"/>
      <c r="M350" s="3539"/>
    </row>
    <row r="351" spans="1:13" s="3533" customFormat="1" ht="15">
      <c r="A351" s="3526">
        <v>350</v>
      </c>
      <c r="B351" s="3529"/>
      <c r="C351" s="3530"/>
      <c r="D351" s="3531"/>
      <c r="E351" s="3531"/>
      <c r="F351" s="3530"/>
      <c r="G351" s="3530"/>
      <c r="H351" s="3530"/>
      <c r="I351" s="3530"/>
      <c r="J351" s="3530"/>
      <c r="K351" s="3530"/>
      <c r="L351" s="3530"/>
      <c r="M351" s="3539"/>
    </row>
    <row r="352" spans="1:13" s="3533" customFormat="1" ht="15">
      <c r="A352" s="3526">
        <v>351</v>
      </c>
      <c r="B352" s="3529"/>
      <c r="C352" s="3530"/>
      <c r="D352" s="3531"/>
      <c r="E352" s="3531"/>
      <c r="F352" s="3530"/>
      <c r="G352" s="3530"/>
      <c r="H352" s="3530"/>
      <c r="I352" s="3530"/>
      <c r="J352" s="3530"/>
      <c r="K352" s="3530"/>
      <c r="L352" s="3530"/>
      <c r="M352" s="3539"/>
    </row>
    <row r="353" spans="1:13" s="3533" customFormat="1" ht="15">
      <c r="A353" s="3526">
        <v>352</v>
      </c>
      <c r="B353" s="3529"/>
      <c r="C353" s="3530"/>
      <c r="D353" s="3531"/>
      <c r="E353" s="3531"/>
      <c r="F353" s="3530"/>
      <c r="G353" s="3530"/>
      <c r="H353" s="3530"/>
      <c r="I353" s="3530"/>
      <c r="J353" s="3530"/>
      <c r="K353" s="3530"/>
      <c r="L353" s="3530"/>
      <c r="M353" s="3539"/>
    </row>
    <row r="354" spans="1:13" s="3533" customFormat="1" ht="15">
      <c r="A354" s="3526">
        <v>353</v>
      </c>
      <c r="B354" s="3529"/>
      <c r="C354" s="3530"/>
      <c r="D354" s="3531"/>
      <c r="E354" s="3531"/>
      <c r="F354" s="3530"/>
      <c r="G354" s="3530"/>
      <c r="H354" s="3530"/>
      <c r="I354" s="3530"/>
      <c r="J354" s="3530"/>
      <c r="K354" s="3530"/>
      <c r="L354" s="3530"/>
      <c r="M354" s="3539"/>
    </row>
    <row r="355" spans="1:13" s="3533" customFormat="1" ht="15">
      <c r="A355" s="3526">
        <v>354</v>
      </c>
      <c r="B355" s="3529"/>
      <c r="C355" s="3530"/>
      <c r="D355" s="3531"/>
      <c r="E355" s="3531"/>
      <c r="F355" s="3530"/>
      <c r="G355" s="3530"/>
      <c r="H355" s="3530"/>
      <c r="I355" s="3530"/>
      <c r="J355" s="3530"/>
      <c r="K355" s="3530"/>
      <c r="L355" s="3530"/>
      <c r="M355" s="3539"/>
    </row>
    <row r="356" spans="1:13" s="3533" customFormat="1" ht="15">
      <c r="A356" s="3526">
        <v>355</v>
      </c>
      <c r="B356" s="3529"/>
      <c r="C356" s="3530"/>
      <c r="D356" s="3531"/>
      <c r="E356" s="3531"/>
      <c r="F356" s="3530"/>
      <c r="G356" s="3530"/>
      <c r="H356" s="3530"/>
      <c r="I356" s="3530"/>
      <c r="J356" s="3530"/>
      <c r="K356" s="3530"/>
      <c r="L356" s="3530"/>
      <c r="M356" s="3539"/>
    </row>
    <row r="357" spans="1:13" s="3533" customFormat="1" ht="15">
      <c r="A357" s="3526">
        <v>356</v>
      </c>
      <c r="B357" s="3529"/>
      <c r="C357" s="3530"/>
      <c r="D357" s="3531"/>
      <c r="E357" s="3531"/>
      <c r="F357" s="3530"/>
      <c r="G357" s="3530"/>
      <c r="H357" s="3530"/>
      <c r="I357" s="3530"/>
      <c r="J357" s="3530"/>
      <c r="K357" s="3530"/>
      <c r="L357" s="3530"/>
      <c r="M357" s="3539"/>
    </row>
    <row r="358" spans="1:13" s="3533" customFormat="1" ht="15">
      <c r="A358" s="3526">
        <v>357</v>
      </c>
      <c r="B358" s="3529"/>
      <c r="C358" s="3530"/>
      <c r="D358" s="3531"/>
      <c r="E358" s="3531"/>
      <c r="F358" s="3530"/>
      <c r="G358" s="3530"/>
      <c r="H358" s="3530"/>
      <c r="I358" s="3530"/>
      <c r="J358" s="3530"/>
      <c r="K358" s="3530"/>
      <c r="L358" s="3530"/>
      <c r="M358" s="3539"/>
    </row>
    <row r="359" spans="1:13" s="3533" customFormat="1" ht="15">
      <c r="A359" s="3526">
        <v>358</v>
      </c>
      <c r="B359" s="3529"/>
      <c r="C359" s="3530"/>
      <c r="D359" s="3531"/>
      <c r="E359" s="3531"/>
      <c r="F359" s="3530"/>
      <c r="G359" s="3530"/>
      <c r="H359" s="3530"/>
      <c r="I359" s="3530"/>
      <c r="J359" s="3530"/>
      <c r="K359" s="3530"/>
      <c r="L359" s="3530"/>
      <c r="M359" s="3539"/>
    </row>
    <row r="360" spans="1:13" s="3533" customFormat="1" ht="15">
      <c r="A360" s="3526">
        <v>359</v>
      </c>
      <c r="B360" s="3529"/>
      <c r="C360" s="3530"/>
      <c r="D360" s="3531"/>
      <c r="E360" s="3531"/>
      <c r="F360" s="3530"/>
      <c r="G360" s="3530"/>
      <c r="H360" s="3530"/>
      <c r="I360" s="3530"/>
      <c r="J360" s="3530"/>
      <c r="K360" s="3530"/>
      <c r="L360" s="3530"/>
      <c r="M360" s="3539"/>
    </row>
    <row r="361" spans="1:13" s="3533" customFormat="1" ht="15">
      <c r="A361" s="3526">
        <v>360</v>
      </c>
      <c r="B361" s="3529"/>
      <c r="C361" s="3530"/>
      <c r="D361" s="3531"/>
      <c r="E361" s="3531"/>
      <c r="F361" s="3530"/>
      <c r="G361" s="3530"/>
      <c r="H361" s="3530"/>
      <c r="I361" s="3530"/>
      <c r="J361" s="3530"/>
      <c r="K361" s="3530"/>
      <c r="L361" s="3530"/>
      <c r="M361" s="3539"/>
    </row>
    <row r="362" spans="1:13" s="3533" customFormat="1" ht="15">
      <c r="A362" s="3526">
        <v>361</v>
      </c>
      <c r="B362" s="3529"/>
      <c r="C362" s="3530"/>
      <c r="D362" s="3531"/>
      <c r="E362" s="3531"/>
      <c r="F362" s="3530"/>
      <c r="G362" s="3530"/>
      <c r="H362" s="3530"/>
      <c r="I362" s="3530"/>
      <c r="J362" s="3530"/>
      <c r="K362" s="3530"/>
      <c r="L362" s="3530"/>
      <c r="M362" s="3539"/>
    </row>
    <row r="363" spans="1:13" s="3533" customFormat="1" ht="15">
      <c r="A363" s="3526">
        <v>362</v>
      </c>
      <c r="B363" s="3529"/>
      <c r="C363" s="3530"/>
      <c r="D363" s="3531"/>
      <c r="E363" s="3531"/>
      <c r="F363" s="3530"/>
      <c r="G363" s="3530"/>
      <c r="H363" s="3530"/>
      <c r="I363" s="3530"/>
      <c r="J363" s="3530"/>
      <c r="K363" s="3530"/>
      <c r="L363" s="3530"/>
      <c r="M363" s="3539"/>
    </row>
    <row r="364" spans="1:13" s="3533" customFormat="1" ht="15">
      <c r="A364" s="3526">
        <v>363</v>
      </c>
      <c r="B364" s="3529"/>
      <c r="C364" s="3530"/>
      <c r="D364" s="3531"/>
      <c r="E364" s="3531"/>
      <c r="F364" s="3530"/>
      <c r="G364" s="3530"/>
      <c r="H364" s="3530"/>
      <c r="I364" s="3530"/>
      <c r="J364" s="3530"/>
      <c r="K364" s="3530"/>
      <c r="L364" s="3530"/>
      <c r="M364" s="3539"/>
    </row>
    <row r="365" spans="1:13" s="3533" customFormat="1" ht="15">
      <c r="A365" s="3526">
        <v>364</v>
      </c>
      <c r="B365" s="3529"/>
      <c r="C365" s="3530"/>
      <c r="D365" s="3531"/>
      <c r="E365" s="3531"/>
      <c r="F365" s="3530"/>
      <c r="G365" s="3530"/>
      <c r="H365" s="3530"/>
      <c r="I365" s="3530"/>
      <c r="J365" s="3530"/>
      <c r="K365" s="3530"/>
      <c r="L365" s="3530"/>
      <c r="M365" s="3539"/>
    </row>
    <row r="366" spans="1:13" s="3533" customFormat="1" ht="15">
      <c r="A366" s="3526">
        <v>365</v>
      </c>
      <c r="B366" s="3529"/>
      <c r="C366" s="3530"/>
      <c r="D366" s="3531"/>
      <c r="E366" s="3531"/>
      <c r="F366" s="3530"/>
      <c r="G366" s="3530"/>
      <c r="H366" s="3530"/>
      <c r="I366" s="3530"/>
      <c r="J366" s="3530"/>
      <c r="K366" s="3530"/>
      <c r="L366" s="3530"/>
      <c r="M366" s="3539"/>
    </row>
    <row r="367" spans="1:13" s="3533" customFormat="1" ht="15">
      <c r="A367" s="3526">
        <v>366</v>
      </c>
      <c r="B367" s="3529"/>
      <c r="C367" s="3530"/>
      <c r="D367" s="3531"/>
      <c r="E367" s="3531"/>
      <c r="F367" s="3530"/>
      <c r="G367" s="3530"/>
      <c r="H367" s="3530"/>
      <c r="I367" s="3530"/>
      <c r="J367" s="3530"/>
      <c r="K367" s="3530"/>
      <c r="L367" s="3530"/>
      <c r="M367" s="3539"/>
    </row>
    <row r="368" spans="1:13" s="3533" customFormat="1" ht="15">
      <c r="A368" s="3526">
        <v>367</v>
      </c>
      <c r="B368" s="3529"/>
      <c r="C368" s="3530"/>
      <c r="D368" s="3531"/>
      <c r="E368" s="3531"/>
      <c r="F368" s="3530"/>
      <c r="G368" s="3530"/>
      <c r="H368" s="3530"/>
      <c r="I368" s="3530"/>
      <c r="J368" s="3530"/>
      <c r="K368" s="3530"/>
      <c r="L368" s="3530"/>
      <c r="M368" s="3539"/>
    </row>
    <row r="369" spans="1:13" s="3533" customFormat="1" ht="15">
      <c r="A369" s="3526">
        <v>368</v>
      </c>
      <c r="B369" s="3529"/>
      <c r="C369" s="3530"/>
      <c r="D369" s="3531"/>
      <c r="E369" s="3531"/>
      <c r="F369" s="3530"/>
      <c r="G369" s="3530"/>
      <c r="H369" s="3530"/>
      <c r="I369" s="3530"/>
      <c r="J369" s="3530"/>
      <c r="K369" s="3530"/>
      <c r="L369" s="3530"/>
      <c r="M369" s="3539"/>
    </row>
    <row r="370" spans="1:13" s="3533" customFormat="1" ht="15">
      <c r="A370" s="3526">
        <v>369</v>
      </c>
      <c r="B370" s="3529"/>
      <c r="C370" s="3530"/>
      <c r="D370" s="3531"/>
      <c r="E370" s="3531"/>
      <c r="F370" s="3530"/>
      <c r="G370" s="3530"/>
      <c r="H370" s="3530"/>
      <c r="I370" s="3530"/>
      <c r="J370" s="3530"/>
      <c r="K370" s="3530"/>
      <c r="L370" s="3530"/>
      <c r="M370" s="3539"/>
    </row>
    <row r="371" spans="1:13" s="3533" customFormat="1" ht="15">
      <c r="A371" s="3526">
        <v>370</v>
      </c>
      <c r="B371" s="3529"/>
      <c r="C371" s="3530"/>
      <c r="D371" s="3531"/>
      <c r="E371" s="3531"/>
      <c r="F371" s="3530"/>
      <c r="G371" s="3530"/>
      <c r="H371" s="3530"/>
      <c r="I371" s="3530"/>
      <c r="J371" s="3530"/>
      <c r="K371" s="3530"/>
      <c r="L371" s="3530"/>
      <c r="M371" s="3539"/>
    </row>
    <row r="372" spans="1:13" s="3533" customFormat="1" ht="15">
      <c r="A372" s="3526">
        <v>371</v>
      </c>
      <c r="B372" s="3529"/>
      <c r="C372" s="3530"/>
      <c r="D372" s="3531"/>
      <c r="E372" s="3531"/>
      <c r="F372" s="3530"/>
      <c r="G372" s="3530"/>
      <c r="H372" s="3530"/>
      <c r="I372" s="3530"/>
      <c r="J372" s="3530"/>
      <c r="K372" s="3530"/>
      <c r="L372" s="3530"/>
      <c r="M372" s="3539"/>
    </row>
    <row r="373" spans="1:13" s="3533" customFormat="1" ht="15">
      <c r="A373" s="3526">
        <v>372</v>
      </c>
      <c r="B373" s="3529"/>
      <c r="C373" s="3530"/>
      <c r="D373" s="3531"/>
      <c r="E373" s="3531"/>
      <c r="F373" s="3530"/>
      <c r="G373" s="3530"/>
      <c r="H373" s="3530"/>
      <c r="I373" s="3530"/>
      <c r="J373" s="3530"/>
      <c r="K373" s="3530"/>
      <c r="L373" s="3530"/>
      <c r="M373" s="3539"/>
    </row>
    <row r="374" spans="1:13" s="3533" customFormat="1" ht="15">
      <c r="A374" s="3526">
        <v>373</v>
      </c>
      <c r="B374" s="3529"/>
      <c r="C374" s="3530"/>
      <c r="D374" s="3531"/>
      <c r="E374" s="3531"/>
      <c r="F374" s="3530"/>
      <c r="G374" s="3530"/>
      <c r="H374" s="3530"/>
      <c r="I374" s="3530"/>
      <c r="J374" s="3530"/>
      <c r="K374" s="3530"/>
      <c r="L374" s="3530"/>
      <c r="M374" s="3539"/>
    </row>
    <row r="375" spans="1:13" s="3533" customFormat="1" ht="15">
      <c r="A375" s="3526">
        <v>374</v>
      </c>
      <c r="B375" s="3529"/>
      <c r="C375" s="3530"/>
      <c r="D375" s="3531"/>
      <c r="E375" s="3531"/>
      <c r="F375" s="3530"/>
      <c r="G375" s="3530"/>
      <c r="H375" s="3530"/>
      <c r="I375" s="3530"/>
      <c r="J375" s="3530"/>
      <c r="K375" s="3530"/>
      <c r="L375" s="3530"/>
      <c r="M375" s="3539"/>
    </row>
    <row r="376" spans="1:13" s="3533" customFormat="1" ht="15">
      <c r="A376" s="3526">
        <v>375</v>
      </c>
      <c r="B376" s="3529"/>
      <c r="C376" s="3530"/>
      <c r="D376" s="3531"/>
      <c r="E376" s="3531"/>
      <c r="F376" s="3530"/>
      <c r="G376" s="3530"/>
      <c r="H376" s="3530"/>
      <c r="I376" s="3530"/>
      <c r="J376" s="3530"/>
      <c r="K376" s="3530"/>
      <c r="L376" s="3530"/>
      <c r="M376" s="3539"/>
    </row>
    <row r="377" spans="1:13" s="3533" customFormat="1" ht="15">
      <c r="A377" s="3526">
        <v>376</v>
      </c>
      <c r="B377" s="3529"/>
      <c r="C377" s="3530"/>
      <c r="D377" s="3531"/>
      <c r="E377" s="3531"/>
      <c r="F377" s="3530"/>
      <c r="G377" s="3530"/>
      <c r="H377" s="3530"/>
      <c r="I377" s="3530"/>
      <c r="J377" s="3530"/>
      <c r="K377" s="3530"/>
      <c r="L377" s="3530"/>
      <c r="M377" s="3539"/>
    </row>
    <row r="378" spans="1:13" s="3533" customFormat="1" ht="15">
      <c r="A378" s="3526">
        <v>377</v>
      </c>
      <c r="B378" s="3529"/>
      <c r="C378" s="3530"/>
      <c r="D378" s="3531"/>
      <c r="E378" s="3531"/>
      <c r="F378" s="3530"/>
      <c r="G378" s="3530"/>
      <c r="H378" s="3530"/>
      <c r="I378" s="3530"/>
      <c r="J378" s="3530"/>
      <c r="K378" s="3530"/>
      <c r="L378" s="3530"/>
      <c r="M378" s="3539"/>
    </row>
    <row r="379" spans="1:13" s="3533" customFormat="1" ht="15">
      <c r="A379" s="3526">
        <v>378</v>
      </c>
      <c r="B379" s="3529"/>
      <c r="C379" s="3530"/>
      <c r="D379" s="3531"/>
      <c r="E379" s="3531"/>
      <c r="F379" s="3530"/>
      <c r="G379" s="3530"/>
      <c r="H379" s="3530"/>
      <c r="I379" s="3530"/>
      <c r="J379" s="3530"/>
      <c r="K379" s="3530"/>
      <c r="L379" s="3530"/>
      <c r="M379" s="3539"/>
    </row>
    <row r="380" spans="1:13" s="3533" customFormat="1" ht="15">
      <c r="A380" s="3526">
        <v>379</v>
      </c>
      <c r="B380" s="3529"/>
      <c r="C380" s="3530"/>
      <c r="D380" s="3531"/>
      <c r="E380" s="3531"/>
      <c r="F380" s="3530"/>
      <c r="G380" s="3530"/>
      <c r="H380" s="3530"/>
      <c r="I380" s="3530"/>
      <c r="J380" s="3530"/>
      <c r="K380" s="3530"/>
      <c r="L380" s="3530"/>
      <c r="M380" s="3539"/>
    </row>
    <row r="381" spans="1:13" s="3533" customFormat="1" ht="15">
      <c r="A381" s="3526">
        <v>380</v>
      </c>
      <c r="B381" s="3529"/>
      <c r="C381" s="3530"/>
      <c r="D381" s="3531"/>
      <c r="E381" s="3531"/>
      <c r="F381" s="3530"/>
      <c r="G381" s="3530"/>
      <c r="H381" s="3530"/>
      <c r="I381" s="3530"/>
      <c r="J381" s="3530"/>
      <c r="K381" s="3530"/>
      <c r="L381" s="3530"/>
      <c r="M381" s="3539"/>
    </row>
    <row r="382" spans="1:13" s="3533" customFormat="1" ht="15">
      <c r="A382" s="3526">
        <v>381</v>
      </c>
      <c r="B382" s="3529"/>
      <c r="C382" s="3530"/>
      <c r="D382" s="3531"/>
      <c r="E382" s="3531"/>
      <c r="F382" s="3530"/>
      <c r="G382" s="3530"/>
      <c r="H382" s="3530"/>
      <c r="I382" s="3530"/>
      <c r="J382" s="3530"/>
      <c r="K382" s="3530"/>
      <c r="L382" s="3530"/>
      <c r="M382" s="3539"/>
    </row>
    <row r="383" spans="1:13" s="3533" customFormat="1" ht="15">
      <c r="A383" s="3526">
        <v>382</v>
      </c>
      <c r="B383" s="3529"/>
      <c r="C383" s="3530"/>
      <c r="D383" s="3531"/>
      <c r="E383" s="3531"/>
      <c r="F383" s="3530"/>
      <c r="G383" s="3530"/>
      <c r="H383" s="3530"/>
      <c r="I383" s="3530"/>
      <c r="J383" s="3530"/>
      <c r="K383" s="3530"/>
      <c r="L383" s="3530"/>
      <c r="M383" s="3539"/>
    </row>
    <row r="384" spans="1:13" s="3533" customFormat="1" ht="15">
      <c r="A384" s="3526">
        <v>383</v>
      </c>
      <c r="B384" s="3529"/>
      <c r="C384" s="3530"/>
      <c r="D384" s="3531"/>
      <c r="E384" s="3531"/>
      <c r="F384" s="3530"/>
      <c r="G384" s="3530"/>
      <c r="H384" s="3530"/>
      <c r="I384" s="3530"/>
      <c r="J384" s="3530"/>
      <c r="K384" s="3530"/>
      <c r="L384" s="3530"/>
      <c r="M384" s="3539"/>
    </row>
    <row r="385" spans="1:13" s="3533" customFormat="1" ht="15">
      <c r="A385" s="3526">
        <v>384</v>
      </c>
      <c r="B385" s="3529"/>
      <c r="C385" s="3530"/>
      <c r="D385" s="3531"/>
      <c r="E385" s="3531"/>
      <c r="F385" s="3530"/>
      <c r="G385" s="3530"/>
      <c r="H385" s="3530"/>
      <c r="I385" s="3530"/>
      <c r="J385" s="3530"/>
      <c r="K385" s="3530"/>
      <c r="L385" s="3530"/>
      <c r="M385" s="3539"/>
    </row>
    <row r="386" spans="1:13" s="3533" customFormat="1" ht="15">
      <c r="A386" s="3526">
        <v>385</v>
      </c>
      <c r="B386" s="3529"/>
      <c r="C386" s="3530"/>
      <c r="D386" s="3531"/>
      <c r="E386" s="3531"/>
      <c r="F386" s="3530"/>
      <c r="G386" s="3530"/>
      <c r="H386" s="3530"/>
      <c r="I386" s="3530"/>
      <c r="J386" s="3530"/>
      <c r="K386" s="3530"/>
      <c r="L386" s="3530"/>
      <c r="M386" s="3539"/>
    </row>
    <row r="387" spans="1:13" s="3533" customFormat="1" ht="15">
      <c r="A387" s="3526">
        <v>386</v>
      </c>
      <c r="B387" s="3529"/>
      <c r="C387" s="3530"/>
      <c r="D387" s="3531"/>
      <c r="E387" s="3531"/>
      <c r="F387" s="3530"/>
      <c r="G387" s="3530"/>
      <c r="H387" s="3530"/>
      <c r="I387" s="3530"/>
      <c r="J387" s="3530"/>
      <c r="K387" s="3530"/>
      <c r="L387" s="3530"/>
      <c r="M387" s="3539"/>
    </row>
    <row r="388" spans="1:13" s="3533" customFormat="1" ht="15">
      <c r="A388" s="3526">
        <v>387</v>
      </c>
      <c r="B388" s="3529"/>
      <c r="C388" s="3530"/>
      <c r="D388" s="3531"/>
      <c r="E388" s="3531"/>
      <c r="F388" s="3530"/>
      <c r="G388" s="3530"/>
      <c r="H388" s="3530"/>
      <c r="I388" s="3530"/>
      <c r="J388" s="3530"/>
      <c r="K388" s="3530"/>
      <c r="L388" s="3530"/>
      <c r="M388" s="3539"/>
    </row>
    <row r="389" spans="1:13" s="3533" customFormat="1" ht="15">
      <c r="A389" s="3526">
        <v>388</v>
      </c>
      <c r="B389" s="3529"/>
      <c r="C389" s="3530"/>
      <c r="D389" s="3531"/>
      <c r="E389" s="3531"/>
      <c r="F389" s="3530"/>
      <c r="G389" s="3530"/>
      <c r="H389" s="3530"/>
      <c r="I389" s="3530"/>
      <c r="J389" s="3530"/>
      <c r="K389" s="3530"/>
      <c r="L389" s="3530"/>
      <c r="M389" s="3539"/>
    </row>
    <row r="390" spans="1:13" s="3533" customFormat="1" ht="15">
      <c r="A390" s="3526">
        <v>389</v>
      </c>
      <c r="B390" s="3529"/>
      <c r="C390" s="3530"/>
      <c r="D390" s="3531"/>
      <c r="E390" s="3531"/>
      <c r="F390" s="3530"/>
      <c r="G390" s="3530"/>
      <c r="H390" s="3530"/>
      <c r="I390" s="3530"/>
      <c r="J390" s="3530"/>
      <c r="K390" s="3530"/>
      <c r="L390" s="3530"/>
      <c r="M390" s="3539"/>
    </row>
    <row r="391" spans="1:13" s="3533" customFormat="1" ht="15">
      <c r="A391" s="3526">
        <v>390</v>
      </c>
      <c r="B391" s="3529"/>
      <c r="C391" s="3530"/>
      <c r="D391" s="3531"/>
      <c r="E391" s="3531"/>
      <c r="F391" s="3530"/>
      <c r="G391" s="3530"/>
      <c r="H391" s="3530"/>
      <c r="I391" s="3530"/>
      <c r="J391" s="3530"/>
      <c r="K391" s="3530"/>
      <c r="L391" s="3530"/>
      <c r="M391" s="3539"/>
    </row>
    <row r="392" spans="1:13" s="3533" customFormat="1" ht="15">
      <c r="A392" s="3526">
        <v>391</v>
      </c>
      <c r="B392" s="3529"/>
      <c r="C392" s="3530"/>
      <c r="D392" s="3531"/>
      <c r="E392" s="3531"/>
      <c r="F392" s="3530"/>
      <c r="G392" s="3530"/>
      <c r="H392" s="3530"/>
      <c r="I392" s="3530"/>
      <c r="J392" s="3530"/>
      <c r="K392" s="3530"/>
      <c r="L392" s="3530"/>
      <c r="M392" s="3539"/>
    </row>
    <row r="393" spans="1:13" s="3533" customFormat="1" ht="15">
      <c r="A393" s="3526">
        <v>392</v>
      </c>
      <c r="B393" s="3529"/>
      <c r="C393" s="3530"/>
      <c r="D393" s="3531"/>
      <c r="E393" s="3531"/>
      <c r="F393" s="3530"/>
      <c r="G393" s="3530"/>
      <c r="H393" s="3530"/>
      <c r="I393" s="3530"/>
      <c r="J393" s="3530"/>
      <c r="K393" s="3530"/>
      <c r="L393" s="3530"/>
      <c r="M393" s="3539"/>
    </row>
    <row r="394" spans="1:13" s="3533" customFormat="1" ht="15">
      <c r="A394" s="3526">
        <v>393</v>
      </c>
      <c r="B394" s="3529"/>
      <c r="C394" s="3530"/>
      <c r="D394" s="3531"/>
      <c r="E394" s="3531"/>
      <c r="F394" s="3530"/>
      <c r="G394" s="3530"/>
      <c r="H394" s="3530"/>
      <c r="I394" s="3530"/>
      <c r="J394" s="3530"/>
      <c r="K394" s="3530"/>
      <c r="L394" s="3530"/>
      <c r="M394" s="3539"/>
    </row>
    <row r="395" spans="1:13" s="3533" customFormat="1" ht="15">
      <c r="A395" s="3526">
        <v>394</v>
      </c>
      <c r="B395" s="3529"/>
      <c r="C395" s="3530"/>
      <c r="D395" s="3531"/>
      <c r="E395" s="3531"/>
      <c r="F395" s="3530"/>
      <c r="G395" s="3530"/>
      <c r="H395" s="3530"/>
      <c r="I395" s="3530"/>
      <c r="J395" s="3530"/>
      <c r="K395" s="3530"/>
      <c r="L395" s="3530"/>
      <c r="M395" s="3539"/>
    </row>
    <row r="396" spans="1:13" s="3533" customFormat="1" ht="15">
      <c r="A396" s="3526">
        <v>395</v>
      </c>
      <c r="B396" s="3529"/>
      <c r="C396" s="3530"/>
      <c r="D396" s="3531"/>
      <c r="E396" s="3531"/>
      <c r="F396" s="3530"/>
      <c r="G396" s="3530"/>
      <c r="H396" s="3530"/>
      <c r="I396" s="3530"/>
      <c r="J396" s="3530"/>
      <c r="K396" s="3530"/>
      <c r="L396" s="3530"/>
      <c r="M396" s="3539"/>
    </row>
    <row r="397" spans="1:13" s="3533" customFormat="1" ht="15">
      <c r="A397" s="3526">
        <v>396</v>
      </c>
      <c r="B397" s="3529"/>
      <c r="C397" s="3530"/>
      <c r="D397" s="3531"/>
      <c r="E397" s="3531"/>
      <c r="F397" s="3530"/>
      <c r="G397" s="3530"/>
      <c r="H397" s="3530"/>
      <c r="I397" s="3530"/>
      <c r="J397" s="3530"/>
      <c r="K397" s="3530"/>
      <c r="L397" s="3530"/>
      <c r="M397" s="3539"/>
    </row>
    <row r="398" spans="1:13" s="3533" customFormat="1" ht="15">
      <c r="A398" s="3526">
        <v>397</v>
      </c>
      <c r="B398" s="3529"/>
      <c r="C398" s="3530"/>
      <c r="D398" s="3531"/>
      <c r="E398" s="3531"/>
      <c r="F398" s="3530"/>
      <c r="G398" s="3530"/>
      <c r="H398" s="3530"/>
      <c r="I398" s="3530"/>
      <c r="J398" s="3530"/>
      <c r="K398" s="3530"/>
      <c r="L398" s="3530"/>
      <c r="M398" s="3539"/>
    </row>
    <row r="399" spans="1:13" s="3533" customFormat="1" ht="15">
      <c r="A399" s="3526">
        <v>398</v>
      </c>
      <c r="B399" s="3529"/>
      <c r="C399" s="3530"/>
      <c r="D399" s="3531"/>
      <c r="E399" s="3531"/>
      <c r="F399" s="3530"/>
      <c r="G399" s="3530"/>
      <c r="H399" s="3530"/>
      <c r="I399" s="3530"/>
      <c r="J399" s="3530"/>
      <c r="K399" s="3530"/>
      <c r="L399" s="3530"/>
      <c r="M399" s="3539"/>
    </row>
    <row r="400" spans="1:13" s="3533" customFormat="1" ht="15">
      <c r="A400" s="3526">
        <v>399</v>
      </c>
      <c r="B400" s="3529"/>
      <c r="C400" s="3530"/>
      <c r="D400" s="3531"/>
      <c r="E400" s="3531"/>
      <c r="F400" s="3530"/>
      <c r="G400" s="3530"/>
      <c r="H400" s="3530"/>
      <c r="I400" s="3530"/>
      <c r="J400" s="3530"/>
      <c r="K400" s="3530"/>
      <c r="L400" s="3530"/>
      <c r="M400" s="3539"/>
    </row>
    <row r="401" spans="1:13" s="3533" customFormat="1" ht="15">
      <c r="A401" s="3526">
        <v>400</v>
      </c>
      <c r="B401" s="3529"/>
      <c r="C401" s="3530"/>
      <c r="D401" s="3531"/>
      <c r="E401" s="3531"/>
      <c r="F401" s="3530"/>
      <c r="G401" s="3530"/>
      <c r="H401" s="3530"/>
      <c r="I401" s="3530"/>
      <c r="J401" s="3530"/>
      <c r="K401" s="3530"/>
      <c r="L401" s="3530"/>
      <c r="M401" s="3539"/>
    </row>
    <row r="402" spans="1:13" s="3533" customFormat="1" ht="15">
      <c r="A402" s="3526">
        <v>401</v>
      </c>
      <c r="B402" s="3529"/>
      <c r="C402" s="3530"/>
      <c r="D402" s="3531"/>
      <c r="E402" s="3531"/>
      <c r="F402" s="3530"/>
      <c r="G402" s="3530"/>
      <c r="H402" s="3530"/>
      <c r="I402" s="3530"/>
      <c r="J402" s="3530"/>
      <c r="K402" s="3530"/>
      <c r="L402" s="3530"/>
      <c r="M402" s="3539"/>
    </row>
    <row r="403" spans="1:13" s="3533" customFormat="1" ht="15">
      <c r="A403" s="3526">
        <v>402</v>
      </c>
      <c r="B403" s="3529"/>
      <c r="C403" s="3530"/>
      <c r="D403" s="3531"/>
      <c r="E403" s="3531"/>
      <c r="F403" s="3530"/>
      <c r="G403" s="3530"/>
      <c r="H403" s="3530"/>
      <c r="I403" s="3530"/>
      <c r="J403" s="3530"/>
      <c r="K403" s="3530"/>
      <c r="L403" s="3530"/>
      <c r="M403" s="3539"/>
    </row>
    <row r="404" spans="1:13" s="3533" customFormat="1" ht="15">
      <c r="A404" s="3526">
        <v>403</v>
      </c>
      <c r="B404" s="3529"/>
      <c r="C404" s="3530"/>
      <c r="D404" s="3531"/>
      <c r="E404" s="3531"/>
      <c r="F404" s="3530"/>
      <c r="G404" s="3530"/>
      <c r="H404" s="3530"/>
      <c r="I404" s="3530"/>
      <c r="J404" s="3530"/>
      <c r="K404" s="3530"/>
      <c r="L404" s="3530"/>
      <c r="M404" s="3539"/>
    </row>
    <row r="405" spans="1:13" s="3533" customFormat="1" ht="15">
      <c r="A405" s="3526">
        <v>404</v>
      </c>
      <c r="B405" s="3529"/>
      <c r="C405" s="3530"/>
      <c r="D405" s="3531"/>
      <c r="E405" s="3531"/>
      <c r="F405" s="3530"/>
      <c r="G405" s="3530"/>
      <c r="H405" s="3530"/>
      <c r="I405" s="3530"/>
      <c r="J405" s="3530"/>
      <c r="K405" s="3530"/>
      <c r="L405" s="3530"/>
      <c r="M405" s="3539"/>
    </row>
    <row r="406" spans="1:13" s="3533" customFormat="1" ht="15">
      <c r="A406" s="3526">
        <v>405</v>
      </c>
      <c r="B406" s="3529"/>
      <c r="C406" s="3530"/>
      <c r="D406" s="3531"/>
      <c r="E406" s="3531"/>
      <c r="F406" s="3530"/>
      <c r="G406" s="3530"/>
      <c r="H406" s="3530"/>
      <c r="I406" s="3530"/>
      <c r="J406" s="3530"/>
      <c r="K406" s="3530"/>
      <c r="L406" s="3530"/>
      <c r="M406" s="3539"/>
    </row>
    <row r="407" spans="1:13" s="3533" customFormat="1" ht="15">
      <c r="A407" s="3526">
        <v>406</v>
      </c>
      <c r="B407" s="3529"/>
      <c r="C407" s="3530"/>
      <c r="D407" s="3531"/>
      <c r="E407" s="3531"/>
      <c r="F407" s="3530"/>
      <c r="G407" s="3530"/>
      <c r="H407" s="3530"/>
      <c r="I407" s="3530"/>
      <c r="J407" s="3530"/>
      <c r="K407" s="3530"/>
      <c r="L407" s="3530"/>
      <c r="M407" s="3539"/>
    </row>
    <row r="408" spans="1:13" s="3533" customFormat="1" ht="15">
      <c r="A408" s="3526">
        <v>407</v>
      </c>
      <c r="B408" s="3529"/>
      <c r="C408" s="3530"/>
      <c r="D408" s="3531"/>
      <c r="E408" s="3531"/>
      <c r="F408" s="3530"/>
      <c r="G408" s="3530"/>
      <c r="H408" s="3530"/>
      <c r="I408" s="3530"/>
      <c r="J408" s="3530"/>
      <c r="K408" s="3530"/>
      <c r="L408" s="3530"/>
      <c r="M408" s="3539"/>
    </row>
    <row r="409" spans="1:13" s="3533" customFormat="1" ht="15">
      <c r="A409" s="3526">
        <v>408</v>
      </c>
      <c r="B409" s="3529"/>
      <c r="C409" s="3530"/>
      <c r="D409" s="3531"/>
      <c r="E409" s="3531"/>
      <c r="F409" s="3530"/>
      <c r="G409" s="3530"/>
      <c r="H409" s="3530"/>
      <c r="I409" s="3530"/>
      <c r="J409" s="3530"/>
      <c r="K409" s="3530"/>
      <c r="L409" s="3530"/>
      <c r="M409" s="3539"/>
    </row>
    <row r="410" spans="1:13" s="3533" customFormat="1" ht="15">
      <c r="A410" s="3526">
        <v>409</v>
      </c>
      <c r="B410" s="3529"/>
      <c r="C410" s="3530"/>
      <c r="D410" s="3531"/>
      <c r="E410" s="3531"/>
      <c r="F410" s="3530"/>
      <c r="G410" s="3530"/>
      <c r="H410" s="3530"/>
      <c r="I410" s="3530"/>
      <c r="J410" s="3530"/>
      <c r="K410" s="3530"/>
      <c r="L410" s="3530"/>
      <c r="M410" s="3539"/>
    </row>
    <row r="411" spans="1:13" s="3533" customFormat="1" ht="15">
      <c r="A411" s="3526">
        <v>410</v>
      </c>
      <c r="B411" s="3529"/>
      <c r="C411" s="3530"/>
      <c r="D411" s="3531"/>
      <c r="E411" s="3531"/>
      <c r="F411" s="3530"/>
      <c r="G411" s="3530"/>
      <c r="H411" s="3530"/>
      <c r="I411" s="3530"/>
      <c r="J411" s="3530"/>
      <c r="K411" s="3530"/>
      <c r="L411" s="3530"/>
      <c r="M411" s="3539"/>
    </row>
    <row r="412" spans="1:13" s="3533" customFormat="1" ht="15">
      <c r="A412" s="3526">
        <v>411</v>
      </c>
      <c r="B412" s="3529"/>
      <c r="C412" s="3530"/>
      <c r="D412" s="3531"/>
      <c r="E412" s="3531"/>
      <c r="F412" s="3530"/>
      <c r="G412" s="3530"/>
      <c r="H412" s="3530"/>
      <c r="I412" s="3530"/>
      <c r="J412" s="3530"/>
      <c r="K412" s="3530"/>
      <c r="L412" s="3530"/>
      <c r="M412" s="3539"/>
    </row>
    <row r="413" spans="1:13" s="3533" customFormat="1" ht="15">
      <c r="A413" s="3526">
        <v>412</v>
      </c>
      <c r="B413" s="3529"/>
      <c r="C413" s="3530"/>
      <c r="D413" s="3531"/>
      <c r="E413" s="3531"/>
      <c r="F413" s="3530"/>
      <c r="G413" s="3530"/>
      <c r="H413" s="3530"/>
      <c r="I413" s="3530"/>
      <c r="J413" s="3530"/>
      <c r="K413" s="3530"/>
      <c r="L413" s="3530"/>
      <c r="M413" s="3539"/>
    </row>
    <row r="414" spans="1:13" s="3533" customFormat="1" ht="15">
      <c r="A414" s="3526">
        <v>413</v>
      </c>
      <c r="B414" s="3529"/>
      <c r="C414" s="3530"/>
      <c r="D414" s="3531"/>
      <c r="E414" s="3531"/>
      <c r="F414" s="3530"/>
      <c r="G414" s="3530"/>
      <c r="H414" s="3530"/>
      <c r="I414" s="3530"/>
      <c r="J414" s="3530"/>
      <c r="K414" s="3530"/>
      <c r="L414" s="3530"/>
      <c r="M414" s="3539"/>
    </row>
    <row r="415" spans="1:13" s="3533" customFormat="1" ht="15">
      <c r="A415" s="3526">
        <v>414</v>
      </c>
      <c r="B415" s="3529"/>
      <c r="C415" s="3530"/>
      <c r="D415" s="3531"/>
      <c r="E415" s="3531"/>
      <c r="F415" s="3530"/>
      <c r="G415" s="3530"/>
      <c r="H415" s="3530"/>
      <c r="I415" s="3530"/>
      <c r="J415" s="3530"/>
      <c r="K415" s="3530"/>
      <c r="L415" s="3530"/>
      <c r="M415" s="3539"/>
    </row>
    <row r="416" spans="1:13" s="3533" customFormat="1" ht="15">
      <c r="A416" s="3526">
        <v>415</v>
      </c>
      <c r="B416" s="3529"/>
      <c r="C416" s="3530"/>
      <c r="D416" s="3531"/>
      <c r="E416" s="3531"/>
      <c r="F416" s="3530"/>
      <c r="G416" s="3530"/>
      <c r="H416" s="3530"/>
      <c r="I416" s="3530"/>
      <c r="J416" s="3530"/>
      <c r="K416" s="3530"/>
      <c r="L416" s="3530"/>
      <c r="M416" s="3539"/>
    </row>
    <row r="417" spans="1:13" s="3533" customFormat="1" ht="15">
      <c r="A417" s="3526">
        <v>416</v>
      </c>
      <c r="B417" s="3529"/>
      <c r="C417" s="3530"/>
      <c r="D417" s="3531"/>
      <c r="E417" s="3531"/>
      <c r="F417" s="3530"/>
      <c r="G417" s="3530"/>
      <c r="H417" s="3530"/>
      <c r="I417" s="3530"/>
      <c r="J417" s="3530"/>
      <c r="K417" s="3530"/>
      <c r="L417" s="3530"/>
      <c r="M417" s="3539"/>
    </row>
    <row r="418" spans="1:13" s="3533" customFormat="1" ht="15">
      <c r="A418" s="3526">
        <v>417</v>
      </c>
      <c r="B418" s="3529"/>
      <c r="C418" s="3530"/>
      <c r="D418" s="3531"/>
      <c r="E418" s="3531"/>
      <c r="F418" s="3530"/>
      <c r="G418" s="3530"/>
      <c r="H418" s="3530"/>
      <c r="I418" s="3530"/>
      <c r="J418" s="3530"/>
      <c r="K418" s="3530"/>
      <c r="L418" s="3530"/>
      <c r="M418" s="3539"/>
    </row>
    <row r="419" spans="1:13" s="3533" customFormat="1" ht="15">
      <c r="A419" s="3526">
        <v>418</v>
      </c>
      <c r="B419" s="3529"/>
      <c r="C419" s="3530"/>
      <c r="D419" s="3531"/>
      <c r="E419" s="3531"/>
      <c r="F419" s="3530"/>
      <c r="G419" s="3530"/>
      <c r="H419" s="3530"/>
      <c r="I419" s="3530"/>
      <c r="J419" s="3530"/>
      <c r="K419" s="3530"/>
      <c r="L419" s="3530"/>
      <c r="M419" s="3539"/>
    </row>
    <row r="420" spans="1:13" s="3533" customFormat="1" ht="15">
      <c r="A420" s="3526">
        <v>419</v>
      </c>
      <c r="B420" s="3529"/>
      <c r="C420" s="3530"/>
      <c r="D420" s="3531"/>
      <c r="E420" s="3531"/>
      <c r="F420" s="3530"/>
      <c r="G420" s="3530"/>
      <c r="H420" s="3530"/>
      <c r="I420" s="3530"/>
      <c r="J420" s="3530"/>
      <c r="K420" s="3530"/>
      <c r="L420" s="3530"/>
      <c r="M420" s="3539"/>
    </row>
    <row r="421" spans="1:13" s="3533" customFormat="1" ht="15">
      <c r="A421" s="3526">
        <v>420</v>
      </c>
      <c r="B421" s="3529"/>
      <c r="C421" s="3530"/>
      <c r="D421" s="3531"/>
      <c r="E421" s="3531"/>
      <c r="F421" s="3530"/>
      <c r="G421" s="3530"/>
      <c r="H421" s="3530"/>
      <c r="I421" s="3530"/>
      <c r="J421" s="3530"/>
      <c r="K421" s="3530"/>
      <c r="L421" s="3530"/>
      <c r="M421" s="3539"/>
    </row>
    <row r="422" spans="1:13" s="3533" customFormat="1" ht="15">
      <c r="A422" s="3526">
        <v>421</v>
      </c>
      <c r="B422" s="3529"/>
      <c r="C422" s="3530"/>
      <c r="D422" s="3531"/>
      <c r="E422" s="3531"/>
      <c r="F422" s="3530"/>
      <c r="G422" s="3530"/>
      <c r="H422" s="3530"/>
      <c r="I422" s="3530"/>
      <c r="J422" s="3530"/>
      <c r="K422" s="3530"/>
      <c r="L422" s="3530"/>
      <c r="M422" s="3539"/>
    </row>
    <row r="423" spans="1:13" s="3533" customFormat="1" ht="15">
      <c r="A423" s="3526">
        <v>422</v>
      </c>
      <c r="B423" s="3529"/>
      <c r="C423" s="3530"/>
      <c r="D423" s="3531"/>
      <c r="E423" s="3531"/>
      <c r="F423" s="3530"/>
      <c r="G423" s="3530"/>
      <c r="H423" s="3530"/>
      <c r="I423" s="3530"/>
      <c r="J423" s="3530"/>
      <c r="K423" s="3530"/>
      <c r="L423" s="3530"/>
      <c r="M423" s="3539"/>
    </row>
    <row r="424" spans="1:13" s="3533" customFormat="1" ht="15">
      <c r="A424" s="3526">
        <v>423</v>
      </c>
      <c r="B424" s="3529"/>
      <c r="C424" s="3530"/>
      <c r="D424" s="3531"/>
      <c r="E424" s="3531"/>
      <c r="F424" s="3530"/>
      <c r="G424" s="3530"/>
      <c r="H424" s="3530"/>
      <c r="I424" s="3530"/>
      <c r="J424" s="3530"/>
      <c r="K424" s="3530"/>
      <c r="L424" s="3530"/>
      <c r="M424" s="3539"/>
    </row>
    <row r="425" spans="1:13" s="3533" customFormat="1" ht="15">
      <c r="A425" s="3526">
        <v>424</v>
      </c>
      <c r="B425" s="3529"/>
      <c r="C425" s="3530"/>
      <c r="D425" s="3531"/>
      <c r="E425" s="3531"/>
      <c r="F425" s="3530"/>
      <c r="G425" s="3530"/>
      <c r="H425" s="3530"/>
      <c r="I425" s="3530"/>
      <c r="J425" s="3530"/>
      <c r="K425" s="3530"/>
      <c r="L425" s="3530"/>
      <c r="M425" s="3539"/>
    </row>
    <row r="426" spans="1:13" s="3533" customFormat="1" ht="15">
      <c r="A426" s="3526">
        <v>425</v>
      </c>
      <c r="B426" s="3529"/>
      <c r="C426" s="3530"/>
      <c r="D426" s="3531"/>
      <c r="E426" s="3531"/>
      <c r="F426" s="3530"/>
      <c r="G426" s="3530"/>
      <c r="H426" s="3530"/>
      <c r="I426" s="3530"/>
      <c r="J426" s="3530"/>
      <c r="K426" s="3530"/>
      <c r="L426" s="3530"/>
      <c r="M426" s="3539"/>
    </row>
    <row r="427" spans="1:13" s="3533" customFormat="1" ht="15">
      <c r="A427" s="3526">
        <v>426</v>
      </c>
      <c r="B427" s="3529"/>
      <c r="C427" s="3530"/>
      <c r="D427" s="3531"/>
      <c r="E427" s="3531"/>
      <c r="F427" s="3530"/>
      <c r="G427" s="3530"/>
      <c r="H427" s="3530"/>
      <c r="I427" s="3530"/>
      <c r="J427" s="3530"/>
      <c r="K427" s="3530"/>
      <c r="L427" s="3530"/>
      <c r="M427" s="3539"/>
    </row>
    <row r="428" spans="1:13" s="3533" customFormat="1" ht="15">
      <c r="A428" s="3526">
        <v>427</v>
      </c>
      <c r="B428" s="3529"/>
      <c r="C428" s="3530"/>
      <c r="D428" s="3531"/>
      <c r="E428" s="3531"/>
      <c r="F428" s="3530"/>
      <c r="G428" s="3530"/>
      <c r="H428" s="3530"/>
      <c r="I428" s="3530"/>
      <c r="J428" s="3530"/>
      <c r="K428" s="3530"/>
      <c r="L428" s="3530"/>
      <c r="M428" s="3539"/>
    </row>
    <row r="429" spans="1:13" s="3533" customFormat="1" ht="15">
      <c r="A429" s="3526">
        <v>428</v>
      </c>
      <c r="B429" s="3529"/>
      <c r="C429" s="3530"/>
      <c r="D429" s="3531"/>
      <c r="E429" s="3531"/>
      <c r="F429" s="3530"/>
      <c r="G429" s="3530"/>
      <c r="H429" s="3530"/>
      <c r="I429" s="3530"/>
      <c r="J429" s="3530"/>
      <c r="K429" s="3530"/>
      <c r="L429" s="3530"/>
      <c r="M429" s="3539"/>
    </row>
    <row r="430" spans="1:13" s="3533" customFormat="1" ht="15">
      <c r="A430" s="3526">
        <v>429</v>
      </c>
      <c r="B430" s="3529"/>
      <c r="C430" s="3530"/>
      <c r="D430" s="3531"/>
      <c r="E430" s="3531"/>
      <c r="F430" s="3530"/>
      <c r="G430" s="3530"/>
      <c r="H430" s="3530"/>
      <c r="I430" s="3530"/>
      <c r="J430" s="3530"/>
      <c r="K430" s="3530"/>
      <c r="L430" s="3530"/>
      <c r="M430" s="3539"/>
    </row>
    <row r="431" spans="1:13" s="3533" customFormat="1" ht="15">
      <c r="A431" s="3526">
        <v>430</v>
      </c>
      <c r="B431" s="3529"/>
      <c r="C431" s="3530"/>
      <c r="D431" s="3531"/>
      <c r="E431" s="3531"/>
      <c r="F431" s="3530"/>
      <c r="G431" s="3530"/>
      <c r="H431" s="3530"/>
      <c r="I431" s="3530"/>
      <c r="J431" s="3530"/>
      <c r="K431" s="3530"/>
      <c r="L431" s="3530"/>
      <c r="M431" s="3539"/>
    </row>
    <row r="432" spans="1:13" s="3533" customFormat="1" ht="15">
      <c r="A432" s="3526">
        <v>431</v>
      </c>
      <c r="B432" s="3529"/>
      <c r="C432" s="3530"/>
      <c r="D432" s="3531"/>
      <c r="E432" s="3531"/>
      <c r="F432" s="3530"/>
      <c r="G432" s="3530"/>
      <c r="H432" s="3530"/>
      <c r="I432" s="3530"/>
      <c r="J432" s="3530"/>
      <c r="K432" s="3530"/>
      <c r="L432" s="3530"/>
      <c r="M432" s="3539"/>
    </row>
    <row r="433" spans="1:13" s="3533" customFormat="1" ht="15">
      <c r="A433" s="3526">
        <v>432</v>
      </c>
      <c r="B433" s="3529"/>
      <c r="C433" s="3530"/>
      <c r="D433" s="3531"/>
      <c r="E433" s="3531"/>
      <c r="F433" s="3530"/>
      <c r="G433" s="3530"/>
      <c r="H433" s="3530"/>
      <c r="I433" s="3530"/>
      <c r="J433" s="3530"/>
      <c r="K433" s="3530"/>
      <c r="L433" s="3530"/>
      <c r="M433" s="3539"/>
    </row>
    <row r="434" spans="1:13" s="3533" customFormat="1" ht="15">
      <c r="A434" s="3526">
        <v>433</v>
      </c>
      <c r="B434" s="3529"/>
      <c r="C434" s="3530"/>
      <c r="D434" s="3531"/>
      <c r="E434" s="3531"/>
      <c r="F434" s="3530"/>
      <c r="G434" s="3530"/>
      <c r="H434" s="3530"/>
      <c r="I434" s="3530"/>
      <c r="J434" s="3530"/>
      <c r="K434" s="3530"/>
      <c r="L434" s="3530"/>
      <c r="M434" s="3539"/>
    </row>
    <row r="435" spans="1:13" s="3533" customFormat="1" ht="15">
      <c r="A435" s="3526">
        <v>434</v>
      </c>
      <c r="B435" s="3529"/>
      <c r="C435" s="3530"/>
      <c r="D435" s="3531"/>
      <c r="E435" s="3531"/>
      <c r="F435" s="3530"/>
      <c r="G435" s="3530"/>
      <c r="H435" s="3530"/>
      <c r="I435" s="3530"/>
      <c r="J435" s="3530"/>
      <c r="K435" s="3530"/>
      <c r="L435" s="3530"/>
      <c r="M435" s="3539"/>
    </row>
    <row r="436" spans="1:13" s="3533" customFormat="1" ht="15">
      <c r="A436" s="3526">
        <v>435</v>
      </c>
      <c r="B436" s="3529"/>
      <c r="C436" s="3530"/>
      <c r="D436" s="3531"/>
      <c r="E436" s="3531"/>
      <c r="F436" s="3530"/>
      <c r="G436" s="3530"/>
      <c r="H436" s="3530"/>
      <c r="I436" s="3530"/>
      <c r="J436" s="3530"/>
      <c r="K436" s="3530"/>
      <c r="L436" s="3530"/>
      <c r="M436" s="3539"/>
    </row>
    <row r="437" spans="1:13" s="3533" customFormat="1" ht="15">
      <c r="A437" s="3526">
        <v>436</v>
      </c>
      <c r="B437" s="3529"/>
      <c r="C437" s="3530"/>
      <c r="D437" s="3531"/>
      <c r="E437" s="3531"/>
      <c r="F437" s="3530"/>
      <c r="G437" s="3530"/>
      <c r="H437" s="3530"/>
      <c r="I437" s="3530"/>
      <c r="J437" s="3530"/>
      <c r="K437" s="3530"/>
      <c r="L437" s="3530"/>
      <c r="M437" s="3539"/>
    </row>
    <row r="438" spans="1:13" s="3533" customFormat="1" ht="15">
      <c r="A438" s="3526">
        <v>437</v>
      </c>
      <c r="B438" s="3529"/>
      <c r="C438" s="3530"/>
      <c r="D438" s="3531"/>
      <c r="E438" s="3531"/>
      <c r="F438" s="3530"/>
      <c r="G438" s="3530"/>
      <c r="H438" s="3530"/>
      <c r="I438" s="3530"/>
      <c r="J438" s="3530"/>
      <c r="K438" s="3530"/>
      <c r="L438" s="3530"/>
      <c r="M438" s="3539"/>
    </row>
    <row r="439" spans="1:13" s="3533" customFormat="1" ht="15">
      <c r="A439" s="3526">
        <v>438</v>
      </c>
      <c r="B439" s="3529"/>
      <c r="C439" s="3530"/>
      <c r="D439" s="3531"/>
      <c r="E439" s="3531"/>
      <c r="F439" s="3530"/>
      <c r="G439" s="3530"/>
      <c r="H439" s="3530"/>
      <c r="I439" s="3530"/>
      <c r="J439" s="3530"/>
      <c r="K439" s="3530"/>
      <c r="L439" s="3530"/>
      <c r="M439" s="3539"/>
    </row>
    <row r="440" spans="1:13" s="3533" customFormat="1" ht="15">
      <c r="A440" s="3526">
        <v>439</v>
      </c>
      <c r="B440" s="3529"/>
      <c r="C440" s="3530"/>
      <c r="D440" s="3531"/>
      <c r="E440" s="3531"/>
      <c r="F440" s="3530"/>
      <c r="G440" s="3530"/>
      <c r="H440" s="3530"/>
      <c r="I440" s="3530"/>
      <c r="J440" s="3530"/>
      <c r="K440" s="3530"/>
      <c r="L440" s="3530"/>
      <c r="M440" s="3539"/>
    </row>
    <row r="441" spans="1:13" s="3533" customFormat="1" ht="15">
      <c r="A441" s="3526">
        <v>440</v>
      </c>
      <c r="B441" s="3529"/>
      <c r="C441" s="3530"/>
      <c r="D441" s="3531"/>
      <c r="E441" s="3531"/>
      <c r="F441" s="3530"/>
      <c r="G441" s="3530"/>
      <c r="H441" s="3530"/>
      <c r="I441" s="3530"/>
      <c r="J441" s="3530"/>
      <c r="K441" s="3530"/>
      <c r="L441" s="3530"/>
      <c r="M441" s="3539"/>
    </row>
    <row r="442" spans="1:13" s="3533" customFormat="1" ht="15">
      <c r="A442" s="3526">
        <v>441</v>
      </c>
      <c r="B442" s="3529"/>
      <c r="C442" s="3530"/>
      <c r="D442" s="3531"/>
      <c r="E442" s="3531"/>
      <c r="F442" s="3530"/>
      <c r="G442" s="3530"/>
      <c r="H442" s="3530"/>
      <c r="I442" s="3530"/>
      <c r="J442" s="3530"/>
      <c r="K442" s="3530"/>
      <c r="L442" s="3530"/>
      <c r="M442" s="3539"/>
    </row>
    <row r="443" spans="1:13" s="3533" customFormat="1" ht="15">
      <c r="A443" s="3526">
        <v>442</v>
      </c>
      <c r="B443" s="3529"/>
      <c r="C443" s="3530"/>
      <c r="D443" s="3531"/>
      <c r="E443" s="3531"/>
      <c r="F443" s="3530"/>
      <c r="G443" s="3530"/>
      <c r="H443" s="3530"/>
      <c r="I443" s="3530"/>
      <c r="J443" s="3530"/>
      <c r="K443" s="3530"/>
      <c r="L443" s="3530"/>
      <c r="M443" s="3539"/>
    </row>
    <row r="444" spans="1:13" s="3533" customFormat="1" ht="15">
      <c r="A444" s="3526">
        <v>443</v>
      </c>
      <c r="B444" s="3529"/>
      <c r="C444" s="3530"/>
      <c r="D444" s="3531"/>
      <c r="E444" s="3531"/>
      <c r="F444" s="3530"/>
      <c r="G444" s="3530"/>
      <c r="H444" s="3530"/>
      <c r="I444" s="3530"/>
      <c r="J444" s="3530"/>
      <c r="K444" s="3530"/>
      <c r="L444" s="3530"/>
      <c r="M444" s="3539"/>
    </row>
    <row r="445" spans="1:13" s="3533" customFormat="1" ht="15">
      <c r="A445" s="3526">
        <v>444</v>
      </c>
      <c r="B445" s="3529"/>
      <c r="C445" s="3530"/>
      <c r="D445" s="3531"/>
      <c r="E445" s="3531"/>
      <c r="F445" s="3530"/>
      <c r="G445" s="3530"/>
      <c r="H445" s="3530"/>
      <c r="I445" s="3530"/>
      <c r="J445" s="3530"/>
      <c r="K445" s="3530"/>
      <c r="L445" s="3530"/>
      <c r="M445" s="3539"/>
    </row>
    <row r="446" spans="1:13" s="3533" customFormat="1" ht="15">
      <c r="A446" s="3526">
        <v>445</v>
      </c>
      <c r="B446" s="3529"/>
      <c r="C446" s="3530"/>
      <c r="D446" s="3531"/>
      <c r="E446" s="3531"/>
      <c r="F446" s="3530"/>
      <c r="G446" s="3530"/>
      <c r="H446" s="3530"/>
      <c r="I446" s="3530"/>
      <c r="J446" s="3530"/>
      <c r="K446" s="3530"/>
      <c r="L446" s="3530"/>
      <c r="M446" s="3539"/>
    </row>
    <row r="447" spans="1:13" s="3533" customFormat="1" ht="15">
      <c r="A447" s="3526">
        <v>446</v>
      </c>
      <c r="B447" s="3529"/>
      <c r="C447" s="3530"/>
      <c r="D447" s="3531"/>
      <c r="E447" s="3531"/>
      <c r="F447" s="3530"/>
      <c r="G447" s="3530"/>
      <c r="H447" s="3530"/>
      <c r="I447" s="3530"/>
      <c r="J447" s="3530"/>
      <c r="K447" s="3530"/>
      <c r="L447" s="3530"/>
      <c r="M447" s="3539"/>
    </row>
    <row r="448" spans="1:13" s="3533" customFormat="1" ht="15">
      <c r="A448" s="3526">
        <v>447</v>
      </c>
      <c r="B448" s="3529"/>
      <c r="C448" s="3530"/>
      <c r="D448" s="3531"/>
      <c r="E448" s="3531"/>
      <c r="F448" s="3530"/>
      <c r="G448" s="3530"/>
      <c r="H448" s="3530"/>
      <c r="I448" s="3530"/>
      <c r="J448" s="3530"/>
      <c r="K448" s="3530"/>
      <c r="L448" s="3530"/>
      <c r="M448" s="3539"/>
    </row>
    <row r="449" spans="1:13" s="3533" customFormat="1" ht="15">
      <c r="A449" s="3526">
        <v>448</v>
      </c>
      <c r="B449" s="3529"/>
      <c r="C449" s="3530"/>
      <c r="D449" s="3531"/>
      <c r="E449" s="3531"/>
      <c r="F449" s="3530"/>
      <c r="G449" s="3530"/>
      <c r="H449" s="3530"/>
      <c r="I449" s="3530"/>
      <c r="J449" s="3530"/>
      <c r="K449" s="3530"/>
      <c r="L449" s="3530"/>
      <c r="M449" s="3539"/>
    </row>
    <row r="450" spans="1:13" s="3533" customFormat="1" ht="15">
      <c r="A450" s="3526">
        <v>449</v>
      </c>
      <c r="B450" s="3529"/>
      <c r="C450" s="3530"/>
      <c r="D450" s="3531"/>
      <c r="E450" s="3531"/>
      <c r="F450" s="3530"/>
      <c r="G450" s="3530"/>
      <c r="H450" s="3530"/>
      <c r="I450" s="3530"/>
      <c r="J450" s="3530"/>
      <c r="K450" s="3530"/>
      <c r="L450" s="3530"/>
      <c r="M450" s="3539"/>
    </row>
    <row r="451" spans="1:13" s="3533" customFormat="1" ht="15">
      <c r="A451" s="3526">
        <v>450</v>
      </c>
      <c r="B451" s="3529"/>
      <c r="C451" s="3530"/>
      <c r="D451" s="3531"/>
      <c r="E451" s="3531"/>
      <c r="F451" s="3530"/>
      <c r="G451" s="3530"/>
      <c r="H451" s="3530"/>
      <c r="I451" s="3530"/>
      <c r="J451" s="3530"/>
      <c r="K451" s="3530"/>
      <c r="L451" s="3530"/>
      <c r="M451" s="3539"/>
    </row>
    <row r="452" spans="1:13" s="3533" customFormat="1" ht="15">
      <c r="A452" s="3526">
        <v>451</v>
      </c>
      <c r="B452" s="3529"/>
      <c r="C452" s="3530"/>
      <c r="D452" s="3531"/>
      <c r="E452" s="3531"/>
      <c r="F452" s="3530"/>
      <c r="G452" s="3530"/>
      <c r="H452" s="3530"/>
      <c r="I452" s="3530"/>
      <c r="J452" s="3530"/>
      <c r="K452" s="3530"/>
      <c r="L452" s="3530"/>
      <c r="M452" s="3539"/>
    </row>
    <row r="453" spans="1:13" s="3533" customFormat="1" ht="15">
      <c r="A453" s="3526">
        <v>452</v>
      </c>
      <c r="B453" s="3529"/>
      <c r="C453" s="3530"/>
      <c r="D453" s="3531"/>
      <c r="E453" s="3531"/>
      <c r="F453" s="3530"/>
      <c r="G453" s="3530"/>
      <c r="H453" s="3530"/>
      <c r="I453" s="3530"/>
      <c r="J453" s="3530"/>
      <c r="K453" s="3530"/>
      <c r="L453" s="3530"/>
      <c r="M453" s="3539"/>
    </row>
    <row r="454" spans="1:13" s="3533" customFormat="1" ht="15">
      <c r="A454" s="3526">
        <v>453</v>
      </c>
      <c r="B454" s="3529"/>
      <c r="C454" s="3530"/>
      <c r="D454" s="3531"/>
      <c r="E454" s="3531"/>
      <c r="F454" s="3530"/>
      <c r="G454" s="3530"/>
      <c r="H454" s="3530"/>
      <c r="I454" s="3530"/>
      <c r="J454" s="3530"/>
      <c r="K454" s="3530"/>
      <c r="L454" s="3530"/>
      <c r="M454" s="3539"/>
    </row>
    <row r="455" spans="1:13" s="3533" customFormat="1" ht="15">
      <c r="A455" s="3526">
        <v>454</v>
      </c>
      <c r="B455" s="3529"/>
      <c r="C455" s="3530"/>
      <c r="D455" s="3531"/>
      <c r="E455" s="3531"/>
      <c r="F455" s="3530"/>
      <c r="G455" s="3530"/>
      <c r="H455" s="3530"/>
      <c r="I455" s="3530"/>
      <c r="J455" s="3530"/>
      <c r="K455" s="3530"/>
      <c r="L455" s="3530"/>
      <c r="M455" s="3539"/>
    </row>
    <row r="456" spans="1:13" s="3533" customFormat="1" ht="15">
      <c r="A456" s="3526">
        <v>455</v>
      </c>
      <c r="B456" s="3529"/>
      <c r="C456" s="3530"/>
      <c r="D456" s="3531"/>
      <c r="E456" s="3531"/>
      <c r="F456" s="3530"/>
      <c r="G456" s="3530"/>
      <c r="H456" s="3530"/>
      <c r="I456" s="3530"/>
      <c r="J456" s="3530"/>
      <c r="K456" s="3530"/>
      <c r="L456" s="3530"/>
      <c r="M456" s="3539"/>
    </row>
    <row r="457" spans="1:13" s="3533" customFormat="1" ht="15">
      <c r="A457" s="3526">
        <v>456</v>
      </c>
      <c r="B457" s="3529"/>
      <c r="C457" s="3530"/>
      <c r="D457" s="3531"/>
      <c r="E457" s="3531"/>
      <c r="F457" s="3530"/>
      <c r="G457" s="3530"/>
      <c r="H457" s="3530"/>
      <c r="I457" s="3530"/>
      <c r="J457" s="3530"/>
      <c r="K457" s="3530"/>
      <c r="L457" s="3530"/>
      <c r="M457" s="3539"/>
    </row>
    <row r="458" spans="1:13" s="3533" customFormat="1" ht="15">
      <c r="A458" s="3526">
        <v>457</v>
      </c>
      <c r="B458" s="3529"/>
      <c r="C458" s="3530"/>
      <c r="D458" s="3531"/>
      <c r="E458" s="3531"/>
      <c r="F458" s="3530"/>
      <c r="G458" s="3530"/>
      <c r="H458" s="3530"/>
      <c r="I458" s="3530"/>
      <c r="J458" s="3530"/>
      <c r="K458" s="3530"/>
      <c r="L458" s="3530"/>
      <c r="M458" s="3539"/>
    </row>
    <row r="459" spans="1:13" s="3533" customFormat="1" ht="15">
      <c r="A459" s="3526">
        <v>458</v>
      </c>
      <c r="B459" s="3529"/>
      <c r="C459" s="3530"/>
      <c r="D459" s="3531"/>
      <c r="E459" s="3531"/>
      <c r="F459" s="3530"/>
      <c r="G459" s="3530"/>
      <c r="H459" s="3530"/>
      <c r="I459" s="3530"/>
      <c r="J459" s="3530"/>
      <c r="K459" s="3530"/>
      <c r="L459" s="3530"/>
      <c r="M459" s="3539"/>
    </row>
    <row r="460" spans="1:13" s="3533" customFormat="1" ht="15">
      <c r="A460" s="3526">
        <v>459</v>
      </c>
      <c r="B460" s="3529"/>
      <c r="C460" s="3530"/>
      <c r="D460" s="3531"/>
      <c r="E460" s="3531"/>
      <c r="F460" s="3530"/>
      <c r="G460" s="3530"/>
      <c r="H460" s="3530"/>
      <c r="I460" s="3530"/>
      <c r="J460" s="3530"/>
      <c r="K460" s="3530"/>
      <c r="L460" s="3530"/>
      <c r="M460" s="3539"/>
    </row>
    <row r="461" spans="1:13" s="3533" customFormat="1" ht="15">
      <c r="A461" s="3526">
        <v>460</v>
      </c>
      <c r="B461" s="3529"/>
      <c r="C461" s="3530"/>
      <c r="D461" s="3531"/>
      <c r="E461" s="3531"/>
      <c r="F461" s="3530"/>
      <c r="G461" s="3530"/>
      <c r="H461" s="3530"/>
      <c r="I461" s="3530"/>
      <c r="J461" s="3530"/>
      <c r="K461" s="3530"/>
      <c r="L461" s="3530"/>
      <c r="M461" s="3539"/>
    </row>
    <row r="462" spans="1:13" s="3533" customFormat="1" ht="15">
      <c r="A462" s="3526">
        <v>461</v>
      </c>
      <c r="B462" s="3529"/>
      <c r="C462" s="3530"/>
      <c r="D462" s="3531"/>
      <c r="E462" s="3531"/>
      <c r="F462" s="3530"/>
      <c r="G462" s="3530"/>
      <c r="H462" s="3530"/>
      <c r="I462" s="3530"/>
      <c r="J462" s="3530"/>
      <c r="K462" s="3530"/>
      <c r="L462" s="3530"/>
      <c r="M462" s="3539"/>
    </row>
    <row r="463" spans="1:13" s="3533" customFormat="1" ht="15">
      <c r="A463" s="3526">
        <v>462</v>
      </c>
      <c r="B463" s="3529"/>
      <c r="C463" s="3530"/>
      <c r="D463" s="3531"/>
      <c r="E463" s="3531"/>
      <c r="F463" s="3530"/>
      <c r="G463" s="3530"/>
      <c r="H463" s="3530"/>
      <c r="I463" s="3530"/>
      <c r="J463" s="3530"/>
      <c r="K463" s="3530"/>
      <c r="L463" s="3530"/>
      <c r="M463" s="3539"/>
    </row>
    <row r="464" spans="1:13" s="3533" customFormat="1" ht="15">
      <c r="A464" s="3526">
        <v>463</v>
      </c>
      <c r="B464" s="3529"/>
      <c r="C464" s="3530"/>
      <c r="D464" s="3531"/>
      <c r="E464" s="3531"/>
      <c r="F464" s="3530"/>
      <c r="G464" s="3530"/>
      <c r="H464" s="3530"/>
      <c r="I464" s="3530"/>
      <c r="J464" s="3530"/>
      <c r="K464" s="3530"/>
      <c r="L464" s="3530"/>
      <c r="M464" s="3539"/>
    </row>
    <row r="465" spans="1:13" s="3533" customFormat="1" ht="15">
      <c r="A465" s="3526">
        <v>464</v>
      </c>
      <c r="B465" s="3529"/>
      <c r="C465" s="3530"/>
      <c r="D465" s="3531"/>
      <c r="E465" s="3531"/>
      <c r="F465" s="3530"/>
      <c r="G465" s="3530"/>
      <c r="H465" s="3530"/>
      <c r="I465" s="3530"/>
      <c r="J465" s="3530"/>
      <c r="K465" s="3530"/>
      <c r="L465" s="3530"/>
      <c r="M465" s="3539"/>
    </row>
    <row r="466" spans="1:13" s="3533" customFormat="1" ht="15">
      <c r="A466" s="3526">
        <v>465</v>
      </c>
      <c r="B466" s="3529"/>
      <c r="C466" s="3530"/>
      <c r="D466" s="3531"/>
      <c r="E466" s="3531"/>
      <c r="F466" s="3530"/>
      <c r="G466" s="3530"/>
      <c r="H466" s="3530"/>
      <c r="I466" s="3530"/>
      <c r="J466" s="3530"/>
      <c r="K466" s="3530"/>
      <c r="L466" s="3530"/>
      <c r="M466" s="3539"/>
    </row>
    <row r="467" spans="1:13" s="3533" customFormat="1" ht="15">
      <c r="A467" s="3526">
        <v>466</v>
      </c>
      <c r="B467" s="3529"/>
      <c r="C467" s="3530"/>
      <c r="D467" s="3531"/>
      <c r="E467" s="3531"/>
      <c r="F467" s="3530"/>
      <c r="G467" s="3530"/>
      <c r="H467" s="3530"/>
      <c r="I467" s="3530"/>
      <c r="J467" s="3530"/>
      <c r="K467" s="3530"/>
      <c r="L467" s="3530"/>
      <c r="M467" s="3539"/>
    </row>
    <row r="468" spans="1:13" s="3533" customFormat="1" ht="15">
      <c r="A468" s="3526">
        <v>467</v>
      </c>
      <c r="B468" s="3529"/>
      <c r="C468" s="3530"/>
      <c r="D468" s="3531"/>
      <c r="E468" s="3531"/>
      <c r="F468" s="3530"/>
      <c r="G468" s="3530"/>
      <c r="H468" s="3530"/>
      <c r="I468" s="3530"/>
      <c r="J468" s="3530"/>
      <c r="K468" s="3530"/>
      <c r="L468" s="3530"/>
      <c r="M468" s="3539"/>
    </row>
    <row r="469" spans="1:13" s="3533" customFormat="1" ht="15">
      <c r="A469" s="3526">
        <v>468</v>
      </c>
      <c r="B469" s="3529"/>
      <c r="C469" s="3530"/>
      <c r="D469" s="3531"/>
      <c r="E469" s="3531"/>
      <c r="F469" s="3530"/>
      <c r="G469" s="3530"/>
      <c r="H469" s="3530"/>
      <c r="I469" s="3530"/>
      <c r="J469" s="3530"/>
      <c r="K469" s="3530"/>
      <c r="L469" s="3530"/>
      <c r="M469" s="3539"/>
    </row>
    <row r="470" spans="1:13" s="3533" customFormat="1" ht="15">
      <c r="A470" s="3526">
        <v>469</v>
      </c>
      <c r="B470" s="3529"/>
      <c r="C470" s="3530"/>
      <c r="D470" s="3531"/>
      <c r="E470" s="3531"/>
      <c r="F470" s="3530"/>
      <c r="G470" s="3530"/>
      <c r="H470" s="3530"/>
      <c r="I470" s="3530"/>
      <c r="J470" s="3530"/>
      <c r="K470" s="3530"/>
      <c r="L470" s="3530"/>
      <c r="M470" s="3539"/>
    </row>
    <row r="471" spans="1:13" s="3533" customFormat="1" ht="15">
      <c r="A471" s="3526">
        <v>470</v>
      </c>
      <c r="B471" s="3529"/>
      <c r="C471" s="3530"/>
      <c r="D471" s="3531"/>
      <c r="E471" s="3531"/>
      <c r="F471" s="3530"/>
      <c r="G471" s="3530"/>
      <c r="H471" s="3530"/>
      <c r="I471" s="3530"/>
      <c r="J471" s="3530"/>
      <c r="K471" s="3530"/>
      <c r="L471" s="3530"/>
      <c r="M471" s="3539"/>
    </row>
    <row r="472" spans="1:13" s="3533" customFormat="1" ht="15">
      <c r="A472" s="3526">
        <v>471</v>
      </c>
      <c r="B472" s="3529"/>
      <c r="C472" s="3530"/>
      <c r="D472" s="3531"/>
      <c r="E472" s="3531"/>
      <c r="F472" s="3530"/>
      <c r="G472" s="3530"/>
      <c r="H472" s="3530"/>
      <c r="I472" s="3530"/>
      <c r="J472" s="3530"/>
      <c r="K472" s="3530"/>
      <c r="L472" s="3530"/>
      <c r="M472" s="3539"/>
    </row>
    <row r="473" spans="1:13" s="3533" customFormat="1" ht="15">
      <c r="A473" s="3526">
        <v>472</v>
      </c>
      <c r="B473" s="3529"/>
      <c r="C473" s="3530"/>
      <c r="D473" s="3531"/>
      <c r="E473" s="3531"/>
      <c r="F473" s="3530"/>
      <c r="G473" s="3530"/>
      <c r="H473" s="3530"/>
      <c r="I473" s="3530"/>
      <c r="J473" s="3530"/>
      <c r="K473" s="3530"/>
      <c r="L473" s="3530"/>
      <c r="M473" s="3539"/>
    </row>
    <row r="474" spans="1:13" s="3533" customFormat="1" ht="15">
      <c r="A474" s="3526">
        <v>473</v>
      </c>
      <c r="B474" s="3529"/>
      <c r="C474" s="3530"/>
      <c r="D474" s="3531"/>
      <c r="E474" s="3531"/>
      <c r="F474" s="3530"/>
      <c r="G474" s="3530"/>
      <c r="H474" s="3530"/>
      <c r="I474" s="3530"/>
      <c r="J474" s="3530"/>
      <c r="K474" s="3530"/>
      <c r="L474" s="3530"/>
      <c r="M474" s="3539"/>
    </row>
    <row r="475" spans="1:13" s="3533" customFormat="1" ht="15">
      <c r="A475" s="3526">
        <v>474</v>
      </c>
      <c r="B475" s="3529"/>
      <c r="C475" s="3530"/>
      <c r="D475" s="3531"/>
      <c r="E475" s="3531"/>
      <c r="F475" s="3530"/>
      <c r="G475" s="3530"/>
      <c r="H475" s="3530"/>
      <c r="I475" s="3530"/>
      <c r="J475" s="3530"/>
      <c r="K475" s="3530"/>
      <c r="L475" s="3530"/>
      <c r="M475" s="3539"/>
    </row>
    <row r="476" spans="1:13" s="3533" customFormat="1" ht="15">
      <c r="A476" s="3526">
        <v>475</v>
      </c>
      <c r="B476" s="3529"/>
      <c r="C476" s="3530"/>
      <c r="D476" s="3531"/>
      <c r="E476" s="3531"/>
      <c r="F476" s="3530"/>
      <c r="G476" s="3530"/>
      <c r="H476" s="3530"/>
      <c r="I476" s="3530"/>
      <c r="J476" s="3530"/>
      <c r="K476" s="3530"/>
      <c r="L476" s="3530"/>
      <c r="M476" s="3539"/>
    </row>
    <row r="477" spans="1:13" s="3533" customFormat="1" ht="15">
      <c r="A477" s="3526">
        <v>476</v>
      </c>
      <c r="B477" s="3529"/>
      <c r="C477" s="3530"/>
      <c r="D477" s="3531"/>
      <c r="E477" s="3531"/>
      <c r="F477" s="3530"/>
      <c r="G477" s="3530"/>
      <c r="H477" s="3530"/>
      <c r="I477" s="3530"/>
      <c r="J477" s="3530"/>
      <c r="K477" s="3530"/>
      <c r="L477" s="3530"/>
      <c r="M477" s="3539"/>
    </row>
    <row r="478" spans="1:13" s="3533" customFormat="1" ht="15">
      <c r="A478" s="3526">
        <v>477</v>
      </c>
      <c r="B478" s="3529"/>
      <c r="C478" s="3530"/>
      <c r="D478" s="3531"/>
      <c r="E478" s="3531"/>
      <c r="F478" s="3530"/>
      <c r="G478" s="3530"/>
      <c r="H478" s="3530"/>
      <c r="I478" s="3530"/>
      <c r="J478" s="3530"/>
      <c r="K478" s="3530"/>
      <c r="L478" s="3530"/>
      <c r="M478" s="3539"/>
    </row>
    <row r="479" spans="1:13" s="3533" customFormat="1" ht="15">
      <c r="A479" s="3526">
        <v>478</v>
      </c>
      <c r="B479" s="3529"/>
      <c r="C479" s="3530"/>
      <c r="D479" s="3531"/>
      <c r="E479" s="3531"/>
      <c r="F479" s="3530"/>
      <c r="G479" s="3530"/>
      <c r="H479" s="3530"/>
      <c r="I479" s="3530"/>
      <c r="J479" s="3530"/>
      <c r="K479" s="3530"/>
      <c r="L479" s="3530"/>
      <c r="M479" s="3539"/>
    </row>
    <row r="480" spans="1:13" s="3533" customFormat="1" ht="15">
      <c r="A480" s="3526">
        <v>479</v>
      </c>
      <c r="B480" s="3529"/>
      <c r="C480" s="3530"/>
      <c r="D480" s="3531"/>
      <c r="E480" s="3531"/>
      <c r="F480" s="3530"/>
      <c r="G480" s="3530"/>
      <c r="H480" s="3530"/>
      <c r="I480" s="3530"/>
      <c r="J480" s="3530"/>
      <c r="K480" s="3530"/>
      <c r="L480" s="3530"/>
      <c r="M480" s="3539"/>
    </row>
    <row r="481" spans="1:13" s="3533" customFormat="1" ht="15">
      <c r="A481" s="3526">
        <v>480</v>
      </c>
      <c r="B481" s="3529"/>
      <c r="C481" s="3530"/>
      <c r="D481" s="3531"/>
      <c r="E481" s="3531"/>
      <c r="F481" s="3530"/>
      <c r="G481" s="3530"/>
      <c r="H481" s="3530"/>
      <c r="I481" s="3530"/>
      <c r="J481" s="3530"/>
      <c r="K481" s="3530"/>
      <c r="L481" s="3530"/>
      <c r="M481" s="3539"/>
    </row>
    <row r="482" spans="1:13" s="3533" customFormat="1" ht="15">
      <c r="A482" s="3526">
        <v>481</v>
      </c>
      <c r="B482" s="3529"/>
      <c r="C482" s="3530"/>
      <c r="D482" s="3531"/>
      <c r="E482" s="3531"/>
      <c r="F482" s="3530"/>
      <c r="G482" s="3530"/>
      <c r="H482" s="3530"/>
      <c r="I482" s="3530"/>
      <c r="J482" s="3530"/>
      <c r="K482" s="3530"/>
      <c r="L482" s="3530"/>
      <c r="M482" s="3539"/>
    </row>
    <row r="483" spans="1:13" s="3533" customFormat="1" ht="15">
      <c r="A483" s="3526">
        <v>482</v>
      </c>
      <c r="B483" s="3529"/>
      <c r="C483" s="3530"/>
      <c r="D483" s="3531"/>
      <c r="E483" s="3531"/>
      <c r="F483" s="3530"/>
      <c r="G483" s="3530"/>
      <c r="H483" s="3530"/>
      <c r="I483" s="3530"/>
      <c r="J483" s="3530"/>
      <c r="K483" s="3530"/>
      <c r="L483" s="3530"/>
      <c r="M483" s="3539"/>
    </row>
    <row r="484" spans="1:13" s="3533" customFormat="1" ht="15">
      <c r="A484" s="3526">
        <v>483</v>
      </c>
      <c r="B484" s="3529"/>
      <c r="C484" s="3530"/>
      <c r="D484" s="3531"/>
      <c r="E484" s="3531"/>
      <c r="F484" s="3530"/>
      <c r="G484" s="3530"/>
      <c r="H484" s="3530"/>
      <c r="I484" s="3530"/>
      <c r="J484" s="3530"/>
      <c r="K484" s="3530"/>
      <c r="L484" s="3530"/>
      <c r="M484" s="3539"/>
    </row>
    <row r="485" spans="1:13" s="3533" customFormat="1" ht="15">
      <c r="A485" s="3526">
        <v>484</v>
      </c>
      <c r="B485" s="3529"/>
      <c r="C485" s="3530"/>
      <c r="D485" s="3531"/>
      <c r="E485" s="3531"/>
      <c r="F485" s="3530"/>
      <c r="G485" s="3530"/>
      <c r="H485" s="3530"/>
      <c r="I485" s="3530"/>
      <c r="J485" s="3530"/>
      <c r="K485" s="3530"/>
      <c r="L485" s="3530"/>
      <c r="M485" s="3539"/>
    </row>
    <row r="486" spans="1:13" s="3533" customFormat="1" ht="15">
      <c r="A486" s="3526">
        <v>485</v>
      </c>
      <c r="B486" s="3529"/>
      <c r="C486" s="3530"/>
      <c r="D486" s="3531"/>
      <c r="E486" s="3531"/>
      <c r="F486" s="3530"/>
      <c r="G486" s="3530"/>
      <c r="H486" s="3530"/>
      <c r="I486" s="3530"/>
      <c r="J486" s="3530"/>
      <c r="K486" s="3530"/>
      <c r="L486" s="3530"/>
      <c r="M486" s="3539"/>
    </row>
    <row r="487" spans="1:13" s="3533" customFormat="1" ht="15">
      <c r="A487" s="3526">
        <v>486</v>
      </c>
      <c r="B487" s="3529"/>
      <c r="C487" s="3530"/>
      <c r="D487" s="3531"/>
      <c r="E487" s="3531"/>
      <c r="F487" s="3530"/>
      <c r="G487" s="3530"/>
      <c r="H487" s="3530"/>
      <c r="I487" s="3530"/>
      <c r="J487" s="3530"/>
      <c r="K487" s="3530"/>
      <c r="L487" s="3530"/>
      <c r="M487" s="3539"/>
    </row>
    <row r="488" spans="1:13" s="3533" customFormat="1" ht="15">
      <c r="A488" s="3526">
        <v>487</v>
      </c>
      <c r="B488" s="3529"/>
      <c r="C488" s="3530"/>
      <c r="D488" s="3531"/>
      <c r="E488" s="3531"/>
      <c r="F488" s="3530"/>
      <c r="G488" s="3530"/>
      <c r="H488" s="3530"/>
      <c r="I488" s="3530"/>
      <c r="J488" s="3530"/>
      <c r="K488" s="3530"/>
      <c r="L488" s="3530"/>
      <c r="M488" s="3539"/>
    </row>
    <row r="489" spans="1:13" s="3533" customFormat="1" ht="15">
      <c r="A489" s="3526">
        <v>488</v>
      </c>
      <c r="B489" s="3529"/>
      <c r="C489" s="3530"/>
      <c r="D489" s="3531"/>
      <c r="E489" s="3531"/>
      <c r="F489" s="3530"/>
      <c r="G489" s="3530"/>
      <c r="H489" s="3530"/>
      <c r="I489" s="3530"/>
      <c r="J489" s="3530"/>
      <c r="K489" s="3530"/>
      <c r="L489" s="3530"/>
      <c r="M489" s="3539"/>
    </row>
    <row r="490" spans="1:13" s="3533" customFormat="1" ht="15">
      <c r="A490" s="3526">
        <v>489</v>
      </c>
      <c r="B490" s="3529"/>
      <c r="C490" s="3530"/>
      <c r="D490" s="3531"/>
      <c r="E490" s="3531"/>
      <c r="F490" s="3530"/>
      <c r="G490" s="3530"/>
      <c r="H490" s="3530"/>
      <c r="I490" s="3530"/>
      <c r="J490" s="3530"/>
      <c r="K490" s="3530"/>
      <c r="L490" s="3530"/>
      <c r="M490" s="3539"/>
    </row>
    <row r="491" spans="1:13" s="3533" customFormat="1" ht="15">
      <c r="A491" s="3526">
        <v>490</v>
      </c>
      <c r="B491" s="3529"/>
      <c r="C491" s="3530"/>
      <c r="D491" s="3531"/>
      <c r="E491" s="3531"/>
      <c r="F491" s="3530"/>
      <c r="G491" s="3530"/>
      <c r="H491" s="3530"/>
      <c r="I491" s="3530"/>
      <c r="J491" s="3530"/>
      <c r="K491" s="3530"/>
      <c r="L491" s="3530"/>
      <c r="M491" s="3539"/>
    </row>
    <row r="492" spans="1:13" s="3533" customFormat="1" ht="15">
      <c r="A492" s="3526">
        <v>491</v>
      </c>
      <c r="B492" s="3529"/>
      <c r="C492" s="3530"/>
      <c r="D492" s="3531"/>
      <c r="E492" s="3531"/>
      <c r="F492" s="3530"/>
      <c r="G492" s="3530"/>
      <c r="H492" s="3530"/>
      <c r="I492" s="3530"/>
      <c r="J492" s="3530"/>
      <c r="K492" s="3530"/>
      <c r="L492" s="3530"/>
      <c r="M492" s="3539"/>
    </row>
    <row r="493" spans="1:13" s="3533" customFormat="1" ht="15">
      <c r="A493" s="3526">
        <v>492</v>
      </c>
      <c r="B493" s="3529"/>
      <c r="C493" s="3530"/>
      <c r="D493" s="3531"/>
      <c r="E493" s="3531"/>
      <c r="F493" s="3530"/>
      <c r="G493" s="3530"/>
      <c r="H493" s="3530"/>
      <c r="I493" s="3530"/>
      <c r="J493" s="3530"/>
      <c r="K493" s="3530"/>
      <c r="L493" s="3530"/>
      <c r="M493" s="3539"/>
    </row>
    <row r="494" spans="1:13" s="3533" customFormat="1" ht="15">
      <c r="A494" s="3526">
        <v>493</v>
      </c>
      <c r="B494" s="3529"/>
      <c r="C494" s="3530"/>
      <c r="D494" s="3531"/>
      <c r="E494" s="3531"/>
      <c r="F494" s="3530"/>
      <c r="G494" s="3530"/>
      <c r="H494" s="3530"/>
      <c r="I494" s="3530"/>
      <c r="J494" s="3530"/>
      <c r="K494" s="3530"/>
      <c r="L494" s="3530"/>
      <c r="M494" s="3539"/>
    </row>
    <row r="495" spans="1:13" s="3533" customFormat="1" ht="15">
      <c r="A495" s="3526">
        <v>494</v>
      </c>
      <c r="B495" s="3529"/>
      <c r="C495" s="3530"/>
      <c r="D495" s="3531"/>
      <c r="E495" s="3531"/>
      <c r="F495" s="3530"/>
      <c r="G495" s="3530"/>
      <c r="H495" s="3530"/>
      <c r="I495" s="3530"/>
      <c r="J495" s="3530"/>
      <c r="K495" s="3530"/>
      <c r="L495" s="3530"/>
      <c r="M495" s="3539"/>
    </row>
    <row r="496" spans="1:13" s="3533" customFormat="1" ht="15">
      <c r="A496" s="3526">
        <v>495</v>
      </c>
      <c r="B496" s="3529"/>
      <c r="C496" s="3530"/>
      <c r="D496" s="3531"/>
      <c r="E496" s="3531"/>
      <c r="F496" s="3530"/>
      <c r="G496" s="3530"/>
      <c r="H496" s="3530"/>
      <c r="I496" s="3530"/>
      <c r="J496" s="3530"/>
      <c r="K496" s="3530"/>
      <c r="L496" s="3530"/>
      <c r="M496" s="3539"/>
    </row>
    <row r="497" spans="1:13" s="3533" customFormat="1" ht="15">
      <c r="A497" s="3526">
        <v>496</v>
      </c>
      <c r="B497" s="3529"/>
      <c r="C497" s="3530"/>
      <c r="D497" s="3531"/>
      <c r="E497" s="3531"/>
      <c r="F497" s="3530"/>
      <c r="G497" s="3530"/>
      <c r="H497" s="3530"/>
      <c r="I497" s="3530"/>
      <c r="J497" s="3530"/>
      <c r="K497" s="3530"/>
      <c r="L497" s="3530"/>
      <c r="M497" s="3539"/>
    </row>
    <row r="498" spans="1:13" s="3533" customFormat="1" ht="15">
      <c r="A498" s="3526">
        <v>497</v>
      </c>
      <c r="B498" s="3529"/>
      <c r="C498" s="3530"/>
      <c r="D498" s="3531"/>
      <c r="E498" s="3531"/>
      <c r="F498" s="3530"/>
      <c r="G498" s="3530"/>
      <c r="H498" s="3530"/>
      <c r="I498" s="3530"/>
      <c r="J498" s="3530"/>
      <c r="K498" s="3530"/>
      <c r="L498" s="3530"/>
      <c r="M498" s="3539"/>
    </row>
    <row r="499" spans="1:13" s="3533" customFormat="1" ht="15">
      <c r="A499" s="3526">
        <v>498</v>
      </c>
      <c r="B499" s="3529"/>
      <c r="C499" s="3530"/>
      <c r="D499" s="3531"/>
      <c r="E499" s="3531"/>
      <c r="F499" s="3530"/>
      <c r="G499" s="3530"/>
      <c r="H499" s="3530"/>
      <c r="I499" s="3530"/>
      <c r="J499" s="3530"/>
      <c r="K499" s="3530"/>
      <c r="L499" s="3530"/>
      <c r="M499" s="3539"/>
    </row>
    <row r="500" spans="1:13" s="3541" customFormat="1" ht="15">
      <c r="A500" s="3526">
        <v>499</v>
      </c>
      <c r="B500" s="3540"/>
      <c r="C500" s="3540"/>
      <c r="D500" s="3540"/>
      <c r="E500" s="3540"/>
      <c r="F500" s="3540"/>
      <c r="G500" s="3540"/>
      <c r="H500" s="3540"/>
      <c r="I500" s="3540"/>
      <c r="J500" s="3540"/>
      <c r="K500" s="3540"/>
      <c r="L500" s="3540"/>
      <c r="M500" s="3540"/>
    </row>
    <row r="501" spans="1:13" ht="15">
      <c r="A501" s="3526">
        <v>500</v>
      </c>
    </row>
    <row r="502" spans="1:13" ht="15">
      <c r="A502" s="3526">
        <v>501</v>
      </c>
    </row>
    <row r="503" spans="1:13" ht="15">
      <c r="A503" s="3526">
        <v>502</v>
      </c>
    </row>
  </sheetData>
  <phoneticPr fontId="135" type="noConversion"/>
  <dataValidations count="2">
    <dataValidation type="decimal" allowBlank="1" showInputMessage="1" showErrorMessage="1" sqref="C2:C499 F2:L144 F145:G145 I145:L145 F150 F146:L149 F151:L499 H150:L150" xr:uid="{490D5456-8CF3-4A71-AC3B-0261E56048C9}">
      <formula1>0</formula1>
      <formula2>999999999</formula2>
    </dataValidation>
    <dataValidation type="date" allowBlank="1" showInputMessage="1" showErrorMessage="1" sqref="D2:E499" xr:uid="{1C4D95FD-6A54-4520-B08E-DCDCB97FFCC2}">
      <formula1>1</formula1>
      <formula2>69763</formula2>
    </dataValidation>
  </dataValidations>
  <pageMargins left="0.7" right="0.7" top="0.75" bottom="0.75" header="0.3" footer="0.3"/>
  <pageSetup paperSize="9" scale="30"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EA311-0808-4B00-950C-012A90C50922}">
  <dimension ref="A1:V1048576"/>
  <sheetViews>
    <sheetView workbookViewId="0">
      <pane xSplit="10" ySplit="8" topLeftCell="L527" activePane="bottomRight" state="frozen"/>
      <selection pane="topRight" activeCell="K1" sqref="K1"/>
      <selection pane="bottomLeft" activeCell="A9" sqref="A9"/>
      <selection pane="bottomRight" activeCell="I529" sqref="I529"/>
    </sheetView>
  </sheetViews>
  <sheetFormatPr defaultColWidth="8.75" defaultRowHeight="13.5"/>
  <cols>
    <col min="1" max="2" width="8.75" style="3546"/>
    <col min="3" max="3" width="11.875" style="3549" customWidth="1"/>
    <col min="4" max="4" width="11.875" style="3546" customWidth="1"/>
    <col min="5" max="7" width="11.875" style="3549" customWidth="1"/>
    <col min="8" max="9" width="11.875" style="3547" customWidth="1"/>
    <col min="10" max="10" width="16.125" style="3547" customWidth="1"/>
    <col min="11" max="15" width="11.875" style="3546" customWidth="1"/>
    <col min="16" max="16" width="11.875" style="3548" customWidth="1"/>
    <col min="17" max="19" width="8.75" style="3547"/>
    <col min="20" max="20" width="8.75" style="3546"/>
    <col min="21" max="21" width="16.125" style="3545" bestFit="1" customWidth="1"/>
    <col min="22" max="16384" width="8.75" style="3545"/>
  </cols>
  <sheetData>
    <row r="1" spans="1:22">
      <c r="D1" s="3546">
        <v>1</v>
      </c>
      <c r="Q1" s="3545"/>
      <c r="R1" s="3545"/>
      <c r="S1" s="3545"/>
      <c r="T1" s="3545"/>
    </row>
    <row r="2" spans="1:22" ht="14.25" thickBot="1">
      <c r="M2" s="3546">
        <v>2024</v>
      </c>
      <c r="N2" s="3546">
        <v>7</v>
      </c>
      <c r="O2" s="3546">
        <v>31</v>
      </c>
      <c r="Q2" s="3545"/>
      <c r="R2" s="3545"/>
      <c r="S2" s="3545"/>
      <c r="T2" s="3545"/>
    </row>
    <row r="3" spans="1:22" ht="14.25" thickTop="1">
      <c r="A3" s="3857"/>
      <c r="B3" s="3861" t="s">
        <v>4548</v>
      </c>
      <c r="C3" s="3860" t="s">
        <v>4547</v>
      </c>
      <c r="D3" s="3859"/>
      <c r="E3" s="3859"/>
      <c r="F3" s="3859"/>
      <c r="G3" s="3858"/>
      <c r="H3" s="3857" t="s">
        <v>4546</v>
      </c>
      <c r="I3" s="3857"/>
      <c r="J3" s="3857"/>
      <c r="K3" s="3857"/>
      <c r="L3" s="3857"/>
      <c r="M3" s="3857"/>
      <c r="N3" s="3857"/>
      <c r="O3" s="3857"/>
      <c r="P3" s="3857"/>
      <c r="Q3" s="3857" t="s">
        <v>4545</v>
      </c>
      <c r="R3" s="3857"/>
      <c r="S3" s="3857"/>
      <c r="T3" s="3857"/>
    </row>
    <row r="4" spans="1:22" ht="36">
      <c r="A4" s="3846"/>
      <c r="B4" s="3855" t="s">
        <v>4544</v>
      </c>
      <c r="C4" s="3854" t="s">
        <v>4543</v>
      </c>
      <c r="D4" s="3846" t="s">
        <v>4542</v>
      </c>
      <c r="E4" s="3853" t="s">
        <v>4541</v>
      </c>
      <c r="F4" s="3852" t="s">
        <v>4540</v>
      </c>
      <c r="G4" s="3851" t="s">
        <v>4539</v>
      </c>
      <c r="H4" s="3847" t="s">
        <v>4538</v>
      </c>
      <c r="I4" s="3847" t="s">
        <v>4537</v>
      </c>
      <c r="J4" s="3847" t="s">
        <v>4536</v>
      </c>
      <c r="K4" s="3846" t="s">
        <v>4535</v>
      </c>
      <c r="L4" s="3856" t="s">
        <v>4534</v>
      </c>
      <c r="M4" s="3856" t="s">
        <v>4533</v>
      </c>
      <c r="N4" s="3850">
        <v>45474</v>
      </c>
      <c r="O4" s="3849"/>
      <c r="P4" s="3848" t="s">
        <v>4532</v>
      </c>
      <c r="Q4" s="3847" t="s">
        <v>4531</v>
      </c>
      <c r="R4" s="3847" t="s">
        <v>4530</v>
      </c>
      <c r="S4" s="3847" t="s">
        <v>4529</v>
      </c>
      <c r="T4" s="3846" t="s">
        <v>4528</v>
      </c>
    </row>
    <row r="5" spans="1:22">
      <c r="A5" s="3846"/>
      <c r="B5" s="3855">
        <v>18965.22</v>
      </c>
      <c r="C5" s="3854"/>
      <c r="D5" s="3846"/>
      <c r="E5" s="3853"/>
      <c r="F5" s="3852"/>
      <c r="G5" s="3851"/>
      <c r="H5" s="3847"/>
      <c r="I5" s="3847"/>
      <c r="J5" s="3847"/>
      <c r="K5" s="3846"/>
      <c r="L5" s="3850"/>
      <c r="M5" s="3850"/>
      <c r="N5" s="3850"/>
      <c r="O5" s="3849"/>
      <c r="P5" s="3848"/>
      <c r="Q5" s="3847"/>
      <c r="R5" s="3847"/>
      <c r="S5" s="3847"/>
      <c r="T5" s="3846"/>
    </row>
    <row r="6" spans="1:22" ht="38.25">
      <c r="A6" s="3636" t="s">
        <v>4527</v>
      </c>
      <c r="B6" s="3716">
        <v>2532</v>
      </c>
      <c r="C6" s="3711">
        <v>45122</v>
      </c>
      <c r="D6" s="3843">
        <v>183</v>
      </c>
      <c r="E6" s="3701">
        <v>50690</v>
      </c>
      <c r="F6" s="3701">
        <v>45212</v>
      </c>
      <c r="G6" s="3700">
        <v>45212</v>
      </c>
      <c r="H6" s="3631"/>
      <c r="I6" s="3631"/>
      <c r="J6" s="3637" t="s">
        <v>4526</v>
      </c>
      <c r="K6" s="3634" t="s">
        <v>4525</v>
      </c>
      <c r="L6" s="3690"/>
      <c r="M6" s="3690"/>
      <c r="N6" s="3634"/>
      <c r="O6" s="3634"/>
      <c r="P6" s="3839" t="s">
        <v>4524</v>
      </c>
      <c r="Q6" s="3631" t="s">
        <v>4520</v>
      </c>
      <c r="R6" s="3631" t="s">
        <v>4519</v>
      </c>
      <c r="S6" s="3631"/>
      <c r="T6" s="3634" t="s">
        <v>4523</v>
      </c>
    </row>
    <row r="7" spans="1:22" ht="48.75">
      <c r="A7" s="3636"/>
      <c r="B7" s="3716"/>
      <c r="C7" s="3711"/>
      <c r="D7" s="3843"/>
      <c r="E7" s="3636"/>
      <c r="F7" s="3701"/>
      <c r="G7" s="3700"/>
      <c r="H7" s="3631"/>
      <c r="I7" s="3631"/>
      <c r="J7" s="3637"/>
      <c r="K7" s="3634" t="s">
        <v>4522</v>
      </c>
      <c r="L7" s="3690"/>
      <c r="M7" s="3690"/>
      <c r="N7" s="3634"/>
      <c r="O7" s="3634"/>
      <c r="P7" s="3839" t="s">
        <v>4521</v>
      </c>
      <c r="Q7" s="3631" t="s">
        <v>4520</v>
      </c>
      <c r="R7" s="3631" t="s">
        <v>4519</v>
      </c>
      <c r="S7" s="3631"/>
      <c r="T7" s="3634"/>
    </row>
    <row r="8" spans="1:22" ht="74.25">
      <c r="A8" s="3636"/>
      <c r="B8" s="3716"/>
      <c r="C8" s="3711"/>
      <c r="D8" s="3843"/>
      <c r="E8" s="3636"/>
      <c r="F8" s="3701"/>
      <c r="G8" s="3700"/>
      <c r="H8" s="3631"/>
      <c r="I8" s="3631"/>
      <c r="J8" s="3637" t="s">
        <v>4518</v>
      </c>
      <c r="K8" s="3634" t="s">
        <v>4517</v>
      </c>
      <c r="L8" s="3690"/>
      <c r="M8" s="3690"/>
      <c r="N8" s="3634"/>
      <c r="O8" s="3634"/>
      <c r="P8" s="3839" t="s">
        <v>4516</v>
      </c>
      <c r="Q8" s="3631">
        <v>10</v>
      </c>
      <c r="R8" s="3631">
        <v>25320</v>
      </c>
      <c r="S8" s="3845"/>
      <c r="T8" s="3631" t="s">
        <v>4515</v>
      </c>
    </row>
    <row r="9" spans="1:22" ht="74.25">
      <c r="A9" s="3636"/>
      <c r="B9" s="3716"/>
      <c r="C9" s="3711"/>
      <c r="D9" s="3843"/>
      <c r="E9" s="3636"/>
      <c r="F9" s="3701"/>
      <c r="G9" s="3700"/>
      <c r="H9" s="3595"/>
      <c r="I9" s="3595"/>
      <c r="J9" s="3637"/>
      <c r="K9" s="3592" t="s">
        <v>4514</v>
      </c>
      <c r="L9" s="3594"/>
      <c r="M9" s="3594"/>
      <c r="N9" s="3592"/>
      <c r="O9" s="3592"/>
      <c r="P9" s="3844" t="s">
        <v>4513</v>
      </c>
      <c r="Q9" s="3595">
        <v>5.1816000000000004</v>
      </c>
      <c r="R9" s="3595">
        <v>13119.8112</v>
      </c>
      <c r="S9" s="3631"/>
      <c r="T9" s="3595" t="s">
        <v>4512</v>
      </c>
      <c r="U9" s="3545">
        <f>350/12*10000</f>
        <v>291666.66666666669</v>
      </c>
      <c r="V9" s="3545">
        <f>U9/B6</f>
        <v>115.19220642443392</v>
      </c>
    </row>
    <row r="10" spans="1:22" ht="86.25">
      <c r="A10" s="3636"/>
      <c r="B10" s="3716"/>
      <c r="C10" s="3711"/>
      <c r="D10" s="3843"/>
      <c r="E10" s="3636"/>
      <c r="F10" s="3701"/>
      <c r="G10" s="3700"/>
      <c r="H10" s="3631"/>
      <c r="I10" s="3631"/>
      <c r="J10" s="3637"/>
      <c r="K10" s="3634" t="s">
        <v>4511</v>
      </c>
      <c r="L10" s="3690"/>
      <c r="M10" s="3690"/>
      <c r="N10" s="3634"/>
      <c r="O10" s="3634"/>
      <c r="P10" s="3839" t="s">
        <v>4510</v>
      </c>
      <c r="Q10" s="3631"/>
      <c r="R10" s="3631"/>
      <c r="S10" s="3631"/>
      <c r="T10" s="3634"/>
    </row>
    <row r="11" spans="1:22" ht="86.25">
      <c r="A11" s="3636"/>
      <c r="B11" s="3716"/>
      <c r="C11" s="3711"/>
      <c r="D11" s="3843"/>
      <c r="E11" s="3636"/>
      <c r="F11" s="3701"/>
      <c r="G11" s="3700"/>
      <c r="H11" s="3631"/>
      <c r="I11" s="3631"/>
      <c r="J11" s="3637"/>
      <c r="K11" s="3634" t="s">
        <v>4509</v>
      </c>
      <c r="L11" s="3690"/>
      <c r="M11" s="3690"/>
      <c r="N11" s="3634"/>
      <c r="O11" s="3634"/>
      <c r="P11" s="3839" t="s">
        <v>4508</v>
      </c>
      <c r="Q11" s="3631"/>
      <c r="R11" s="3631"/>
      <c r="S11" s="3631"/>
      <c r="T11" s="3634"/>
    </row>
    <row r="12" spans="1:22" ht="25.5">
      <c r="A12" s="3570" t="s">
        <v>4507</v>
      </c>
      <c r="B12" s="3570">
        <v>157</v>
      </c>
      <c r="C12" s="3753">
        <v>45529</v>
      </c>
      <c r="D12" s="3842"/>
      <c r="E12" s="3752">
        <v>46673</v>
      </c>
      <c r="F12" s="3752">
        <v>45529</v>
      </c>
      <c r="G12" s="3752">
        <v>45529</v>
      </c>
      <c r="H12" s="3631">
        <v>100</v>
      </c>
      <c r="I12" s="3631">
        <v>15700</v>
      </c>
      <c r="J12" s="3631">
        <v>15700</v>
      </c>
      <c r="K12" s="3634" t="s">
        <v>4506</v>
      </c>
      <c r="L12" s="3690">
        <v>45529</v>
      </c>
      <c r="M12" s="3690">
        <v>45609</v>
      </c>
      <c r="N12" s="3634"/>
      <c r="O12" s="3634"/>
      <c r="P12" s="3839">
        <v>0.06</v>
      </c>
      <c r="Q12" s="3631"/>
      <c r="R12" s="3631"/>
      <c r="S12" s="3631"/>
      <c r="T12" s="3634"/>
    </row>
    <row r="13" spans="1:22" ht="25.5">
      <c r="A13" s="3568"/>
      <c r="B13" s="3568"/>
      <c r="C13" s="3748"/>
      <c r="D13" s="3841"/>
      <c r="E13" s="3747"/>
      <c r="F13" s="3747"/>
      <c r="G13" s="3747"/>
      <c r="H13" s="3631">
        <v>100</v>
      </c>
      <c r="I13" s="3631">
        <v>15700</v>
      </c>
      <c r="J13" s="3631">
        <v>172484.93150684901</v>
      </c>
      <c r="K13" s="3634" t="s">
        <v>4505</v>
      </c>
      <c r="L13" s="3690">
        <v>45610</v>
      </c>
      <c r="M13" s="3690">
        <v>45943</v>
      </c>
      <c r="N13" s="3634"/>
      <c r="O13" s="3634"/>
      <c r="P13" s="3839">
        <v>0.06</v>
      </c>
      <c r="Q13" s="3631"/>
      <c r="R13" s="3631"/>
      <c r="S13" s="3631"/>
      <c r="T13" s="3634"/>
      <c r="U13" s="3590">
        <f>I13</f>
        <v>15700</v>
      </c>
    </row>
    <row r="14" spans="1:22" ht="25.5">
      <c r="A14" s="3568"/>
      <c r="B14" s="3568"/>
      <c r="C14" s="3748"/>
      <c r="D14" s="3841"/>
      <c r="E14" s="3747"/>
      <c r="F14" s="3747"/>
      <c r="G14" s="3747"/>
      <c r="H14" s="3631">
        <v>105</v>
      </c>
      <c r="I14" s="3631">
        <v>16485</v>
      </c>
      <c r="J14" s="3631">
        <v>197594.178082192</v>
      </c>
      <c r="K14" s="3634" t="s">
        <v>4504</v>
      </c>
      <c r="L14" s="3690">
        <v>45944</v>
      </c>
      <c r="M14" s="3690">
        <v>46308</v>
      </c>
      <c r="N14" s="3634"/>
      <c r="O14" s="3634"/>
      <c r="P14" s="3839">
        <v>0.06</v>
      </c>
      <c r="Q14" s="3631"/>
      <c r="R14" s="3631"/>
      <c r="S14" s="3631"/>
      <c r="T14" s="3634"/>
    </row>
    <row r="15" spans="1:22" ht="25.5">
      <c r="A15" s="3567"/>
      <c r="B15" s="3567"/>
      <c r="C15" s="3744"/>
      <c r="D15" s="3840"/>
      <c r="E15" s="3743"/>
      <c r="F15" s="3743"/>
      <c r="G15" s="3743"/>
      <c r="H15" s="3631">
        <v>110</v>
      </c>
      <c r="I15" s="3631">
        <v>17270</v>
      </c>
      <c r="J15" s="3631">
        <v>207003.42465753399</v>
      </c>
      <c r="K15" s="3634" t="s">
        <v>4503</v>
      </c>
      <c r="L15" s="3690">
        <v>46309</v>
      </c>
      <c r="M15" s="3690">
        <v>46673</v>
      </c>
      <c r="N15" s="3634"/>
      <c r="O15" s="3634"/>
      <c r="P15" s="3839">
        <v>7.0000000000000007E-2</v>
      </c>
      <c r="Q15" s="3631"/>
      <c r="R15" s="3631"/>
      <c r="S15" s="3631"/>
      <c r="T15" s="3634"/>
    </row>
    <row r="16" spans="1:22" ht="25.5">
      <c r="A16" s="3570" t="s">
        <v>4502</v>
      </c>
      <c r="B16" s="3570">
        <v>422.45</v>
      </c>
      <c r="C16" s="3753">
        <v>45560</v>
      </c>
      <c r="D16" s="3634"/>
      <c r="E16" s="3752">
        <v>47475</v>
      </c>
      <c r="F16" s="3838"/>
      <c r="G16" s="3838"/>
      <c r="H16" s="3631">
        <v>160</v>
      </c>
      <c r="I16" s="3631">
        <v>67592</v>
      </c>
      <c r="J16" s="3631">
        <v>67592</v>
      </c>
      <c r="K16" s="3634" t="s">
        <v>4501</v>
      </c>
      <c r="L16" s="3784">
        <v>45560</v>
      </c>
      <c r="M16" s="3784">
        <v>45680</v>
      </c>
      <c r="N16" s="3784"/>
      <c r="O16" s="3784"/>
      <c r="P16" s="3710">
        <v>7.0000000000000007E-2</v>
      </c>
      <c r="Q16" s="3631"/>
      <c r="R16" s="3631"/>
      <c r="S16" s="3631"/>
      <c r="T16" s="3634"/>
    </row>
    <row r="17" spans="1:21" ht="25.5">
      <c r="A17" s="3568"/>
      <c r="B17" s="3568"/>
      <c r="C17" s="3748"/>
      <c r="D17" s="3634"/>
      <c r="E17" s="3645"/>
      <c r="F17" s="3836"/>
      <c r="G17" s="3836"/>
      <c r="H17" s="3631">
        <v>160</v>
      </c>
      <c r="I17" s="3631">
        <v>67592</v>
      </c>
      <c r="J17" s="3631">
        <v>1555912.28493151</v>
      </c>
      <c r="K17" s="3634" t="s">
        <v>4500</v>
      </c>
      <c r="L17" s="3784">
        <v>45681</v>
      </c>
      <c r="M17" s="3784">
        <v>46379</v>
      </c>
      <c r="N17" s="3784"/>
      <c r="O17" s="3784"/>
      <c r="P17" s="3710">
        <v>7.0000000000000007E-2</v>
      </c>
      <c r="Q17" s="3631"/>
      <c r="R17" s="3631"/>
      <c r="S17" s="3631"/>
      <c r="T17" s="3634"/>
      <c r="U17" s="3590">
        <f>I17</f>
        <v>67592</v>
      </c>
    </row>
    <row r="18" spans="1:21" ht="25.5">
      <c r="A18" s="3568"/>
      <c r="B18" s="3568"/>
      <c r="C18" s="3748"/>
      <c r="D18" s="3634"/>
      <c r="E18" s="3645"/>
      <c r="F18" s="3837">
        <v>45560</v>
      </c>
      <c r="G18" s="3837">
        <v>45560</v>
      </c>
      <c r="H18" s="3631">
        <v>168</v>
      </c>
      <c r="I18" s="3631">
        <v>70971.600000000006</v>
      </c>
      <c r="J18" s="3631">
        <v>853020.29917808203</v>
      </c>
      <c r="K18" s="3634" t="s">
        <v>4499</v>
      </c>
      <c r="L18" s="3784">
        <v>46380</v>
      </c>
      <c r="M18" s="3784">
        <v>46744</v>
      </c>
      <c r="N18" s="3784"/>
      <c r="O18" s="3784"/>
      <c r="P18" s="3710">
        <v>7.0000000000000007E-2</v>
      </c>
      <c r="Q18" s="3631"/>
      <c r="R18" s="3631"/>
      <c r="S18" s="3631"/>
      <c r="T18" s="3634"/>
    </row>
    <row r="19" spans="1:21" ht="25.5">
      <c r="A19" s="3568"/>
      <c r="B19" s="3568"/>
      <c r="C19" s="3748"/>
      <c r="D19" s="3634"/>
      <c r="E19" s="3645"/>
      <c r="F19" s="3836"/>
      <c r="G19" s="3836"/>
      <c r="H19" s="3631">
        <v>168</v>
      </c>
      <c r="I19" s="3631">
        <v>70971.600000000006</v>
      </c>
      <c r="J19" s="3631">
        <v>853020.29917808203</v>
      </c>
      <c r="K19" s="3634" t="s">
        <v>4498</v>
      </c>
      <c r="L19" s="3784">
        <v>46745</v>
      </c>
      <c r="M19" s="3784">
        <v>47110</v>
      </c>
      <c r="N19" s="3784"/>
      <c r="O19" s="3784"/>
      <c r="P19" s="3710">
        <v>0.08</v>
      </c>
      <c r="Q19" s="3631"/>
      <c r="R19" s="3631"/>
      <c r="S19" s="3631"/>
      <c r="T19" s="3634"/>
    </row>
    <row r="20" spans="1:21" ht="25.5">
      <c r="A20" s="3567"/>
      <c r="B20" s="3567"/>
      <c r="C20" s="3744"/>
      <c r="D20" s="3634"/>
      <c r="E20" s="3639"/>
      <c r="F20" s="3835"/>
      <c r="G20" s="3835"/>
      <c r="H20" s="3631">
        <v>177</v>
      </c>
      <c r="I20" s="3631">
        <v>74773.649999999994</v>
      </c>
      <c r="J20" s="3631">
        <v>898717.81520547904</v>
      </c>
      <c r="K20" s="3634" t="s">
        <v>4497</v>
      </c>
      <c r="L20" s="3784">
        <v>47111</v>
      </c>
      <c r="M20" s="3784">
        <v>47475</v>
      </c>
      <c r="N20" s="3784"/>
      <c r="O20" s="3784"/>
      <c r="P20" s="3710">
        <v>0.08</v>
      </c>
      <c r="Q20" s="3631"/>
      <c r="R20" s="3631"/>
      <c r="S20" s="3631"/>
      <c r="T20" s="3634"/>
    </row>
    <row r="21" spans="1:21" ht="25.5">
      <c r="A21" s="3650" t="s">
        <v>4496</v>
      </c>
      <c r="B21" s="3650">
        <v>495.2</v>
      </c>
      <c r="C21" s="3833" t="s">
        <v>4495</v>
      </c>
      <c r="D21" s="3636" t="s">
        <v>4494</v>
      </c>
      <c r="E21" s="3701" t="s">
        <v>4493</v>
      </c>
      <c r="F21" s="3701" t="s">
        <v>4492</v>
      </c>
      <c r="G21" s="3700" t="s">
        <v>4491</v>
      </c>
      <c r="H21" s="3631">
        <v>75</v>
      </c>
      <c r="I21" s="3631">
        <v>68823.75</v>
      </c>
      <c r="J21" s="3631">
        <v>1377794.91</v>
      </c>
      <c r="K21" s="3634" t="s">
        <v>4490</v>
      </c>
      <c r="L21" s="3690">
        <v>41135</v>
      </c>
      <c r="M21" s="3690">
        <v>41743</v>
      </c>
      <c r="N21" s="3602">
        <v>0</v>
      </c>
      <c r="O21" s="3634"/>
      <c r="P21" s="3834" t="s">
        <v>4489</v>
      </c>
      <c r="Q21" s="3631"/>
      <c r="R21" s="3631"/>
      <c r="S21" s="3631"/>
      <c r="T21" s="3634"/>
    </row>
    <row r="22" spans="1:21" ht="25.5">
      <c r="A22" s="3645"/>
      <c r="B22" s="3645"/>
      <c r="C22" s="3833"/>
      <c r="D22" s="3636"/>
      <c r="E22" s="3701"/>
      <c r="F22" s="3701"/>
      <c r="G22" s="3700"/>
      <c r="H22" s="3631">
        <v>80</v>
      </c>
      <c r="I22" s="3631">
        <v>73412</v>
      </c>
      <c r="J22" s="3631">
        <v>1760882.35</v>
      </c>
      <c r="K22" s="3634" t="s">
        <v>4488</v>
      </c>
      <c r="L22" s="3690">
        <v>41744</v>
      </c>
      <c r="M22" s="3690">
        <v>42474</v>
      </c>
      <c r="N22" s="3602">
        <v>0</v>
      </c>
      <c r="O22" s="3634"/>
      <c r="P22" s="3834"/>
      <c r="Q22" s="3631"/>
      <c r="R22" s="3631"/>
      <c r="S22" s="3631"/>
      <c r="T22" s="3634"/>
    </row>
    <row r="23" spans="1:21" ht="25.5">
      <c r="A23" s="3645"/>
      <c r="B23" s="3645"/>
      <c r="C23" s="3833"/>
      <c r="D23" s="3636"/>
      <c r="E23" s="3701"/>
      <c r="F23" s="3701"/>
      <c r="G23" s="3700"/>
      <c r="H23" s="3631">
        <v>85</v>
      </c>
      <c r="I23" s="3631">
        <v>78000.25</v>
      </c>
      <c r="J23" s="3631">
        <v>1870937.5</v>
      </c>
      <c r="K23" s="3634" t="s">
        <v>4487</v>
      </c>
      <c r="L23" s="3690">
        <v>42475</v>
      </c>
      <c r="M23" s="3690">
        <v>43204</v>
      </c>
      <c r="N23" s="3602">
        <v>0</v>
      </c>
      <c r="O23" s="3634"/>
      <c r="P23" s="3834"/>
      <c r="Q23" s="3631"/>
      <c r="R23" s="3631"/>
      <c r="S23" s="3631"/>
      <c r="T23" s="3634"/>
    </row>
    <row r="24" spans="1:21" ht="25.5">
      <c r="A24" s="3645"/>
      <c r="B24" s="3645"/>
      <c r="C24" s="3833"/>
      <c r="D24" s="3636"/>
      <c r="E24" s="3701"/>
      <c r="F24" s="3701"/>
      <c r="G24" s="3700"/>
      <c r="H24" s="3631">
        <v>90</v>
      </c>
      <c r="I24" s="3631">
        <v>82588.5</v>
      </c>
      <c r="J24" s="3631">
        <v>1259418.05753425</v>
      </c>
      <c r="K24" s="3634" t="s">
        <v>4486</v>
      </c>
      <c r="L24" s="3690">
        <v>43205</v>
      </c>
      <c r="M24" s="3690">
        <v>43668</v>
      </c>
      <c r="N24" s="3602">
        <v>0</v>
      </c>
      <c r="O24" s="3634"/>
      <c r="P24" s="3834"/>
      <c r="Q24" s="3631"/>
      <c r="R24" s="3631"/>
      <c r="S24" s="3631"/>
      <c r="T24" s="3634"/>
    </row>
    <row r="25" spans="1:21" ht="25.5">
      <c r="A25" s="3645"/>
      <c r="B25" s="3645"/>
      <c r="C25" s="3833"/>
      <c r="D25" s="3636"/>
      <c r="E25" s="3701"/>
      <c r="F25" s="3701"/>
      <c r="G25" s="3700"/>
      <c r="H25" s="3631">
        <v>90</v>
      </c>
      <c r="I25" s="3631">
        <v>44568</v>
      </c>
      <c r="J25" s="3631">
        <v>232486.22465753401</v>
      </c>
      <c r="K25" s="3634" t="s">
        <v>4485</v>
      </c>
      <c r="L25" s="3690">
        <v>43689</v>
      </c>
      <c r="M25" s="3690">
        <v>43936</v>
      </c>
      <c r="N25" s="3602">
        <v>0</v>
      </c>
      <c r="O25" s="3634"/>
      <c r="P25" s="3710">
        <v>0.06</v>
      </c>
      <c r="Q25" s="3631"/>
      <c r="R25" s="3631"/>
      <c r="S25" s="3631"/>
      <c r="T25" s="3634"/>
    </row>
    <row r="26" spans="1:21" ht="25.5">
      <c r="A26" s="3645"/>
      <c r="B26" s="3645"/>
      <c r="C26" s="3833"/>
      <c r="D26" s="3636"/>
      <c r="E26" s="3701"/>
      <c r="F26" s="3701"/>
      <c r="G26" s="3700"/>
      <c r="H26" s="3631">
        <v>120</v>
      </c>
      <c r="I26" s="3631">
        <v>59424</v>
      </c>
      <c r="J26" s="3631">
        <v>1425361.9726027399</v>
      </c>
      <c r="K26" s="3634" t="s">
        <v>4484</v>
      </c>
      <c r="L26" s="3690">
        <v>43937</v>
      </c>
      <c r="M26" s="3690">
        <v>44666</v>
      </c>
      <c r="N26" s="3602">
        <v>0</v>
      </c>
      <c r="O26" s="3634"/>
      <c r="P26" s="3710">
        <v>0.06</v>
      </c>
      <c r="Q26" s="3637">
        <v>10</v>
      </c>
      <c r="R26" s="3637">
        <v>4952</v>
      </c>
      <c r="S26" s="3637">
        <v>475486.97</v>
      </c>
      <c r="T26" s="3636" t="s">
        <v>4483</v>
      </c>
    </row>
    <row r="27" spans="1:21" ht="48">
      <c r="A27" s="3645"/>
      <c r="B27" s="3645"/>
      <c r="C27" s="3833"/>
      <c r="D27" s="3636"/>
      <c r="E27" s="3701"/>
      <c r="F27" s="3701"/>
      <c r="G27" s="3700"/>
      <c r="H27" s="3563">
        <v>126</v>
      </c>
      <c r="I27" s="3563">
        <v>62395.199999999997</v>
      </c>
      <c r="J27" s="3563">
        <v>1496630.07123288</v>
      </c>
      <c r="K27" s="3552" t="s">
        <v>4482</v>
      </c>
      <c r="L27" s="3612">
        <v>44667</v>
      </c>
      <c r="M27" s="3612">
        <v>45397</v>
      </c>
      <c r="N27" s="3620">
        <v>0</v>
      </c>
      <c r="O27" s="3552" t="s">
        <v>4480</v>
      </c>
      <c r="P27" s="3618">
        <v>0.06</v>
      </c>
      <c r="Q27" s="3637"/>
      <c r="R27" s="3637"/>
      <c r="S27" s="3637"/>
      <c r="T27" s="3636"/>
    </row>
    <row r="28" spans="1:21" ht="48">
      <c r="A28" s="3645"/>
      <c r="B28" s="3645"/>
      <c r="C28" s="3833"/>
      <c r="D28" s="3636"/>
      <c r="E28" s="3701"/>
      <c r="F28" s="3701"/>
      <c r="G28" s="3700"/>
      <c r="H28" s="3595">
        <v>132.30000000000001</v>
      </c>
      <c r="I28" s="3595">
        <v>65514.96</v>
      </c>
      <c r="J28" s="3595">
        <v>785282.05479452095</v>
      </c>
      <c r="K28" s="3592" t="s">
        <v>4481</v>
      </c>
      <c r="L28" s="3594">
        <v>45398</v>
      </c>
      <c r="M28" s="3594">
        <v>45762</v>
      </c>
      <c r="N28" s="3593">
        <v>65514.96</v>
      </c>
      <c r="O28" s="3592" t="s">
        <v>4480</v>
      </c>
      <c r="P28" s="3591">
        <v>0.06</v>
      </c>
      <c r="Q28" s="3637"/>
      <c r="R28" s="3637"/>
      <c r="S28" s="3637"/>
      <c r="T28" s="3636"/>
    </row>
    <row r="29" spans="1:21" ht="25.5">
      <c r="A29" s="3639"/>
      <c r="B29" s="3639"/>
      <c r="C29" s="3832"/>
      <c r="D29" s="3634"/>
      <c r="E29" s="3690"/>
      <c r="F29" s="3690"/>
      <c r="G29" s="3689"/>
      <c r="H29" s="3595">
        <v>132.30000000000001</v>
      </c>
      <c r="I29" s="3595">
        <v>65514.96</v>
      </c>
      <c r="J29" s="3595">
        <v>392192.294794521</v>
      </c>
      <c r="K29" s="3592" t="s">
        <v>4479</v>
      </c>
      <c r="L29" s="3594"/>
      <c r="M29" s="3594"/>
      <c r="N29" s="3593"/>
      <c r="O29" s="3592"/>
      <c r="P29" s="3591">
        <v>6.5000000000000002E-2</v>
      </c>
      <c r="Q29" s="3637"/>
      <c r="R29" s="3637"/>
      <c r="S29" s="3637"/>
      <c r="T29" s="3636"/>
      <c r="U29" s="3590">
        <f>I29</f>
        <v>65514.96</v>
      </c>
    </row>
    <row r="30" spans="1:21" ht="51">
      <c r="A30" s="3636" t="s">
        <v>4478</v>
      </c>
      <c r="B30" s="3633">
        <v>81.319999999999993</v>
      </c>
      <c r="C30" s="3711" t="s">
        <v>4477</v>
      </c>
      <c r="D30" s="3636"/>
      <c r="E30" s="3701" t="s">
        <v>4476</v>
      </c>
      <c r="F30" s="3701" t="s">
        <v>4475</v>
      </c>
      <c r="G30" s="3700" t="s">
        <v>4475</v>
      </c>
      <c r="H30" s="3631">
        <v>515</v>
      </c>
      <c r="I30" s="3631">
        <v>47029.8</v>
      </c>
      <c r="J30" s="3631">
        <v>47029.8</v>
      </c>
      <c r="K30" s="3634" t="s">
        <v>4474</v>
      </c>
      <c r="L30" s="3690">
        <v>44856</v>
      </c>
      <c r="M30" s="3690">
        <v>44968</v>
      </c>
      <c r="N30" s="3602">
        <v>0</v>
      </c>
      <c r="O30" s="3634"/>
      <c r="P30" s="3710">
        <v>0.12</v>
      </c>
      <c r="Q30" s="3631"/>
      <c r="R30" s="3631"/>
      <c r="S30" s="3631"/>
      <c r="T30" s="3634"/>
    </row>
    <row r="31" spans="1:21" ht="63.75">
      <c r="A31" s="3636"/>
      <c r="B31" s="3633"/>
      <c r="C31" s="3711"/>
      <c r="D31" s="3636"/>
      <c r="E31" s="3701"/>
      <c r="F31" s="3701"/>
      <c r="G31" s="3700"/>
      <c r="H31" s="3563">
        <v>515</v>
      </c>
      <c r="I31" s="3563">
        <v>47029.8</v>
      </c>
      <c r="J31" s="3563">
        <v>416439.21534246602</v>
      </c>
      <c r="K31" s="3552" t="s">
        <v>4473</v>
      </c>
      <c r="L31" s="3612">
        <v>44969</v>
      </c>
      <c r="M31" s="3612">
        <v>45239</v>
      </c>
      <c r="N31" s="3602">
        <v>0</v>
      </c>
      <c r="O31" s="3552"/>
      <c r="P31" s="3710">
        <v>0.12</v>
      </c>
      <c r="Q31" s="3631"/>
      <c r="R31" s="3631"/>
      <c r="S31" s="3631"/>
      <c r="T31" s="3634"/>
    </row>
    <row r="32" spans="1:21" ht="25.5">
      <c r="A32" s="3636"/>
      <c r="B32" s="3633"/>
      <c r="C32" s="3711"/>
      <c r="D32" s="3636"/>
      <c r="E32" s="3701"/>
      <c r="F32" s="3701"/>
      <c r="G32" s="3700"/>
      <c r="H32" s="3563">
        <v>515</v>
      </c>
      <c r="I32" s="3563">
        <v>47029.8</v>
      </c>
      <c r="J32" s="3563">
        <v>96507.726575342502</v>
      </c>
      <c r="K32" s="3552" t="s">
        <v>4472</v>
      </c>
      <c r="L32" s="3612">
        <v>45240</v>
      </c>
      <c r="M32" s="3612">
        <v>45302</v>
      </c>
      <c r="N32" s="3602">
        <v>0</v>
      </c>
      <c r="O32" s="3552"/>
      <c r="P32" s="3710">
        <v>0.12</v>
      </c>
      <c r="Q32" s="3631"/>
      <c r="R32" s="3631"/>
      <c r="S32" s="3631"/>
      <c r="T32" s="3634"/>
    </row>
    <row r="33" spans="1:21" ht="51">
      <c r="A33" s="3636"/>
      <c r="B33" s="3633"/>
      <c r="C33" s="3711"/>
      <c r="D33" s="3636"/>
      <c r="E33" s="3701"/>
      <c r="F33" s="3701"/>
      <c r="G33" s="3700"/>
      <c r="H33" s="3563">
        <v>545</v>
      </c>
      <c r="I33" s="3563">
        <v>49769.4</v>
      </c>
      <c r="J33" s="3563">
        <v>598187.28164383501</v>
      </c>
      <c r="K33" s="3552" t="s">
        <v>4471</v>
      </c>
      <c r="L33" s="3612">
        <v>45303</v>
      </c>
      <c r="M33" s="3612">
        <v>45382</v>
      </c>
      <c r="N33" s="3620">
        <v>0</v>
      </c>
      <c r="O33" s="3619" t="s">
        <v>4469</v>
      </c>
      <c r="P33" s="3618">
        <v>0.125</v>
      </c>
      <c r="Q33" s="3631"/>
      <c r="R33" s="3631"/>
      <c r="S33" s="3631"/>
      <c r="T33" s="3634"/>
    </row>
    <row r="34" spans="1:21" ht="36">
      <c r="A34" s="3636"/>
      <c r="B34" s="3633"/>
      <c r="C34" s="3711"/>
      <c r="D34" s="3636"/>
      <c r="E34" s="3701"/>
      <c r="F34" s="3701"/>
      <c r="G34" s="3700"/>
      <c r="H34" s="3595">
        <v>545</v>
      </c>
      <c r="I34" s="3595">
        <v>44319.4</v>
      </c>
      <c r="J34" s="3595">
        <v>414902.43780821899</v>
      </c>
      <c r="K34" s="3592" t="s">
        <v>4470</v>
      </c>
      <c r="L34" s="3594">
        <v>45383</v>
      </c>
      <c r="M34" s="3594">
        <v>45668</v>
      </c>
      <c r="N34" s="3593">
        <v>44319.4</v>
      </c>
      <c r="O34" s="3627" t="s">
        <v>4469</v>
      </c>
      <c r="P34" s="3591">
        <v>0.125</v>
      </c>
      <c r="Q34" s="3631"/>
      <c r="R34" s="3631"/>
      <c r="S34" s="3631"/>
      <c r="T34" s="3634"/>
      <c r="U34" s="3590">
        <f>I34</f>
        <v>44319.4</v>
      </c>
    </row>
    <row r="35" spans="1:21" ht="51">
      <c r="A35" s="3636"/>
      <c r="B35" s="3633"/>
      <c r="C35" s="3711"/>
      <c r="D35" s="3636"/>
      <c r="E35" s="3701"/>
      <c r="F35" s="3701"/>
      <c r="G35" s="3700"/>
      <c r="H35" s="3631">
        <v>575</v>
      </c>
      <c r="I35" s="3631">
        <v>46759</v>
      </c>
      <c r="J35" s="3631">
        <v>562004.74794520496</v>
      </c>
      <c r="K35" s="3634" t="s">
        <v>4468</v>
      </c>
      <c r="L35" s="3690">
        <v>45669</v>
      </c>
      <c r="M35" s="3690">
        <v>46033</v>
      </c>
      <c r="N35" s="3602">
        <v>0</v>
      </c>
      <c r="O35" s="3634"/>
      <c r="P35" s="3710">
        <v>0.13</v>
      </c>
      <c r="Q35" s="3631"/>
      <c r="R35" s="3631"/>
      <c r="S35" s="3631"/>
      <c r="T35" s="3631"/>
    </row>
    <row r="36" spans="1:21" ht="25.5">
      <c r="A36" s="3564" t="s">
        <v>4467</v>
      </c>
      <c r="B36" s="3625">
        <v>350.45</v>
      </c>
      <c r="C36" s="3624">
        <v>44450</v>
      </c>
      <c r="D36" s="3564">
        <v>50</v>
      </c>
      <c r="E36" s="3599">
        <v>46000</v>
      </c>
      <c r="F36" s="3599">
        <v>44540</v>
      </c>
      <c r="G36" s="3598">
        <v>44540</v>
      </c>
      <c r="H36" s="3551">
        <v>400</v>
      </c>
      <c r="I36" s="3551">
        <v>140180</v>
      </c>
      <c r="J36" s="3551">
        <v>140180</v>
      </c>
      <c r="K36" s="3550" t="s">
        <v>4466</v>
      </c>
      <c r="L36" s="3603">
        <v>44450</v>
      </c>
      <c r="M36" s="3603">
        <v>44570</v>
      </c>
      <c r="N36" s="3602">
        <v>0</v>
      </c>
      <c r="O36" s="3550"/>
      <c r="P36" s="3585">
        <v>9.5000000000000001E-2</v>
      </c>
      <c r="Q36" s="3631"/>
      <c r="R36" s="3631"/>
      <c r="S36" s="3631"/>
      <c r="T36" s="3631"/>
    </row>
    <row r="37" spans="1:21" ht="25.5">
      <c r="A37" s="3564"/>
      <c r="B37" s="3625"/>
      <c r="C37" s="3624"/>
      <c r="D37" s="3564"/>
      <c r="E37" s="3564"/>
      <c r="F37" s="3599"/>
      <c r="G37" s="3598"/>
      <c r="H37" s="3551">
        <v>400</v>
      </c>
      <c r="I37" s="3551">
        <v>140180</v>
      </c>
      <c r="J37" s="3551">
        <v>1544668.38356164</v>
      </c>
      <c r="K37" s="3550" t="s">
        <v>4465</v>
      </c>
      <c r="L37" s="3603">
        <v>44571</v>
      </c>
      <c r="M37" s="3603">
        <v>44904</v>
      </c>
      <c r="N37" s="3602">
        <v>0</v>
      </c>
      <c r="O37" s="3550"/>
      <c r="P37" s="3585">
        <v>9.5000000000000001E-2</v>
      </c>
      <c r="Q37" s="3631"/>
      <c r="R37" s="3631"/>
      <c r="S37" s="3631"/>
      <c r="T37" s="3631"/>
    </row>
    <row r="38" spans="1:21" ht="25.5">
      <c r="A38" s="3564"/>
      <c r="B38" s="3625"/>
      <c r="C38" s="3624"/>
      <c r="D38" s="3564"/>
      <c r="E38" s="3564"/>
      <c r="F38" s="3599"/>
      <c r="G38" s="3598"/>
      <c r="H38" s="3563">
        <v>420</v>
      </c>
      <c r="I38" s="3563">
        <v>147189</v>
      </c>
      <c r="J38" s="3563">
        <v>1769090.8027397301</v>
      </c>
      <c r="K38" s="3552" t="s">
        <v>4464</v>
      </c>
      <c r="L38" s="3612">
        <v>44905</v>
      </c>
      <c r="M38" s="3612">
        <v>45269</v>
      </c>
      <c r="N38" s="3602">
        <v>0</v>
      </c>
      <c r="O38" s="3552"/>
      <c r="P38" s="3585">
        <v>0.105</v>
      </c>
      <c r="Q38" s="3631"/>
      <c r="R38" s="3631"/>
      <c r="S38" s="3631"/>
      <c r="T38" s="3631"/>
    </row>
    <row r="39" spans="1:21" ht="48">
      <c r="A39" s="3564"/>
      <c r="B39" s="3625"/>
      <c r="C39" s="3624"/>
      <c r="D39" s="3564"/>
      <c r="E39" s="3564"/>
      <c r="F39" s="3599"/>
      <c r="G39" s="3598"/>
      <c r="H39" s="3595">
        <v>440</v>
      </c>
      <c r="I39" s="3595">
        <v>154198</v>
      </c>
      <c r="J39" s="3595">
        <v>1853333.2219178099</v>
      </c>
      <c r="K39" s="3592" t="s">
        <v>4463</v>
      </c>
      <c r="L39" s="3594">
        <v>45270</v>
      </c>
      <c r="M39" s="3594">
        <v>45635</v>
      </c>
      <c r="N39" s="3593">
        <v>154198</v>
      </c>
      <c r="O39" s="3627" t="s">
        <v>4462</v>
      </c>
      <c r="P39" s="3591">
        <v>0.11</v>
      </c>
      <c r="Q39" s="3631"/>
      <c r="R39" s="3631"/>
      <c r="S39" s="3631"/>
      <c r="T39" s="3631"/>
      <c r="U39" s="3590">
        <f>I39</f>
        <v>154198</v>
      </c>
    </row>
    <row r="40" spans="1:21" ht="25.5">
      <c r="A40" s="3564"/>
      <c r="B40" s="3625"/>
      <c r="C40" s="3624"/>
      <c r="D40" s="3564"/>
      <c r="E40" s="3564"/>
      <c r="F40" s="3599"/>
      <c r="G40" s="3598"/>
      <c r="H40" s="3551">
        <v>460</v>
      </c>
      <c r="I40" s="3551">
        <v>161207</v>
      </c>
      <c r="J40" s="3551">
        <v>1937575.64109589</v>
      </c>
      <c r="K40" s="3550" t="s">
        <v>4461</v>
      </c>
      <c r="L40" s="3603">
        <v>45636</v>
      </c>
      <c r="M40" s="3603">
        <v>46000</v>
      </c>
      <c r="N40" s="3602">
        <v>0</v>
      </c>
      <c r="O40" s="3550"/>
      <c r="P40" s="3585">
        <v>0.12</v>
      </c>
      <c r="Q40" s="3631"/>
      <c r="R40" s="3631"/>
      <c r="S40" s="3631"/>
      <c r="T40" s="3631"/>
    </row>
    <row r="41" spans="1:21" ht="25.5">
      <c r="A41" s="3636" t="s">
        <v>4460</v>
      </c>
      <c r="B41" s="3716">
        <v>196.27</v>
      </c>
      <c r="C41" s="3711" t="s">
        <v>4459</v>
      </c>
      <c r="D41" s="3636">
        <v>5</v>
      </c>
      <c r="E41" s="3701">
        <v>44443</v>
      </c>
      <c r="F41" s="3701">
        <v>42679</v>
      </c>
      <c r="G41" s="3700">
        <v>42679</v>
      </c>
      <c r="H41" s="3631">
        <v>300</v>
      </c>
      <c r="I41" s="3631">
        <v>58881</v>
      </c>
      <c r="J41" s="3631">
        <v>1294575.4109589001</v>
      </c>
      <c r="K41" s="3634" t="s">
        <v>4458</v>
      </c>
      <c r="L41" s="3690">
        <v>42679</v>
      </c>
      <c r="M41" s="3690">
        <v>43347</v>
      </c>
      <c r="N41" s="3602">
        <v>0</v>
      </c>
      <c r="O41" s="3634"/>
      <c r="P41" s="3710">
        <v>0.11</v>
      </c>
      <c r="Q41" s="3565">
        <v>10</v>
      </c>
      <c r="R41" s="3565">
        <v>3504.5</v>
      </c>
      <c r="S41" s="3565"/>
      <c r="T41" s="3565" t="s">
        <v>3779</v>
      </c>
    </row>
    <row r="42" spans="1:21" ht="25.5">
      <c r="A42" s="3636"/>
      <c r="B42" s="3716"/>
      <c r="C42" s="3711"/>
      <c r="D42" s="3636"/>
      <c r="E42" s="3701"/>
      <c r="F42" s="3701"/>
      <c r="G42" s="3700"/>
      <c r="H42" s="3631">
        <v>330</v>
      </c>
      <c r="I42" s="3631">
        <v>64769.1</v>
      </c>
      <c r="J42" s="3631">
        <v>1555700.5471232899</v>
      </c>
      <c r="K42" s="3634" t="s">
        <v>4457</v>
      </c>
      <c r="L42" s="3690">
        <v>43348</v>
      </c>
      <c r="M42" s="3690">
        <v>44078</v>
      </c>
      <c r="N42" s="3602">
        <v>0</v>
      </c>
      <c r="O42" s="3634"/>
      <c r="P42" s="3710">
        <v>0.12</v>
      </c>
      <c r="Q42" s="3565"/>
      <c r="R42" s="3565"/>
      <c r="S42" s="3565"/>
      <c r="T42" s="3565"/>
    </row>
    <row r="43" spans="1:21" ht="25.5">
      <c r="A43" s="3636"/>
      <c r="B43" s="3716"/>
      <c r="C43" s="3711"/>
      <c r="D43" s="3636"/>
      <c r="E43" s="3701"/>
      <c r="F43" s="3701"/>
      <c r="G43" s="3700"/>
      <c r="H43" s="3631">
        <v>360</v>
      </c>
      <c r="I43" s="3631">
        <v>70657.2</v>
      </c>
      <c r="J43" s="3631">
        <v>849241.46958904096</v>
      </c>
      <c r="K43" s="3634" t="s">
        <v>4456</v>
      </c>
      <c r="L43" s="3690">
        <v>44079</v>
      </c>
      <c r="M43" s="3690">
        <v>44443</v>
      </c>
      <c r="N43" s="3602">
        <v>0</v>
      </c>
      <c r="O43" s="3634"/>
      <c r="P43" s="3710">
        <v>0.12</v>
      </c>
      <c r="Q43" s="3565"/>
      <c r="R43" s="3565"/>
      <c r="S43" s="3565"/>
      <c r="T43" s="3565"/>
    </row>
    <row r="44" spans="1:21" ht="25.5">
      <c r="A44" s="3636"/>
      <c r="B44" s="3716"/>
      <c r="C44" s="3707">
        <v>44464</v>
      </c>
      <c r="D44" s="3634">
        <v>12</v>
      </c>
      <c r="E44" s="3690">
        <v>44808</v>
      </c>
      <c r="F44" s="3690">
        <v>44464</v>
      </c>
      <c r="G44" s="3689">
        <v>44464</v>
      </c>
      <c r="H44" s="3631">
        <v>400</v>
      </c>
      <c r="I44" s="3631">
        <v>78508</v>
      </c>
      <c r="J44" s="3631">
        <v>941020.54794520501</v>
      </c>
      <c r="K44" s="3634" t="s">
        <v>4455</v>
      </c>
      <c r="L44" s="3690">
        <v>44444</v>
      </c>
      <c r="M44" s="3690">
        <v>44808</v>
      </c>
      <c r="N44" s="3602">
        <v>0</v>
      </c>
      <c r="O44" s="3634"/>
      <c r="P44" s="3710">
        <v>0.13</v>
      </c>
      <c r="Q44" s="3565"/>
      <c r="R44" s="3565"/>
      <c r="S44" s="3565"/>
      <c r="T44" s="3565"/>
    </row>
    <row r="45" spans="1:21" ht="25.5">
      <c r="A45" s="3636"/>
      <c r="B45" s="3716"/>
      <c r="C45" s="3707"/>
      <c r="D45" s="3634"/>
      <c r="E45" s="3690"/>
      <c r="F45" s="3690"/>
      <c r="G45" s="3689"/>
      <c r="H45" s="3631">
        <v>480</v>
      </c>
      <c r="I45" s="3631">
        <v>94209.600000000006</v>
      </c>
      <c r="J45" s="3631">
        <v>1129224.6575342501</v>
      </c>
      <c r="K45" s="3634" t="s">
        <v>4454</v>
      </c>
      <c r="L45" s="3690">
        <v>44809</v>
      </c>
      <c r="M45" s="3690">
        <v>45173</v>
      </c>
      <c r="N45" s="3602">
        <v>0</v>
      </c>
      <c r="O45" s="3634"/>
      <c r="P45" s="3710">
        <v>0.13</v>
      </c>
      <c r="Q45" s="3565"/>
      <c r="R45" s="3565"/>
      <c r="S45" s="3565"/>
      <c r="T45" s="3565"/>
    </row>
    <row r="46" spans="1:21" ht="25.5">
      <c r="A46" s="3636"/>
      <c r="B46" s="3716"/>
      <c r="C46" s="3707" t="s">
        <v>4453</v>
      </c>
      <c r="D46" s="3634"/>
      <c r="E46" s="3690"/>
      <c r="F46" s="3690"/>
      <c r="G46" s="3689"/>
      <c r="H46" s="3631">
        <v>371</v>
      </c>
      <c r="I46" s="3631">
        <v>72816.17</v>
      </c>
      <c r="J46" s="3631">
        <v>983916.02860274003</v>
      </c>
      <c r="K46" s="3634" t="s">
        <v>4452</v>
      </c>
      <c r="L46" s="3690">
        <v>45174</v>
      </c>
      <c r="M46" s="3690">
        <v>45219</v>
      </c>
      <c r="N46" s="3602">
        <v>0</v>
      </c>
      <c r="O46" s="3634"/>
      <c r="P46" s="3710">
        <v>0.13</v>
      </c>
      <c r="Q46" s="3637">
        <v>10</v>
      </c>
      <c r="R46" s="3637">
        <v>1962.7</v>
      </c>
      <c r="S46" s="3637"/>
      <c r="T46" s="3636"/>
    </row>
    <row r="47" spans="1:21" ht="38.25">
      <c r="A47" s="3636"/>
      <c r="B47" s="3716"/>
      <c r="C47" s="3707"/>
      <c r="D47" s="3634"/>
      <c r="E47" s="3690"/>
      <c r="F47" s="3690"/>
      <c r="G47" s="3689"/>
      <c r="H47" s="3595">
        <v>530</v>
      </c>
      <c r="I47" s="3595">
        <v>104023.1</v>
      </c>
      <c r="J47" s="3595">
        <v>1091530.0630137001</v>
      </c>
      <c r="K47" s="3592" t="s">
        <v>4451</v>
      </c>
      <c r="L47" s="3594">
        <v>45220</v>
      </c>
      <c r="M47" s="3594">
        <v>45539</v>
      </c>
      <c r="N47" s="3593">
        <v>104023.1</v>
      </c>
      <c r="O47" s="3592" t="s">
        <v>4450</v>
      </c>
      <c r="P47" s="3591">
        <v>0.13</v>
      </c>
      <c r="Q47" s="3637"/>
      <c r="R47" s="3637"/>
      <c r="S47" s="3637"/>
      <c r="T47" s="3636"/>
      <c r="U47" s="3590">
        <f>I47</f>
        <v>104023.1</v>
      </c>
    </row>
    <row r="48" spans="1:21" ht="25.5">
      <c r="A48" s="3636"/>
      <c r="B48" s="3716"/>
      <c r="C48" s="3707"/>
      <c r="D48" s="3634"/>
      <c r="E48" s="3690"/>
      <c r="F48" s="3690"/>
      <c r="G48" s="3689"/>
      <c r="H48" s="3631">
        <v>545</v>
      </c>
      <c r="I48" s="3631">
        <v>106967.15</v>
      </c>
      <c r="J48" s="3631">
        <v>1282140.4965753399</v>
      </c>
      <c r="K48" s="3634" t="s">
        <v>4449</v>
      </c>
      <c r="L48" s="3690">
        <v>45540</v>
      </c>
      <c r="M48" s="3690">
        <v>45904</v>
      </c>
      <c r="N48" s="3602">
        <v>0</v>
      </c>
      <c r="O48" s="3634"/>
      <c r="P48" s="3710">
        <v>0.13</v>
      </c>
      <c r="Q48" s="3637"/>
      <c r="R48" s="3637"/>
      <c r="S48" s="3637"/>
      <c r="T48" s="3636"/>
    </row>
    <row r="49" spans="1:21" ht="25.5">
      <c r="A49" s="3636"/>
      <c r="B49" s="3716"/>
      <c r="C49" s="3707"/>
      <c r="D49" s="3634"/>
      <c r="E49" s="3690"/>
      <c r="F49" s="3690"/>
      <c r="G49" s="3689"/>
      <c r="H49" s="3631">
        <v>560</v>
      </c>
      <c r="I49" s="3631">
        <v>109911.2</v>
      </c>
      <c r="J49" s="3631">
        <v>1317428.7671232901</v>
      </c>
      <c r="K49" s="3634" t="s">
        <v>4448</v>
      </c>
      <c r="L49" s="3690">
        <v>45905</v>
      </c>
      <c r="M49" s="3690">
        <v>46269</v>
      </c>
      <c r="N49" s="3602">
        <v>0</v>
      </c>
      <c r="O49" s="3634"/>
      <c r="P49" s="3710">
        <v>0.13</v>
      </c>
      <c r="Q49" s="3631"/>
      <c r="R49" s="3631"/>
      <c r="S49" s="3631"/>
      <c r="T49" s="3634"/>
    </row>
    <row r="50" spans="1:21" ht="25.5">
      <c r="A50" s="3636"/>
      <c r="B50" s="3716"/>
      <c r="C50" s="3707"/>
      <c r="D50" s="3634"/>
      <c r="E50" s="3690"/>
      <c r="F50" s="3690"/>
      <c r="G50" s="3689"/>
      <c r="H50" s="3631">
        <v>575</v>
      </c>
      <c r="I50" s="3631">
        <v>112855.25</v>
      </c>
      <c r="J50" s="3631">
        <v>1352717.03767123</v>
      </c>
      <c r="K50" s="3634" t="s">
        <v>4447</v>
      </c>
      <c r="L50" s="3690">
        <v>46270</v>
      </c>
      <c r="M50" s="3690">
        <v>46634</v>
      </c>
      <c r="N50" s="3602">
        <v>0</v>
      </c>
      <c r="O50" s="3634"/>
      <c r="P50" s="3710">
        <v>0.13</v>
      </c>
      <c r="Q50" s="3631"/>
      <c r="R50" s="3631"/>
      <c r="S50" s="3631"/>
      <c r="T50" s="3634"/>
    </row>
    <row r="51" spans="1:21" ht="25.5">
      <c r="A51" s="3636"/>
      <c r="B51" s="3716"/>
      <c r="C51" s="3707"/>
      <c r="D51" s="3634"/>
      <c r="E51" s="3690"/>
      <c r="F51" s="3690"/>
      <c r="G51" s="3689"/>
      <c r="H51" s="3631">
        <v>590</v>
      </c>
      <c r="I51" s="3631">
        <v>115799.3</v>
      </c>
      <c r="J51" s="3631">
        <v>1388005.30821918</v>
      </c>
      <c r="K51" s="3634" t="s">
        <v>4446</v>
      </c>
      <c r="L51" s="3690">
        <v>46635</v>
      </c>
      <c r="M51" s="3690">
        <v>47000</v>
      </c>
      <c r="N51" s="3602">
        <v>0</v>
      </c>
      <c r="O51" s="3634"/>
      <c r="P51" s="3710">
        <v>0.14000000000000001</v>
      </c>
      <c r="Q51" s="3631"/>
      <c r="R51" s="3631"/>
      <c r="S51" s="3631"/>
      <c r="T51" s="3634"/>
    </row>
    <row r="52" spans="1:21" ht="25.5">
      <c r="A52" s="3636" t="s">
        <v>4445</v>
      </c>
      <c r="B52" s="3633">
        <v>129.69</v>
      </c>
      <c r="C52" s="3711">
        <v>45051</v>
      </c>
      <c r="D52" s="3650"/>
      <c r="E52" s="3701">
        <v>46196</v>
      </c>
      <c r="F52" s="3701">
        <v>45101</v>
      </c>
      <c r="G52" s="3700">
        <v>45101</v>
      </c>
      <c r="H52" s="3563">
        <v>380</v>
      </c>
      <c r="I52" s="3563">
        <v>49282.2</v>
      </c>
      <c r="J52" s="3563">
        <v>49282.2</v>
      </c>
      <c r="K52" s="3552" t="s">
        <v>4444</v>
      </c>
      <c r="L52" s="3612">
        <v>45051</v>
      </c>
      <c r="M52" s="3612">
        <v>45130</v>
      </c>
      <c r="N52" s="3602">
        <v>0</v>
      </c>
      <c r="O52" s="3552"/>
      <c r="P52" s="3710">
        <v>0.1</v>
      </c>
      <c r="Q52" s="3631"/>
      <c r="R52" s="3631"/>
      <c r="S52" s="3631"/>
      <c r="T52" s="3634"/>
    </row>
    <row r="53" spans="1:21" ht="36">
      <c r="A53" s="3636"/>
      <c r="B53" s="3633"/>
      <c r="C53" s="3711"/>
      <c r="D53" s="3645"/>
      <c r="E53" s="3701"/>
      <c r="F53" s="3701"/>
      <c r="G53" s="3700"/>
      <c r="H53" s="3595">
        <v>380</v>
      </c>
      <c r="I53" s="3595">
        <v>49282.2</v>
      </c>
      <c r="J53" s="3595">
        <v>543049.338082192</v>
      </c>
      <c r="K53" s="3592" t="s">
        <v>4443</v>
      </c>
      <c r="L53" s="3594">
        <v>45131</v>
      </c>
      <c r="M53" s="3594">
        <v>45466</v>
      </c>
      <c r="N53" s="3593">
        <v>0</v>
      </c>
      <c r="O53" s="3627" t="s">
        <v>4441</v>
      </c>
      <c r="P53" s="3591">
        <v>0.1</v>
      </c>
      <c r="Q53" s="3631"/>
      <c r="R53" s="3631"/>
      <c r="S53" s="3631"/>
      <c r="T53" s="3634"/>
    </row>
    <row r="54" spans="1:21" ht="36">
      <c r="A54" s="3636"/>
      <c r="B54" s="3633"/>
      <c r="C54" s="3711"/>
      <c r="D54" s="3645"/>
      <c r="E54" s="3701"/>
      <c r="F54" s="3701"/>
      <c r="G54" s="3700"/>
      <c r="H54" s="3595">
        <v>400</v>
      </c>
      <c r="I54" s="3595">
        <v>51876</v>
      </c>
      <c r="J54" s="3595">
        <v>621801.36986301397</v>
      </c>
      <c r="K54" s="3592" t="s">
        <v>4442</v>
      </c>
      <c r="L54" s="3594">
        <v>45467</v>
      </c>
      <c r="M54" s="3594">
        <v>45831</v>
      </c>
      <c r="N54" s="3593">
        <v>51876</v>
      </c>
      <c r="O54" s="3627" t="s">
        <v>4441</v>
      </c>
      <c r="P54" s="3591">
        <v>0.105</v>
      </c>
      <c r="Q54" s="3631"/>
      <c r="R54" s="3631"/>
      <c r="S54" s="3631"/>
      <c r="T54" s="3634"/>
    </row>
    <row r="55" spans="1:21" ht="25.5">
      <c r="A55" s="3636"/>
      <c r="B55" s="3633"/>
      <c r="C55" s="3711"/>
      <c r="D55" s="3639"/>
      <c r="E55" s="3701"/>
      <c r="F55" s="3701"/>
      <c r="G55" s="3700"/>
      <c r="H55" s="3563">
        <v>420</v>
      </c>
      <c r="I55" s="3563">
        <v>54469.8</v>
      </c>
      <c r="J55" s="3563">
        <v>652891.43835616403</v>
      </c>
      <c r="K55" s="3552" t="s">
        <v>4440</v>
      </c>
      <c r="L55" s="3612">
        <v>45832</v>
      </c>
      <c r="M55" s="3612">
        <v>46196</v>
      </c>
      <c r="N55" s="3602">
        <v>0</v>
      </c>
      <c r="O55" s="3552"/>
      <c r="P55" s="3710">
        <v>0.11</v>
      </c>
      <c r="Q55" s="3631"/>
      <c r="R55" s="3631"/>
      <c r="S55" s="3631"/>
      <c r="T55" s="3634"/>
      <c r="U55" s="3590">
        <f>I55</f>
        <v>54469.8</v>
      </c>
    </row>
    <row r="56" spans="1:21" ht="25.5">
      <c r="A56" s="3650" t="s">
        <v>4439</v>
      </c>
      <c r="B56" s="3650">
        <v>19.21</v>
      </c>
      <c r="C56" s="3711" t="s">
        <v>4438</v>
      </c>
      <c r="D56" s="3636">
        <v>24</v>
      </c>
      <c r="E56" s="3701">
        <v>44295</v>
      </c>
      <c r="F56" s="3701">
        <v>43585</v>
      </c>
      <c r="G56" s="3700">
        <v>43585</v>
      </c>
      <c r="H56" s="3631">
        <v>1000</v>
      </c>
      <c r="I56" s="3631">
        <v>19210</v>
      </c>
      <c r="J56" s="3631">
        <v>217625.616438356</v>
      </c>
      <c r="K56" s="3634" t="s">
        <v>4437</v>
      </c>
      <c r="L56" s="3690">
        <v>43585</v>
      </c>
      <c r="M56" s="3690">
        <v>43930</v>
      </c>
      <c r="N56" s="3602">
        <v>0</v>
      </c>
      <c r="O56" s="3634"/>
      <c r="P56" s="3710">
        <v>0.13500000000000001</v>
      </c>
      <c r="Q56" s="3631"/>
      <c r="R56" s="3631"/>
      <c r="S56" s="3631"/>
      <c r="T56" s="3634"/>
    </row>
    <row r="57" spans="1:21" ht="25.5">
      <c r="A57" s="3645"/>
      <c r="B57" s="3645"/>
      <c r="C57" s="3711"/>
      <c r="D57" s="3636"/>
      <c r="E57" s="3701"/>
      <c r="F57" s="3701"/>
      <c r="G57" s="3700"/>
      <c r="H57" s="3631">
        <v>1100</v>
      </c>
      <c r="I57" s="3631">
        <v>21131</v>
      </c>
      <c r="J57" s="3631">
        <v>253282.534246575</v>
      </c>
      <c r="K57" s="3634" t="s">
        <v>4436</v>
      </c>
      <c r="L57" s="3690">
        <v>43931</v>
      </c>
      <c r="M57" s="3690">
        <v>44295</v>
      </c>
      <c r="N57" s="3602">
        <v>0</v>
      </c>
      <c r="O57" s="3634"/>
      <c r="P57" s="3710">
        <v>0.14499999999999999</v>
      </c>
      <c r="Q57" s="3631"/>
      <c r="R57" s="3631"/>
      <c r="S57" s="3631"/>
      <c r="T57" s="3634"/>
    </row>
    <row r="58" spans="1:21" ht="25.5">
      <c r="A58" s="3645"/>
      <c r="B58" s="3645"/>
      <c r="C58" s="3711"/>
      <c r="D58" s="3636"/>
      <c r="E58" s="3690">
        <v>44660</v>
      </c>
      <c r="F58" s="3701"/>
      <c r="G58" s="3700"/>
      <c r="H58" s="3631">
        <v>1155</v>
      </c>
      <c r="I58" s="3631">
        <v>22187.55</v>
      </c>
      <c r="J58" s="3631">
        <v>266250.59999999998</v>
      </c>
      <c r="K58" s="3634" t="s">
        <v>4435</v>
      </c>
      <c r="L58" s="3690">
        <v>44296</v>
      </c>
      <c r="M58" s="3690">
        <v>44660</v>
      </c>
      <c r="N58" s="3602">
        <v>0</v>
      </c>
      <c r="O58" s="3634"/>
      <c r="P58" s="3710">
        <v>0.14499999999999999</v>
      </c>
      <c r="Q58" s="3631"/>
      <c r="R58" s="3631"/>
      <c r="S58" s="3631"/>
      <c r="T58" s="3634"/>
    </row>
    <row r="59" spans="1:21" ht="25.5">
      <c r="A59" s="3645"/>
      <c r="B59" s="3645"/>
      <c r="C59" s="3707">
        <v>44661</v>
      </c>
      <c r="D59" s="3634">
        <v>12</v>
      </c>
      <c r="E59" s="3690">
        <v>45025</v>
      </c>
      <c r="F59" s="3690"/>
      <c r="G59" s="3689"/>
      <c r="H59" s="3631">
        <v>1213</v>
      </c>
      <c r="I59" s="3631">
        <v>23301.73</v>
      </c>
      <c r="J59" s="3631">
        <v>280067.64249315101</v>
      </c>
      <c r="K59" s="3634" t="s">
        <v>4434</v>
      </c>
      <c r="L59" s="3690">
        <v>44661</v>
      </c>
      <c r="M59" s="3690">
        <v>45025</v>
      </c>
      <c r="N59" s="3602">
        <v>0</v>
      </c>
      <c r="O59" s="3634"/>
      <c r="P59" s="3710">
        <v>0.15</v>
      </c>
      <c r="Q59" s="3631"/>
      <c r="R59" s="3631"/>
      <c r="S59" s="3631"/>
      <c r="T59" s="3634"/>
    </row>
    <row r="60" spans="1:21" ht="38.25">
      <c r="A60" s="3645"/>
      <c r="B60" s="3645"/>
      <c r="C60" s="3707">
        <v>45026</v>
      </c>
      <c r="D60" s="3634">
        <v>12</v>
      </c>
      <c r="E60" s="3690">
        <v>45391</v>
      </c>
      <c r="F60" s="3690">
        <v>45026</v>
      </c>
      <c r="G60" s="3689">
        <v>45026</v>
      </c>
      <c r="H60" s="3563">
        <v>1290</v>
      </c>
      <c r="I60" s="3563">
        <v>24780.9</v>
      </c>
      <c r="J60" s="3563">
        <v>297031.33561643801</v>
      </c>
      <c r="K60" s="3552" t="s">
        <v>4433</v>
      </c>
      <c r="L60" s="3612">
        <v>45026</v>
      </c>
      <c r="M60" s="3612">
        <v>45391</v>
      </c>
      <c r="N60" s="3620">
        <v>0</v>
      </c>
      <c r="O60" s="3552" t="s">
        <v>4431</v>
      </c>
      <c r="P60" s="3618">
        <v>0.15</v>
      </c>
      <c r="Q60" s="3631"/>
      <c r="R60" s="3631"/>
      <c r="S60" s="3631"/>
      <c r="T60" s="3634"/>
    </row>
    <row r="61" spans="1:21" ht="38.25">
      <c r="A61" s="3645"/>
      <c r="B61" s="3645"/>
      <c r="C61" s="3707">
        <v>45392</v>
      </c>
      <c r="D61" s="3634">
        <v>12</v>
      </c>
      <c r="E61" s="3690">
        <v>45756</v>
      </c>
      <c r="F61" s="3690">
        <v>45392</v>
      </c>
      <c r="G61" s="3689">
        <v>45392</v>
      </c>
      <c r="H61" s="3595">
        <v>1320</v>
      </c>
      <c r="I61" s="3595">
        <v>25357.200000000001</v>
      </c>
      <c r="J61" s="3595">
        <v>303939.04109588999</v>
      </c>
      <c r="K61" s="3592" t="s">
        <v>4432</v>
      </c>
      <c r="L61" s="3594">
        <v>45392</v>
      </c>
      <c r="M61" s="3594">
        <v>45756</v>
      </c>
      <c r="N61" s="3593">
        <v>25357.200000000001</v>
      </c>
      <c r="O61" s="3592" t="s">
        <v>4431</v>
      </c>
      <c r="P61" s="3591">
        <v>0.15</v>
      </c>
      <c r="Q61" s="3637">
        <v>10</v>
      </c>
      <c r="R61" s="3637">
        <v>192.1</v>
      </c>
      <c r="S61" s="3637"/>
      <c r="T61" s="3637" t="s">
        <v>4081</v>
      </c>
    </row>
    <row r="62" spans="1:21" ht="25.5">
      <c r="A62" s="3645"/>
      <c r="B62" s="3645"/>
      <c r="C62" s="3707"/>
      <c r="D62" s="3634"/>
      <c r="E62" s="3690"/>
      <c r="F62" s="3690"/>
      <c r="G62" s="3689"/>
      <c r="H62" s="3595">
        <v>1320</v>
      </c>
      <c r="I62" s="3595">
        <v>25357.200000000001</v>
      </c>
      <c r="J62" s="3595">
        <v>24176.1797260274</v>
      </c>
      <c r="K62" s="3592" t="s">
        <v>4430</v>
      </c>
      <c r="L62" s="3594"/>
      <c r="M62" s="3594"/>
      <c r="N62" s="3593"/>
      <c r="O62" s="3592"/>
      <c r="P62" s="3591">
        <v>0.15</v>
      </c>
      <c r="Q62" s="3637"/>
      <c r="R62" s="3637"/>
      <c r="S62" s="3637"/>
      <c r="T62" s="3637"/>
    </row>
    <row r="63" spans="1:21" ht="25.5">
      <c r="A63" s="3645"/>
      <c r="B63" s="3645"/>
      <c r="C63" s="3707"/>
      <c r="D63" s="3634"/>
      <c r="E63" s="3690"/>
      <c r="F63" s="3690"/>
      <c r="G63" s="3689"/>
      <c r="H63" s="3595">
        <v>0</v>
      </c>
      <c r="I63" s="3595">
        <v>0</v>
      </c>
      <c r="J63" s="3595">
        <v>0</v>
      </c>
      <c r="K63" s="3592" t="s">
        <v>4429</v>
      </c>
      <c r="L63" s="3831" t="s">
        <v>4428</v>
      </c>
      <c r="M63" s="3594"/>
      <c r="N63" s="3593"/>
      <c r="O63" s="3592"/>
      <c r="P63" s="3591">
        <v>0</v>
      </c>
      <c r="Q63" s="3637"/>
      <c r="R63" s="3637"/>
      <c r="S63" s="3637"/>
      <c r="T63" s="3637"/>
    </row>
    <row r="64" spans="1:21" ht="25.5">
      <c r="A64" s="3639"/>
      <c r="B64" s="3639"/>
      <c r="C64" s="3707"/>
      <c r="D64" s="3634"/>
      <c r="E64" s="3690"/>
      <c r="F64" s="3690"/>
      <c r="G64" s="3689"/>
      <c r="H64" s="3595">
        <v>1320</v>
      </c>
      <c r="I64" s="3595">
        <v>25357.200000000001</v>
      </c>
      <c r="J64" s="3595">
        <v>583701.90246575302</v>
      </c>
      <c r="K64" s="3592" t="s">
        <v>4427</v>
      </c>
      <c r="L64" s="3594"/>
      <c r="M64" s="3594"/>
      <c r="N64" s="3593"/>
      <c r="O64" s="3592"/>
      <c r="P64" s="3591">
        <v>0.15</v>
      </c>
      <c r="Q64" s="3637"/>
      <c r="R64" s="3637"/>
      <c r="S64" s="3637"/>
      <c r="T64" s="3637"/>
      <c r="U64" s="3590">
        <f>I64</f>
        <v>25357.200000000001</v>
      </c>
    </row>
    <row r="65" spans="1:21" ht="51">
      <c r="A65" s="3604" t="s">
        <v>4426</v>
      </c>
      <c r="B65" s="3604">
        <v>361.71</v>
      </c>
      <c r="C65" s="3761" t="s">
        <v>4424</v>
      </c>
      <c r="D65" s="3604"/>
      <c r="E65" s="3761" t="s">
        <v>4425</v>
      </c>
      <c r="F65" s="3761" t="s">
        <v>4424</v>
      </c>
      <c r="G65" s="3761" t="s">
        <v>4424</v>
      </c>
      <c r="H65" s="3563">
        <v>280</v>
      </c>
      <c r="I65" s="3563">
        <v>101278.8</v>
      </c>
      <c r="J65" s="3563">
        <v>101278.8</v>
      </c>
      <c r="K65" s="3552" t="s">
        <v>4423</v>
      </c>
      <c r="L65" s="3612"/>
      <c r="M65" s="3612"/>
      <c r="N65" s="3620"/>
      <c r="O65" s="3552"/>
      <c r="P65" s="3618"/>
      <c r="Q65" s="3631"/>
      <c r="R65" s="3631"/>
      <c r="S65" s="3631"/>
      <c r="T65" s="3631"/>
    </row>
    <row r="66" spans="1:21" ht="51">
      <c r="A66" s="3601"/>
      <c r="B66" s="3601"/>
      <c r="C66" s="3601"/>
      <c r="D66" s="3601"/>
      <c r="E66" s="3601"/>
      <c r="F66" s="3601"/>
      <c r="G66" s="3601"/>
      <c r="H66" s="3563">
        <v>280</v>
      </c>
      <c r="I66" s="3563">
        <v>101278.8</v>
      </c>
      <c r="J66" s="3563">
        <v>2329412.4</v>
      </c>
      <c r="K66" s="3552" t="s">
        <v>4422</v>
      </c>
      <c r="L66" s="3612"/>
      <c r="M66" s="3612"/>
      <c r="N66" s="3620"/>
      <c r="O66" s="3552"/>
      <c r="P66" s="3618"/>
      <c r="Q66" s="3631">
        <v>10</v>
      </c>
      <c r="R66" s="3631">
        <v>192.1</v>
      </c>
      <c r="S66" s="3631"/>
      <c r="T66" s="3631"/>
    </row>
    <row r="67" spans="1:21" ht="51">
      <c r="A67" s="3601"/>
      <c r="B67" s="3601"/>
      <c r="C67" s="3601"/>
      <c r="D67" s="3601"/>
      <c r="E67" s="3601"/>
      <c r="F67" s="3601"/>
      <c r="G67" s="3601"/>
      <c r="H67" s="3563">
        <v>290</v>
      </c>
      <c r="I67" s="3563">
        <v>104895.9</v>
      </c>
      <c r="J67" s="3563">
        <v>2517501.6</v>
      </c>
      <c r="K67" s="3552" t="s">
        <v>4421</v>
      </c>
      <c r="L67" s="3612"/>
      <c r="M67" s="3612"/>
      <c r="N67" s="3620"/>
      <c r="O67" s="3552"/>
      <c r="P67" s="3618"/>
      <c r="Q67" s="3631"/>
      <c r="R67" s="3631"/>
      <c r="S67" s="3631"/>
      <c r="T67" s="3631"/>
    </row>
    <row r="68" spans="1:21" ht="51">
      <c r="A68" s="3601"/>
      <c r="B68" s="3601"/>
      <c r="C68" s="3601"/>
      <c r="D68" s="3601"/>
      <c r="E68" s="3601"/>
      <c r="F68" s="3601"/>
      <c r="G68" s="3601"/>
      <c r="H68" s="3563">
        <v>300</v>
      </c>
      <c r="I68" s="3563">
        <v>108513</v>
      </c>
      <c r="J68" s="3563">
        <v>1302156</v>
      </c>
      <c r="K68" s="3552" t="s">
        <v>4420</v>
      </c>
      <c r="L68" s="3612"/>
      <c r="M68" s="3612"/>
      <c r="N68" s="3620"/>
      <c r="O68" s="3552"/>
      <c r="P68" s="3618"/>
      <c r="Q68" s="3631"/>
      <c r="R68" s="3631"/>
      <c r="S68" s="3631"/>
      <c r="T68" s="3631"/>
      <c r="U68" s="3590">
        <f>I68</f>
        <v>108513</v>
      </c>
    </row>
    <row r="69" spans="1:21">
      <c r="A69" s="3597"/>
      <c r="B69" s="3597"/>
      <c r="C69" s="3597"/>
      <c r="D69" s="3597"/>
      <c r="E69" s="3597"/>
      <c r="F69" s="3597"/>
      <c r="G69" s="3597"/>
      <c r="H69" s="3830" t="s">
        <v>4419</v>
      </c>
      <c r="I69" s="3828"/>
      <c r="J69" s="3828"/>
      <c r="K69" s="3827"/>
      <c r="L69" s="3612"/>
      <c r="M69" s="3612"/>
      <c r="N69" s="3620"/>
      <c r="O69" s="3552"/>
      <c r="P69" s="3618"/>
      <c r="Q69" s="3631"/>
      <c r="R69" s="3631"/>
      <c r="S69" s="3631"/>
      <c r="T69" s="3631"/>
    </row>
    <row r="70" spans="1:21" ht="25.5">
      <c r="A70" s="3604" t="s">
        <v>4418</v>
      </c>
      <c r="B70" s="3604">
        <v>161.5</v>
      </c>
      <c r="C70" s="3615">
        <v>45614</v>
      </c>
      <c r="D70" s="3562"/>
      <c r="E70" s="3614">
        <v>46721</v>
      </c>
      <c r="F70" s="3761">
        <v>45614</v>
      </c>
      <c r="G70" s="3761">
        <v>45614</v>
      </c>
      <c r="H70" s="3563">
        <v>410</v>
      </c>
      <c r="I70" s="3563">
        <v>66215</v>
      </c>
      <c r="J70" s="3563">
        <v>66215</v>
      </c>
      <c r="K70" s="3552" t="s">
        <v>4417</v>
      </c>
      <c r="L70" s="3612">
        <v>45614</v>
      </c>
      <c r="M70" s="3612">
        <v>45694</v>
      </c>
      <c r="N70" s="3620"/>
      <c r="O70" s="3552"/>
      <c r="P70" s="3618">
        <v>0.11</v>
      </c>
      <c r="Q70" s="3563"/>
      <c r="R70" s="3563"/>
      <c r="S70" s="3563"/>
      <c r="T70" s="3552"/>
    </row>
    <row r="71" spans="1:21" ht="25.5">
      <c r="A71" s="3572"/>
      <c r="B71" s="3572"/>
      <c r="C71" s="3661"/>
      <c r="D71" s="3572"/>
      <c r="E71" s="3572"/>
      <c r="F71" s="3572"/>
      <c r="G71" s="3572"/>
      <c r="H71" s="3563">
        <v>410</v>
      </c>
      <c r="I71" s="3563">
        <v>66215</v>
      </c>
      <c r="J71" s="3563">
        <v>723104.08219178102</v>
      </c>
      <c r="K71" s="3552" t="s">
        <v>4416</v>
      </c>
      <c r="L71" s="3612">
        <v>45695</v>
      </c>
      <c r="M71" s="3612">
        <v>46028</v>
      </c>
      <c r="N71" s="3620"/>
      <c r="O71" s="3552"/>
      <c r="P71" s="3618">
        <v>0.11</v>
      </c>
      <c r="Q71" s="3563"/>
      <c r="R71" s="3563"/>
      <c r="S71" s="3563"/>
      <c r="T71" s="3552"/>
      <c r="U71" s="3590">
        <f>I71</f>
        <v>66215</v>
      </c>
    </row>
    <row r="72" spans="1:21" ht="25.5">
      <c r="A72" s="3572"/>
      <c r="B72" s="3572"/>
      <c r="C72" s="3661"/>
      <c r="D72" s="3572"/>
      <c r="E72" s="3572"/>
      <c r="F72" s="3572"/>
      <c r="G72" s="3572"/>
      <c r="H72" s="3563">
        <v>415</v>
      </c>
      <c r="I72" s="3563">
        <v>67022.5</v>
      </c>
      <c r="J72" s="3563">
        <v>805555.36301369895</v>
      </c>
      <c r="K72" s="3552" t="s">
        <v>4415</v>
      </c>
      <c r="L72" s="3612">
        <v>46029</v>
      </c>
      <c r="M72" s="3612">
        <v>46393</v>
      </c>
      <c r="N72" s="3620"/>
      <c r="O72" s="3552"/>
      <c r="P72" s="3618">
        <v>0.11</v>
      </c>
      <c r="Q72" s="3563"/>
      <c r="R72" s="3563"/>
      <c r="S72" s="3563"/>
      <c r="T72" s="3552"/>
    </row>
    <row r="73" spans="1:21" ht="25.5">
      <c r="A73" s="3561"/>
      <c r="B73" s="3561"/>
      <c r="C73" s="3610"/>
      <c r="D73" s="3561"/>
      <c r="E73" s="3561"/>
      <c r="F73" s="3561"/>
      <c r="G73" s="3561"/>
      <c r="H73" s="3563">
        <v>420</v>
      </c>
      <c r="I73" s="3563">
        <v>67830</v>
      </c>
      <c r="J73" s="3563">
        <v>734050.68493150698</v>
      </c>
      <c r="K73" s="3552" t="s">
        <v>4414</v>
      </c>
      <c r="L73" s="3612">
        <v>46394</v>
      </c>
      <c r="M73" s="3612">
        <v>46691</v>
      </c>
      <c r="N73" s="3620"/>
      <c r="O73" s="3552"/>
      <c r="P73" s="3618">
        <v>0.115</v>
      </c>
      <c r="Q73" s="3563"/>
      <c r="R73" s="3563"/>
      <c r="S73" s="3563"/>
      <c r="T73" s="3552"/>
    </row>
    <row r="74" spans="1:21" ht="25.5">
      <c r="A74" s="3604" t="s">
        <v>4413</v>
      </c>
      <c r="B74" s="3604">
        <v>68.540000000000006</v>
      </c>
      <c r="C74" s="3761">
        <v>45741</v>
      </c>
      <c r="D74" s="3604"/>
      <c r="E74" s="3761">
        <v>46886</v>
      </c>
      <c r="F74" s="3761">
        <v>45741</v>
      </c>
      <c r="G74" s="3761">
        <v>45741</v>
      </c>
      <c r="H74" s="3563">
        <v>455</v>
      </c>
      <c r="I74" s="3563">
        <v>31185.7</v>
      </c>
      <c r="J74" s="3563">
        <v>31185.7</v>
      </c>
      <c r="K74" s="3552" t="s">
        <v>4412</v>
      </c>
      <c r="L74" s="3612"/>
      <c r="M74" s="3612"/>
      <c r="N74" s="3620"/>
      <c r="O74" s="3619"/>
      <c r="P74" s="3618">
        <v>0.12</v>
      </c>
      <c r="Q74" s="3563"/>
      <c r="R74" s="3563"/>
      <c r="S74" s="3563"/>
      <c r="T74" s="3552"/>
      <c r="U74" s="3590">
        <f>I74</f>
        <v>31185.7</v>
      </c>
    </row>
    <row r="75" spans="1:21" ht="25.5">
      <c r="A75" s="3572"/>
      <c r="B75" s="3572"/>
      <c r="C75" s="3572"/>
      <c r="D75" s="3572"/>
      <c r="E75" s="3572"/>
      <c r="F75" s="3572"/>
      <c r="G75" s="3572"/>
      <c r="H75" s="3563">
        <v>455</v>
      </c>
      <c r="I75" s="3563">
        <v>31185.7</v>
      </c>
      <c r="J75" s="3563">
        <v>342615.49863013701</v>
      </c>
      <c r="K75" s="3552" t="s">
        <v>4411</v>
      </c>
      <c r="L75" s="3612"/>
      <c r="M75" s="3612"/>
      <c r="N75" s="3620"/>
      <c r="O75" s="3619"/>
      <c r="P75" s="3618">
        <v>0.12</v>
      </c>
      <c r="Q75" s="3563"/>
      <c r="R75" s="3563"/>
      <c r="S75" s="3563"/>
      <c r="T75" s="3552"/>
    </row>
    <row r="76" spans="1:21" ht="25.5">
      <c r="A76" s="3572"/>
      <c r="B76" s="3572"/>
      <c r="C76" s="3572"/>
      <c r="D76" s="3572"/>
      <c r="E76" s="3572"/>
      <c r="F76" s="3572"/>
      <c r="G76" s="3572"/>
      <c r="H76" s="3563">
        <v>472</v>
      </c>
      <c r="I76" s="3563">
        <v>32350.880000000001</v>
      </c>
      <c r="J76" s="3563">
        <v>387767.39726027398</v>
      </c>
      <c r="K76" s="3552" t="s">
        <v>4410</v>
      </c>
      <c r="L76" s="3612"/>
      <c r="M76" s="3612"/>
      <c r="N76" s="3620"/>
      <c r="O76" s="3619"/>
      <c r="P76" s="3618">
        <v>0.13</v>
      </c>
      <c r="Q76" s="3563"/>
      <c r="R76" s="3563"/>
      <c r="S76" s="3563"/>
      <c r="T76" s="3552"/>
    </row>
    <row r="77" spans="1:21" ht="25.5">
      <c r="A77" s="3561"/>
      <c r="B77" s="3561"/>
      <c r="C77" s="3561"/>
      <c r="D77" s="3561"/>
      <c r="E77" s="3561"/>
      <c r="F77" s="3561"/>
      <c r="G77" s="3561"/>
      <c r="H77" s="3563">
        <v>489</v>
      </c>
      <c r="I77" s="3563">
        <v>33516.06</v>
      </c>
      <c r="J77" s="3563">
        <v>401733.595890411</v>
      </c>
      <c r="K77" s="3552" t="s">
        <v>4409</v>
      </c>
      <c r="L77" s="3612"/>
      <c r="M77" s="3612"/>
      <c r="N77" s="3620"/>
      <c r="O77" s="3619"/>
      <c r="P77" s="3618">
        <v>0.14000000000000001</v>
      </c>
      <c r="Q77" s="3563"/>
      <c r="R77" s="3563"/>
      <c r="S77" s="3563"/>
      <c r="T77" s="3552"/>
    </row>
    <row r="78" spans="1:21" ht="25.5">
      <c r="A78" s="3570" t="s">
        <v>4408</v>
      </c>
      <c r="B78" s="3570">
        <v>294.72000000000003</v>
      </c>
      <c r="C78" s="3711" t="s">
        <v>4407</v>
      </c>
      <c r="D78" s="3636">
        <v>60</v>
      </c>
      <c r="E78" s="3701">
        <v>44804</v>
      </c>
      <c r="F78" s="3701">
        <v>43100</v>
      </c>
      <c r="G78" s="3700">
        <v>43100</v>
      </c>
      <c r="H78" s="3551">
        <v>180</v>
      </c>
      <c r="I78" s="3551">
        <v>53049.599999999999</v>
      </c>
      <c r="J78" s="3551">
        <v>426140.89643835602</v>
      </c>
      <c r="K78" s="3550" t="s">
        <v>4406</v>
      </c>
      <c r="L78" s="3603">
        <v>43100</v>
      </c>
      <c r="M78" s="3603">
        <v>43708</v>
      </c>
      <c r="N78" s="3602">
        <v>0</v>
      </c>
      <c r="O78" s="3550"/>
      <c r="P78" s="3585">
        <v>0.06</v>
      </c>
      <c r="Q78" s="3563"/>
      <c r="R78" s="3563"/>
      <c r="S78" s="3563"/>
      <c r="T78" s="3552"/>
    </row>
    <row r="79" spans="1:21" ht="25.5">
      <c r="A79" s="3568"/>
      <c r="B79" s="3568"/>
      <c r="C79" s="3711"/>
      <c r="D79" s="3636"/>
      <c r="E79" s="3701"/>
      <c r="F79" s="3701"/>
      <c r="G79" s="3700"/>
      <c r="H79" s="3551">
        <v>210</v>
      </c>
      <c r="I79" s="3551">
        <v>61891.199999999997</v>
      </c>
      <c r="J79" s="3551">
        <v>1485388.8</v>
      </c>
      <c r="K79" s="3550" t="s">
        <v>4405</v>
      </c>
      <c r="L79" s="3603">
        <v>43709</v>
      </c>
      <c r="M79" s="3603">
        <v>44439</v>
      </c>
      <c r="N79" s="3602">
        <v>0</v>
      </c>
      <c r="O79" s="3550"/>
      <c r="P79" s="3585">
        <v>7.0000000000000007E-2</v>
      </c>
      <c r="Q79" s="3563"/>
      <c r="R79" s="3563"/>
      <c r="S79" s="3563"/>
      <c r="T79" s="3552"/>
    </row>
    <row r="80" spans="1:21" ht="25.5">
      <c r="A80" s="3568"/>
      <c r="B80" s="3568"/>
      <c r="C80" s="3711"/>
      <c r="D80" s="3636"/>
      <c r="E80" s="3701"/>
      <c r="F80" s="3701"/>
      <c r="G80" s="3700"/>
      <c r="H80" s="3551">
        <v>240</v>
      </c>
      <c r="I80" s="3551">
        <v>70732.800000000003</v>
      </c>
      <c r="J80" s="3551">
        <v>848793.59999999998</v>
      </c>
      <c r="K80" s="3550" t="s">
        <v>4404</v>
      </c>
      <c r="L80" s="3603">
        <v>44440</v>
      </c>
      <c r="M80" s="3603">
        <v>44804</v>
      </c>
      <c r="N80" s="3602">
        <v>0</v>
      </c>
      <c r="O80" s="3550"/>
      <c r="P80" s="3585">
        <v>0.08</v>
      </c>
      <c r="Q80" s="3563"/>
      <c r="R80" s="3563"/>
      <c r="S80" s="3563"/>
      <c r="T80" s="3552"/>
    </row>
    <row r="81" spans="1:21" ht="25.5">
      <c r="A81" s="3568"/>
      <c r="B81" s="3568"/>
      <c r="C81" s="3707"/>
      <c r="D81" s="3634"/>
      <c r="E81" s="3690"/>
      <c r="F81" s="3690"/>
      <c r="G81" s="3689"/>
      <c r="H81" s="3551">
        <v>300</v>
      </c>
      <c r="I81" s="3551">
        <v>88416</v>
      </c>
      <c r="J81" s="3551">
        <v>1060992</v>
      </c>
      <c r="K81" s="3550" t="s">
        <v>4403</v>
      </c>
      <c r="L81" s="3603">
        <v>44805</v>
      </c>
      <c r="M81" s="3603">
        <v>45169</v>
      </c>
      <c r="N81" s="3602">
        <v>0</v>
      </c>
      <c r="O81" s="3550"/>
      <c r="P81" s="3585">
        <v>0.08</v>
      </c>
      <c r="Q81" s="3563"/>
      <c r="R81" s="3563"/>
      <c r="S81" s="3563"/>
      <c r="T81" s="3552"/>
    </row>
    <row r="82" spans="1:21" ht="48">
      <c r="A82" s="3568"/>
      <c r="B82" s="3568"/>
      <c r="C82" s="3707"/>
      <c r="D82" s="3634"/>
      <c r="E82" s="3690"/>
      <c r="F82" s="3690"/>
      <c r="G82" s="3689"/>
      <c r="H82" s="3595">
        <v>330</v>
      </c>
      <c r="I82" s="3595">
        <v>97257.600000000006</v>
      </c>
      <c r="J82" s="3595">
        <v>1167091.2</v>
      </c>
      <c r="K82" s="3592" t="s">
        <v>4111</v>
      </c>
      <c r="L82" s="3594">
        <v>45170</v>
      </c>
      <c r="M82" s="3594">
        <v>45535</v>
      </c>
      <c r="N82" s="3593">
        <v>97257.600000000006</v>
      </c>
      <c r="O82" s="3592" t="s">
        <v>4402</v>
      </c>
      <c r="P82" s="3591">
        <v>0.08</v>
      </c>
      <c r="Q82" s="3563"/>
      <c r="R82" s="3563"/>
      <c r="S82" s="3563"/>
      <c r="T82" s="3552"/>
    </row>
    <row r="83" spans="1:21">
      <c r="A83" s="3568"/>
      <c r="B83" s="3568"/>
      <c r="C83" s="3707"/>
      <c r="D83" s="3634"/>
      <c r="E83" s="3690"/>
      <c r="F83" s="3690"/>
      <c r="G83" s="3689"/>
      <c r="H83" s="3551"/>
      <c r="I83" s="3551"/>
      <c r="J83" s="3551"/>
      <c r="K83" s="3550"/>
      <c r="L83" s="3603"/>
      <c r="M83" s="3603"/>
      <c r="N83" s="3602">
        <v>0</v>
      </c>
      <c r="O83" s="3550"/>
      <c r="P83" s="3585"/>
      <c r="Q83" s="3637">
        <v>10</v>
      </c>
      <c r="R83" s="3637">
        <v>2947.2</v>
      </c>
      <c r="S83" s="3637"/>
      <c r="T83" s="3636" t="s">
        <v>3779</v>
      </c>
    </row>
    <row r="84" spans="1:21" ht="25.5">
      <c r="A84" s="3568"/>
      <c r="B84" s="3568"/>
      <c r="C84" s="3707"/>
      <c r="D84" s="3634"/>
      <c r="E84" s="3690"/>
      <c r="F84" s="3690"/>
      <c r="G84" s="3689"/>
      <c r="H84" s="3563">
        <v>330</v>
      </c>
      <c r="I84" s="3563">
        <v>97257.600000000006</v>
      </c>
      <c r="J84" s="3563">
        <v>583545.59999999998</v>
      </c>
      <c r="K84" s="3552" t="s">
        <v>4401</v>
      </c>
      <c r="L84" s="3612">
        <v>45536</v>
      </c>
      <c r="M84" s="3612">
        <v>45716</v>
      </c>
      <c r="N84" s="3620">
        <v>0</v>
      </c>
      <c r="O84" s="3552"/>
      <c r="P84" s="3618">
        <v>0.08</v>
      </c>
      <c r="Q84" s="3637"/>
      <c r="R84" s="3637"/>
      <c r="S84" s="3637"/>
      <c r="T84" s="3636"/>
    </row>
    <row r="85" spans="1:21" ht="25.5">
      <c r="A85" s="3567"/>
      <c r="B85" s="3567"/>
      <c r="C85" s="3707"/>
      <c r="D85" s="3634"/>
      <c r="E85" s="3690"/>
      <c r="F85" s="3690"/>
      <c r="G85" s="3689"/>
      <c r="H85" s="3563">
        <v>330</v>
      </c>
      <c r="I85" s="3563">
        <v>97257.600000000006</v>
      </c>
      <c r="J85" s="3563">
        <v>358920.51287671202</v>
      </c>
      <c r="K85" s="3552" t="s">
        <v>4400</v>
      </c>
      <c r="L85" s="3612">
        <v>45717</v>
      </c>
      <c r="M85" s="3612">
        <v>45829</v>
      </c>
      <c r="N85" s="3620"/>
      <c r="O85" s="3552"/>
      <c r="P85" s="3618">
        <v>0.08</v>
      </c>
      <c r="Q85" s="3637"/>
      <c r="R85" s="3637"/>
      <c r="S85" s="3637"/>
      <c r="T85" s="3636"/>
      <c r="U85" s="3590">
        <f>I85</f>
        <v>97257.600000000006</v>
      </c>
    </row>
    <row r="86" spans="1:21" ht="25.5">
      <c r="A86" s="3570" t="s">
        <v>4399</v>
      </c>
      <c r="B86" s="3570">
        <v>342.93</v>
      </c>
      <c r="C86" s="3624">
        <v>43282</v>
      </c>
      <c r="D86" s="3564">
        <v>48</v>
      </c>
      <c r="E86" s="3599">
        <v>44742</v>
      </c>
      <c r="F86" s="3599">
        <v>43358</v>
      </c>
      <c r="G86" s="3598">
        <v>43358</v>
      </c>
      <c r="H86" s="3551">
        <v>270</v>
      </c>
      <c r="I86" s="3551">
        <v>92591.1</v>
      </c>
      <c r="J86" s="3551">
        <v>180869.73780821901</v>
      </c>
      <c r="K86" s="3550" t="s">
        <v>4398</v>
      </c>
      <c r="L86" s="3603">
        <v>43358</v>
      </c>
      <c r="M86" s="3603">
        <v>43417</v>
      </c>
      <c r="N86" s="3602">
        <v>0</v>
      </c>
      <c r="O86" s="3550"/>
      <c r="P86" s="3585">
        <v>0.1</v>
      </c>
      <c r="Q86" s="3637"/>
      <c r="R86" s="3637"/>
      <c r="S86" s="3637"/>
      <c r="T86" s="3636"/>
    </row>
    <row r="87" spans="1:21" ht="25.5">
      <c r="A87" s="3568"/>
      <c r="B87" s="3568"/>
      <c r="C87" s="3624"/>
      <c r="D87" s="3564"/>
      <c r="E87" s="3599"/>
      <c r="F87" s="3599"/>
      <c r="G87" s="3598"/>
      <c r="H87" s="3551">
        <v>270</v>
      </c>
      <c r="I87" s="3551">
        <v>92591.1</v>
      </c>
      <c r="J87" s="3551">
        <v>699887.24630136997</v>
      </c>
      <c r="K87" s="3550" t="s">
        <v>4397</v>
      </c>
      <c r="L87" s="3603">
        <v>43418</v>
      </c>
      <c r="M87" s="3603">
        <v>43646</v>
      </c>
      <c r="N87" s="3602">
        <v>0</v>
      </c>
      <c r="O87" s="3550"/>
      <c r="P87" s="3585">
        <v>0.1</v>
      </c>
      <c r="Q87" s="3637"/>
      <c r="R87" s="3637"/>
      <c r="S87" s="3637"/>
      <c r="T87" s="3636"/>
    </row>
    <row r="88" spans="1:21" ht="25.5">
      <c r="A88" s="3568"/>
      <c r="B88" s="3568"/>
      <c r="C88" s="3624"/>
      <c r="D88" s="3564"/>
      <c r="E88" s="3564"/>
      <c r="F88" s="3564"/>
      <c r="G88" s="3775"/>
      <c r="H88" s="3551">
        <v>280</v>
      </c>
      <c r="I88" s="3551">
        <v>96020.4</v>
      </c>
      <c r="J88" s="3551">
        <v>1152244.8</v>
      </c>
      <c r="K88" s="3550" t="s">
        <v>4254</v>
      </c>
      <c r="L88" s="3603">
        <v>43647</v>
      </c>
      <c r="M88" s="3603">
        <v>44012</v>
      </c>
      <c r="N88" s="3602">
        <v>0</v>
      </c>
      <c r="O88" s="3550"/>
      <c r="P88" s="3585">
        <v>0.105</v>
      </c>
      <c r="Q88" s="3631"/>
      <c r="R88" s="3631"/>
      <c r="S88" s="3631"/>
      <c r="T88" s="3634"/>
    </row>
    <row r="89" spans="1:21" ht="25.5">
      <c r="A89" s="3568"/>
      <c r="B89" s="3568"/>
      <c r="C89" s="3624"/>
      <c r="D89" s="3564"/>
      <c r="E89" s="3564"/>
      <c r="F89" s="3564"/>
      <c r="G89" s="3775"/>
      <c r="H89" s="3551">
        <v>300</v>
      </c>
      <c r="I89" s="3551">
        <v>102879</v>
      </c>
      <c r="J89" s="3551">
        <v>1234548</v>
      </c>
      <c r="K89" s="3550" t="s">
        <v>4396</v>
      </c>
      <c r="L89" s="3603">
        <v>44013</v>
      </c>
      <c r="M89" s="3603">
        <v>44377</v>
      </c>
      <c r="N89" s="3602">
        <v>0</v>
      </c>
      <c r="O89" s="3550"/>
      <c r="P89" s="3585">
        <v>0.11</v>
      </c>
      <c r="Q89" s="3631"/>
      <c r="R89" s="3631"/>
      <c r="S89" s="3631"/>
      <c r="T89" s="3634"/>
    </row>
    <row r="90" spans="1:21" ht="25.5">
      <c r="A90" s="3568"/>
      <c r="B90" s="3568"/>
      <c r="C90" s="3624"/>
      <c r="D90" s="3564"/>
      <c r="E90" s="3564"/>
      <c r="F90" s="3564"/>
      <c r="G90" s="3775"/>
      <c r="H90" s="3551">
        <v>320</v>
      </c>
      <c r="I90" s="3551">
        <v>109737.60000000001</v>
      </c>
      <c r="J90" s="3551">
        <v>1316851.2</v>
      </c>
      <c r="K90" s="3550" t="s">
        <v>4120</v>
      </c>
      <c r="L90" s="3603">
        <v>44378</v>
      </c>
      <c r="M90" s="3603">
        <v>44742</v>
      </c>
      <c r="N90" s="3602">
        <v>0</v>
      </c>
      <c r="O90" s="3550"/>
      <c r="P90" s="3585">
        <v>0.12</v>
      </c>
      <c r="Q90" s="3631"/>
      <c r="R90" s="3631"/>
      <c r="S90" s="3631"/>
      <c r="T90" s="3634"/>
    </row>
    <row r="91" spans="1:21" ht="25.5">
      <c r="A91" s="3568"/>
      <c r="B91" s="3568"/>
      <c r="C91" s="3617">
        <v>44743</v>
      </c>
      <c r="D91" s="3550">
        <v>12</v>
      </c>
      <c r="E91" s="3603">
        <v>45107</v>
      </c>
      <c r="F91" s="3603">
        <v>44743</v>
      </c>
      <c r="G91" s="3616">
        <v>44743</v>
      </c>
      <c r="H91" s="3551">
        <v>320</v>
      </c>
      <c r="I91" s="3551">
        <v>109737.60000000001</v>
      </c>
      <c r="J91" s="3551">
        <v>1316851.2</v>
      </c>
      <c r="K91" s="3550" t="s">
        <v>4395</v>
      </c>
      <c r="L91" s="3603">
        <v>44743</v>
      </c>
      <c r="M91" s="3603">
        <v>45107</v>
      </c>
      <c r="N91" s="3602">
        <v>0</v>
      </c>
      <c r="O91" s="3550"/>
      <c r="P91" s="3585">
        <v>0.12</v>
      </c>
      <c r="Q91" s="3565">
        <v>10</v>
      </c>
      <c r="R91" s="3565">
        <v>3429.3</v>
      </c>
      <c r="S91" s="3565"/>
      <c r="T91" s="3565" t="s">
        <v>3779</v>
      </c>
    </row>
    <row r="92" spans="1:21" ht="25.5">
      <c r="A92" s="3568"/>
      <c r="B92" s="3568"/>
      <c r="C92" s="3617">
        <v>45108</v>
      </c>
      <c r="D92" s="3550"/>
      <c r="E92" s="3603">
        <v>45473</v>
      </c>
      <c r="F92" s="3603">
        <v>45108</v>
      </c>
      <c r="G92" s="3616">
        <v>45108</v>
      </c>
      <c r="H92" s="3595">
        <v>336</v>
      </c>
      <c r="I92" s="3595">
        <v>115224.48</v>
      </c>
      <c r="J92" s="3595">
        <v>1382693.76</v>
      </c>
      <c r="K92" s="3592" t="s">
        <v>4394</v>
      </c>
      <c r="L92" s="3594">
        <v>45108</v>
      </c>
      <c r="M92" s="3594">
        <v>45473</v>
      </c>
      <c r="N92" s="3593">
        <v>0</v>
      </c>
      <c r="O92" s="3592" t="s">
        <v>4393</v>
      </c>
      <c r="P92" s="3591">
        <v>0.12</v>
      </c>
      <c r="Q92" s="3565"/>
      <c r="R92" s="3565"/>
      <c r="S92" s="3565"/>
      <c r="T92" s="3565"/>
    </row>
    <row r="93" spans="1:21" ht="25.5">
      <c r="A93" s="3568"/>
      <c r="B93" s="3568"/>
      <c r="C93" s="3617">
        <v>45474</v>
      </c>
      <c r="D93" s="3550"/>
      <c r="E93" s="3603">
        <v>45716</v>
      </c>
      <c r="F93" s="3617">
        <v>45474</v>
      </c>
      <c r="G93" s="3617">
        <v>45474</v>
      </c>
      <c r="H93" s="3595">
        <v>346</v>
      </c>
      <c r="I93" s="3595">
        <v>118653.78</v>
      </c>
      <c r="J93" s="3595">
        <v>949230.24</v>
      </c>
      <c r="K93" s="3592" t="s">
        <v>4392</v>
      </c>
      <c r="L93" s="3594">
        <v>45474</v>
      </c>
      <c r="M93" s="3594">
        <v>45716</v>
      </c>
      <c r="N93" s="3593"/>
      <c r="O93" s="3592"/>
      <c r="P93" s="3591">
        <v>0.12</v>
      </c>
      <c r="Q93" s="3565"/>
      <c r="R93" s="3565"/>
      <c r="S93" s="3565"/>
      <c r="T93" s="3565"/>
    </row>
    <row r="94" spans="1:21" ht="25.5">
      <c r="A94" s="3567"/>
      <c r="B94" s="3567"/>
      <c r="C94" s="3617">
        <v>45717</v>
      </c>
      <c r="D94" s="3550"/>
      <c r="E94" s="3603" t="s">
        <v>4391</v>
      </c>
      <c r="F94" s="3617">
        <v>45717</v>
      </c>
      <c r="G94" s="3617">
        <v>45717</v>
      </c>
      <c r="H94" s="3595">
        <v>346</v>
      </c>
      <c r="I94" s="3595">
        <v>118653.78</v>
      </c>
      <c r="J94" s="3595">
        <v>2135768.04</v>
      </c>
      <c r="K94" s="3592" t="s">
        <v>4390</v>
      </c>
      <c r="L94" s="3594">
        <v>45717</v>
      </c>
      <c r="M94" s="3594">
        <v>46265</v>
      </c>
      <c r="N94" s="3593"/>
      <c r="O94" s="3592"/>
      <c r="P94" s="3591">
        <v>0.12</v>
      </c>
      <c r="Q94" s="3565"/>
      <c r="R94" s="3565"/>
      <c r="S94" s="3565"/>
      <c r="T94" s="3565"/>
      <c r="U94" s="3590">
        <f>I94</f>
        <v>118653.78</v>
      </c>
    </row>
    <row r="95" spans="1:21" ht="25.5">
      <c r="A95" s="3636" t="s">
        <v>4389</v>
      </c>
      <c r="B95" s="3633">
        <v>200.67</v>
      </c>
      <c r="C95" s="3711">
        <v>45096</v>
      </c>
      <c r="D95" s="3634"/>
      <c r="E95" s="3701">
        <v>46251</v>
      </c>
      <c r="F95" s="3701">
        <v>45156</v>
      </c>
      <c r="G95" s="3826">
        <v>45156</v>
      </c>
      <c r="H95" s="3563">
        <v>260</v>
      </c>
      <c r="I95" s="3563">
        <v>52174.2</v>
      </c>
      <c r="J95" s="3563">
        <v>52174.2</v>
      </c>
      <c r="K95" s="3552" t="s">
        <v>4388</v>
      </c>
      <c r="L95" s="3612">
        <v>45096</v>
      </c>
      <c r="M95" s="3612">
        <v>45186</v>
      </c>
      <c r="N95" s="3602">
        <v>0</v>
      </c>
      <c r="O95" s="3552"/>
      <c r="P95" s="3618">
        <v>0.08</v>
      </c>
      <c r="Q95" s="3565"/>
      <c r="R95" s="3565"/>
      <c r="S95" s="3565"/>
      <c r="T95" s="3565"/>
    </row>
    <row r="96" spans="1:21" ht="51">
      <c r="A96" s="3636"/>
      <c r="B96" s="3633"/>
      <c r="C96" s="3711"/>
      <c r="D96" s="3634"/>
      <c r="E96" s="3701"/>
      <c r="F96" s="3701"/>
      <c r="G96" s="3826"/>
      <c r="H96" s="3595">
        <v>260</v>
      </c>
      <c r="I96" s="3595">
        <v>52174.2</v>
      </c>
      <c r="J96" s="3595">
        <v>625375.68493150698</v>
      </c>
      <c r="K96" s="3592" t="s">
        <v>4387</v>
      </c>
      <c r="L96" s="3594">
        <v>45187</v>
      </c>
      <c r="M96" s="3594">
        <v>45552</v>
      </c>
      <c r="N96" s="3593">
        <v>52174.2</v>
      </c>
      <c r="O96" s="3592" t="s">
        <v>4386</v>
      </c>
      <c r="P96" s="3591">
        <v>0.08</v>
      </c>
      <c r="Q96" s="3551"/>
      <c r="R96" s="3551"/>
      <c r="S96" s="3551"/>
      <c r="T96" s="3551"/>
    </row>
    <row r="97" spans="1:21" ht="25.5">
      <c r="A97" s="3636"/>
      <c r="B97" s="3633"/>
      <c r="C97" s="3711"/>
      <c r="D97" s="3634"/>
      <c r="E97" s="3701"/>
      <c r="F97" s="3701"/>
      <c r="G97" s="3826"/>
      <c r="H97" s="3563">
        <v>270</v>
      </c>
      <c r="I97" s="3563">
        <v>54180.9</v>
      </c>
      <c r="J97" s="3563">
        <v>649428.59589041094</v>
      </c>
      <c r="K97" s="3552" t="s">
        <v>4385</v>
      </c>
      <c r="L97" s="3612">
        <v>45553</v>
      </c>
      <c r="M97" s="3612">
        <v>45917</v>
      </c>
      <c r="N97" s="3602">
        <v>0</v>
      </c>
      <c r="O97" s="3552"/>
      <c r="P97" s="3618">
        <v>0.09</v>
      </c>
      <c r="Q97" s="3551"/>
      <c r="R97" s="3551"/>
      <c r="S97" s="3551"/>
      <c r="T97" s="3551"/>
      <c r="U97" s="3590">
        <f>I97</f>
        <v>54180.9</v>
      </c>
    </row>
    <row r="98" spans="1:21" ht="25.5">
      <c r="A98" s="3636"/>
      <c r="B98" s="3633"/>
      <c r="C98" s="3711"/>
      <c r="D98" s="3634"/>
      <c r="E98" s="3701"/>
      <c r="F98" s="3701"/>
      <c r="G98" s="3826"/>
      <c r="H98" s="3563">
        <v>290</v>
      </c>
      <c r="I98" s="3563">
        <v>58194.3</v>
      </c>
      <c r="J98" s="3563">
        <v>697534.41780821898</v>
      </c>
      <c r="K98" s="3552" t="s">
        <v>4384</v>
      </c>
      <c r="L98" s="3612">
        <v>45918</v>
      </c>
      <c r="M98" s="3612">
        <v>46251</v>
      </c>
      <c r="N98" s="3602">
        <v>0</v>
      </c>
      <c r="O98" s="3552"/>
      <c r="P98" s="3618">
        <v>0.1</v>
      </c>
      <c r="Q98" s="3551"/>
      <c r="R98" s="3551"/>
      <c r="S98" s="3551"/>
      <c r="T98" s="3551"/>
    </row>
    <row r="99" spans="1:21" ht="25.5">
      <c r="A99" s="3636" t="s">
        <v>4383</v>
      </c>
      <c r="B99" s="3633">
        <v>161.56</v>
      </c>
      <c r="C99" s="3711">
        <v>45137</v>
      </c>
      <c r="D99" s="3634"/>
      <c r="E99" s="3701">
        <v>45912</v>
      </c>
      <c r="F99" s="3701">
        <v>45182</v>
      </c>
      <c r="G99" s="3826">
        <v>45182</v>
      </c>
      <c r="H99" s="3563">
        <v>190</v>
      </c>
      <c r="I99" s="3563">
        <v>30696.400000000001</v>
      </c>
      <c r="J99" s="3563">
        <v>30696.400000000001</v>
      </c>
      <c r="K99" s="3552" t="s">
        <v>4382</v>
      </c>
      <c r="L99" s="3612">
        <v>45137</v>
      </c>
      <c r="M99" s="3612">
        <v>45211</v>
      </c>
      <c r="N99" s="3602">
        <v>0</v>
      </c>
      <c r="O99" s="3552"/>
      <c r="P99" s="3618">
        <v>0.155</v>
      </c>
      <c r="Q99" s="3551"/>
      <c r="R99" s="3551"/>
      <c r="S99" s="3551"/>
      <c r="T99" s="3551"/>
    </row>
    <row r="100" spans="1:21" ht="25.5">
      <c r="A100" s="3636"/>
      <c r="B100" s="3633"/>
      <c r="C100" s="3711"/>
      <c r="D100" s="3634"/>
      <c r="E100" s="3701"/>
      <c r="F100" s="3701"/>
      <c r="G100" s="3826"/>
      <c r="H100" s="3829" t="s">
        <v>4381</v>
      </c>
      <c r="I100" s="3828"/>
      <c r="J100" s="3827"/>
      <c r="K100" s="3552" t="s">
        <v>4380</v>
      </c>
      <c r="L100" s="3612"/>
      <c r="M100" s="3612"/>
      <c r="N100" s="3602"/>
      <c r="O100" s="3552"/>
      <c r="P100" s="3618"/>
      <c r="Q100" s="3565">
        <v>10</v>
      </c>
      <c r="R100" s="3565">
        <v>100</v>
      </c>
      <c r="S100" s="3565"/>
      <c r="T100" s="3565" t="s">
        <v>3779</v>
      </c>
    </row>
    <row r="101" spans="1:21" ht="25.5">
      <c r="A101" s="3636"/>
      <c r="B101" s="3633"/>
      <c r="C101" s="3711"/>
      <c r="D101" s="3634"/>
      <c r="E101" s="3701"/>
      <c r="F101" s="3701"/>
      <c r="G101" s="3826"/>
      <c r="H101" s="3595">
        <v>190</v>
      </c>
      <c r="I101" s="3595">
        <v>30696.400000000001</v>
      </c>
      <c r="J101" s="3595">
        <v>338249.09808219201</v>
      </c>
      <c r="K101" s="3592" t="s">
        <v>4379</v>
      </c>
      <c r="L101" s="3594">
        <v>45212</v>
      </c>
      <c r="M101" s="3594">
        <v>45547</v>
      </c>
      <c r="N101" s="3593">
        <v>30696.400000000001</v>
      </c>
      <c r="O101" s="3592" t="s">
        <v>4378</v>
      </c>
      <c r="P101" s="3591">
        <v>0.155</v>
      </c>
      <c r="Q101" s="3565"/>
      <c r="R101" s="3565"/>
      <c r="S101" s="3565"/>
      <c r="T101" s="3565"/>
    </row>
    <row r="102" spans="1:21" ht="25.5">
      <c r="A102" s="3636"/>
      <c r="B102" s="3633"/>
      <c r="C102" s="3711"/>
      <c r="D102" s="3634"/>
      <c r="E102" s="3701"/>
      <c r="F102" s="3701"/>
      <c r="G102" s="3826"/>
      <c r="H102" s="3563">
        <v>220</v>
      </c>
      <c r="I102" s="3563">
        <v>35543.199999999997</v>
      </c>
      <c r="J102" s="3563">
        <v>426031.50684931502</v>
      </c>
      <c r="K102" s="3552" t="s">
        <v>4377</v>
      </c>
      <c r="L102" s="3612">
        <v>45548</v>
      </c>
      <c r="M102" s="3612">
        <v>45912</v>
      </c>
      <c r="N102" s="3602">
        <v>0</v>
      </c>
      <c r="O102" s="3552"/>
      <c r="P102" s="3618">
        <v>0.16500000000000001</v>
      </c>
      <c r="Q102" s="3551">
        <v>10</v>
      </c>
      <c r="R102" s="3551">
        <v>100</v>
      </c>
      <c r="S102" s="3551"/>
      <c r="T102" s="3551"/>
      <c r="U102" s="3590">
        <f>I102</f>
        <v>35543.199999999997</v>
      </c>
    </row>
    <row r="103" spans="1:21" ht="25.5">
      <c r="A103" s="3570" t="s">
        <v>4376</v>
      </c>
      <c r="B103" s="3570">
        <v>684.04</v>
      </c>
      <c r="C103" s="3632">
        <v>45808</v>
      </c>
      <c r="D103" s="3570"/>
      <c r="E103" s="3632">
        <v>47693</v>
      </c>
      <c r="F103" s="3632">
        <v>45808</v>
      </c>
      <c r="G103" s="3632">
        <v>45808</v>
      </c>
      <c r="H103" s="3563">
        <v>140</v>
      </c>
      <c r="I103" s="3563">
        <v>95765.6</v>
      </c>
      <c r="J103" s="3563">
        <v>95765.6</v>
      </c>
      <c r="K103" s="3634" t="s">
        <v>4375</v>
      </c>
      <c r="L103" s="3784"/>
      <c r="M103" s="3690"/>
      <c r="N103" s="3602"/>
      <c r="O103" s="3634"/>
      <c r="P103" s="3710">
        <v>0.1</v>
      </c>
      <c r="Q103" s="3551">
        <v>10</v>
      </c>
      <c r="R103" s="3551">
        <v>100</v>
      </c>
      <c r="S103" s="3551"/>
      <c r="T103" s="3551"/>
      <c r="U103" s="3590">
        <f>I103</f>
        <v>95765.6</v>
      </c>
    </row>
    <row r="104" spans="1:21" ht="25.5">
      <c r="A104" s="3568"/>
      <c r="B104" s="3568"/>
      <c r="C104" s="3568"/>
      <c r="D104" s="3568"/>
      <c r="E104" s="3568"/>
      <c r="F104" s="3568"/>
      <c r="G104" s="3568"/>
      <c r="H104" s="3563">
        <v>140</v>
      </c>
      <c r="I104" s="3563">
        <v>95765.6</v>
      </c>
      <c r="J104" s="3563">
        <v>1055258.2005479401</v>
      </c>
      <c r="K104" s="3634" t="s">
        <v>4092</v>
      </c>
      <c r="L104" s="3784"/>
      <c r="M104" s="3690"/>
      <c r="N104" s="3602"/>
      <c r="O104" s="3634"/>
      <c r="P104" s="3710">
        <v>0.1</v>
      </c>
      <c r="Q104" s="3563"/>
      <c r="R104" s="3563"/>
      <c r="S104" s="3563"/>
      <c r="T104" s="3552"/>
    </row>
    <row r="105" spans="1:21" ht="25.5">
      <c r="A105" s="3568"/>
      <c r="B105" s="3568"/>
      <c r="C105" s="3568"/>
      <c r="D105" s="3568"/>
      <c r="E105" s="3568"/>
      <c r="F105" s="3568"/>
      <c r="G105" s="3568"/>
      <c r="H105" s="3563">
        <v>145</v>
      </c>
      <c r="I105" s="3563">
        <v>99185.8</v>
      </c>
      <c r="J105" s="3563">
        <v>1192131.7934246601</v>
      </c>
      <c r="K105" s="3634" t="s">
        <v>4091</v>
      </c>
      <c r="L105" s="3784"/>
      <c r="M105" s="3690"/>
      <c r="N105" s="3602"/>
      <c r="O105" s="3634"/>
      <c r="P105" s="3710">
        <v>0.1</v>
      </c>
      <c r="Q105" s="3563"/>
      <c r="R105" s="3563"/>
      <c r="S105" s="3563"/>
      <c r="T105" s="3552"/>
    </row>
    <row r="106" spans="1:21" ht="25.5">
      <c r="A106" s="3568"/>
      <c r="B106" s="3568"/>
      <c r="C106" s="3568"/>
      <c r="D106" s="3568"/>
      <c r="E106" s="3568"/>
      <c r="F106" s="3568"/>
      <c r="G106" s="3568"/>
      <c r="H106" s="3563">
        <v>150</v>
      </c>
      <c r="I106" s="3563">
        <v>102606</v>
      </c>
      <c r="J106" s="3563">
        <v>1233239.78630137</v>
      </c>
      <c r="K106" s="3634" t="s">
        <v>4090</v>
      </c>
      <c r="L106" s="3784"/>
      <c r="M106" s="3690"/>
      <c r="N106" s="3602"/>
      <c r="O106" s="3634"/>
      <c r="P106" s="3710">
        <v>0.11</v>
      </c>
      <c r="Q106" s="3563"/>
      <c r="R106" s="3563"/>
      <c r="S106" s="3563"/>
      <c r="T106" s="3552"/>
    </row>
    <row r="107" spans="1:21" ht="25.5">
      <c r="A107" s="3568"/>
      <c r="B107" s="3568"/>
      <c r="C107" s="3568"/>
      <c r="D107" s="3568"/>
      <c r="E107" s="3568"/>
      <c r="F107" s="3568"/>
      <c r="G107" s="3568"/>
      <c r="H107" s="3563">
        <v>155</v>
      </c>
      <c r="I107" s="3563">
        <v>106026.2</v>
      </c>
      <c r="J107" s="3563">
        <v>1274347.7791780799</v>
      </c>
      <c r="K107" s="3634" t="s">
        <v>4374</v>
      </c>
      <c r="L107" s="3784"/>
      <c r="M107" s="3690"/>
      <c r="N107" s="3602"/>
      <c r="O107" s="3634"/>
      <c r="P107" s="3710">
        <v>0.11</v>
      </c>
      <c r="Q107" s="3563"/>
      <c r="R107" s="3563"/>
      <c r="S107" s="3563"/>
      <c r="T107" s="3552"/>
    </row>
    <row r="108" spans="1:21" ht="25.5">
      <c r="A108" s="3567"/>
      <c r="B108" s="3567"/>
      <c r="C108" s="3567"/>
      <c r="D108" s="3567"/>
      <c r="E108" s="3567"/>
      <c r="F108" s="3567"/>
      <c r="G108" s="3567"/>
      <c r="H108" s="3563">
        <v>160</v>
      </c>
      <c r="I108" s="3563">
        <v>109446.39999999999</v>
      </c>
      <c r="J108" s="3563">
        <v>1315455.7720547901</v>
      </c>
      <c r="K108" s="3634" t="s">
        <v>4373</v>
      </c>
      <c r="L108" s="3784"/>
      <c r="M108" s="3690"/>
      <c r="N108" s="3602"/>
      <c r="O108" s="3634"/>
      <c r="P108" s="3710">
        <v>0.12</v>
      </c>
      <c r="Q108" s="3571">
        <v>10</v>
      </c>
      <c r="R108" s="3571">
        <v>1615.6</v>
      </c>
      <c r="S108" s="3563"/>
      <c r="T108" s="3552"/>
    </row>
    <row r="109" spans="1:21" ht="49.5">
      <c r="A109" s="3550" t="s">
        <v>4372</v>
      </c>
      <c r="B109" s="3825">
        <v>80</v>
      </c>
      <c r="C109" s="3617" t="s">
        <v>4369</v>
      </c>
      <c r="D109" s="3550">
        <v>120</v>
      </c>
      <c r="E109" s="3603">
        <v>47114</v>
      </c>
      <c r="F109" s="3603">
        <v>43280</v>
      </c>
      <c r="G109" s="3689">
        <v>43280</v>
      </c>
      <c r="H109" s="3551"/>
      <c r="I109" s="3551"/>
      <c r="J109" s="3551"/>
      <c r="K109" s="3550" t="s">
        <v>4371</v>
      </c>
      <c r="L109" s="3603"/>
      <c r="M109" s="3603"/>
      <c r="N109" s="3602">
        <v>0</v>
      </c>
      <c r="O109" s="3550"/>
      <c r="P109" s="3585">
        <v>0.06</v>
      </c>
      <c r="Q109" s="3571"/>
      <c r="R109" s="3571"/>
      <c r="S109" s="3563"/>
      <c r="T109" s="3552"/>
    </row>
    <row r="110" spans="1:21" ht="50.25">
      <c r="A110" s="3550" t="s">
        <v>4370</v>
      </c>
      <c r="B110" s="3825">
        <v>151.81</v>
      </c>
      <c r="C110" s="3824" t="s">
        <v>4369</v>
      </c>
      <c r="D110" s="3823" t="s">
        <v>4366</v>
      </c>
      <c r="E110" s="3603">
        <v>47114</v>
      </c>
      <c r="F110" s="3603">
        <v>43280</v>
      </c>
      <c r="G110" s="3689">
        <v>43280</v>
      </c>
      <c r="H110" s="3551"/>
      <c r="I110" s="3551"/>
      <c r="J110" s="3551"/>
      <c r="K110" s="3550" t="s">
        <v>4368</v>
      </c>
      <c r="L110" s="3603"/>
      <c r="M110" s="3603"/>
      <c r="N110" s="3602">
        <v>0</v>
      </c>
      <c r="O110" s="3550"/>
      <c r="P110" s="3585">
        <v>0.06</v>
      </c>
      <c r="Q110" s="3571"/>
      <c r="R110" s="3571"/>
      <c r="S110" s="3563"/>
      <c r="T110" s="3552"/>
    </row>
    <row r="111" spans="1:21" ht="24">
      <c r="A111" s="3550"/>
      <c r="B111" s="3825">
        <v>225.42</v>
      </c>
      <c r="C111" s="3824" t="s">
        <v>4367</v>
      </c>
      <c r="D111" s="3823" t="s">
        <v>4366</v>
      </c>
      <c r="E111" s="3603">
        <v>47114</v>
      </c>
      <c r="F111" s="3603">
        <v>43500</v>
      </c>
      <c r="G111" s="3689">
        <v>43500</v>
      </c>
      <c r="H111" s="3551"/>
      <c r="I111" s="3551"/>
      <c r="J111" s="3551"/>
      <c r="K111" s="3550" t="s">
        <v>4365</v>
      </c>
      <c r="L111" s="3603"/>
      <c r="M111" s="3603"/>
      <c r="N111" s="3602">
        <v>0</v>
      </c>
      <c r="O111" s="3550"/>
      <c r="P111" s="3585">
        <v>0.06</v>
      </c>
      <c r="Q111" s="3571"/>
      <c r="R111" s="3571"/>
      <c r="S111" s="3563"/>
      <c r="T111" s="3552"/>
    </row>
    <row r="112" spans="1:21" ht="25.5">
      <c r="A112" s="3562" t="s">
        <v>4364</v>
      </c>
      <c r="B112" s="3562">
        <v>130.53</v>
      </c>
      <c r="C112" s="3600">
        <v>44403</v>
      </c>
      <c r="D112" s="3675">
        <v>37</v>
      </c>
      <c r="E112" s="3674">
        <v>45533</v>
      </c>
      <c r="F112" s="3674">
        <v>44438</v>
      </c>
      <c r="G112" s="3673">
        <v>44438</v>
      </c>
      <c r="H112" s="3563">
        <v>210</v>
      </c>
      <c r="I112" s="3563">
        <v>27411.3</v>
      </c>
      <c r="J112" s="3563">
        <v>27411.3</v>
      </c>
      <c r="K112" s="3552" t="s">
        <v>4363</v>
      </c>
      <c r="L112" s="3612">
        <v>44403</v>
      </c>
      <c r="M112" s="3612">
        <v>44468</v>
      </c>
      <c r="N112" s="3602">
        <v>0</v>
      </c>
      <c r="O112" s="3552"/>
      <c r="P112" s="3618">
        <v>0.15</v>
      </c>
      <c r="Q112" s="3631"/>
      <c r="R112" s="3631"/>
      <c r="S112" s="3631"/>
      <c r="T112" s="3634"/>
    </row>
    <row r="113" spans="1:21" ht="25.5">
      <c r="A113" s="3572"/>
      <c r="B113" s="3572"/>
      <c r="C113" s="3734"/>
      <c r="D113" s="3675"/>
      <c r="E113" s="3675"/>
      <c r="F113" s="3675"/>
      <c r="G113" s="3729"/>
      <c r="H113" s="3563">
        <v>210</v>
      </c>
      <c r="I113" s="3563">
        <v>27411.3</v>
      </c>
      <c r="J113" s="3563">
        <v>301148.80273972597</v>
      </c>
      <c r="K113" s="3552" t="s">
        <v>4362</v>
      </c>
      <c r="L113" s="3612">
        <v>44469</v>
      </c>
      <c r="M113" s="3612">
        <v>44802</v>
      </c>
      <c r="N113" s="3602">
        <v>0</v>
      </c>
      <c r="O113" s="3552"/>
      <c r="P113" s="3618">
        <v>0.15</v>
      </c>
      <c r="Q113" s="3631"/>
      <c r="R113" s="3631"/>
      <c r="S113" s="3631"/>
      <c r="T113" s="3634"/>
    </row>
    <row r="114" spans="1:21" ht="25.5">
      <c r="A114" s="3572"/>
      <c r="B114" s="3572"/>
      <c r="C114" s="3734"/>
      <c r="D114" s="3675"/>
      <c r="E114" s="3675"/>
      <c r="F114" s="3675"/>
      <c r="G114" s="3729"/>
      <c r="H114" s="3563">
        <v>215</v>
      </c>
      <c r="I114" s="3563">
        <v>28063.95</v>
      </c>
      <c r="J114" s="3563">
        <v>337305.61273972603</v>
      </c>
      <c r="K114" s="3552" t="s">
        <v>4057</v>
      </c>
      <c r="L114" s="3612">
        <v>44803</v>
      </c>
      <c r="M114" s="3612">
        <v>45167</v>
      </c>
      <c r="N114" s="3602">
        <v>0</v>
      </c>
      <c r="O114" s="3552"/>
      <c r="P114" s="3618">
        <v>0.15</v>
      </c>
      <c r="Q114" s="3631"/>
      <c r="R114" s="3631"/>
      <c r="S114" s="3631"/>
      <c r="T114" s="3634"/>
    </row>
    <row r="115" spans="1:21" ht="25.5">
      <c r="A115" s="3572"/>
      <c r="B115" s="3572"/>
      <c r="C115" s="3734"/>
      <c r="D115" s="3675"/>
      <c r="E115" s="3675"/>
      <c r="F115" s="3675"/>
      <c r="G115" s="3729"/>
      <c r="H115" s="3595">
        <v>220</v>
      </c>
      <c r="I115" s="3595">
        <v>28716.6</v>
      </c>
      <c r="J115" s="3595">
        <v>345149.929315068</v>
      </c>
      <c r="K115" s="3592" t="s">
        <v>4056</v>
      </c>
      <c r="L115" s="3594">
        <v>45168</v>
      </c>
      <c r="M115" s="3594">
        <v>45533</v>
      </c>
      <c r="N115" s="3593">
        <v>28716.6</v>
      </c>
      <c r="O115" s="3592" t="s">
        <v>4361</v>
      </c>
      <c r="P115" s="3591">
        <v>0.16</v>
      </c>
      <c r="Q115" s="3631"/>
      <c r="R115" s="3631"/>
      <c r="S115" s="3631"/>
      <c r="T115" s="3634"/>
    </row>
    <row r="116" spans="1:21" ht="25.5">
      <c r="A116" s="3561"/>
      <c r="B116" s="3561"/>
      <c r="C116" s="3817"/>
      <c r="D116" s="3552"/>
      <c r="E116" s="3552"/>
      <c r="F116" s="3552"/>
      <c r="G116" s="3728"/>
      <c r="H116" s="3595">
        <v>220</v>
      </c>
      <c r="I116" s="3595">
        <v>28716.6</v>
      </c>
      <c r="J116" s="3595">
        <v>345149.929315068</v>
      </c>
      <c r="K116" s="3592" t="s">
        <v>4054</v>
      </c>
      <c r="L116" s="3594">
        <v>45534</v>
      </c>
      <c r="M116" s="3594">
        <v>45898</v>
      </c>
      <c r="N116" s="3593">
        <v>0</v>
      </c>
      <c r="O116" s="3592" t="s">
        <v>4361</v>
      </c>
      <c r="P116" s="3591">
        <v>0.16</v>
      </c>
      <c r="Q116" s="3631"/>
      <c r="R116" s="3631"/>
      <c r="S116" s="3631"/>
      <c r="T116" s="3634"/>
      <c r="U116" s="3590">
        <f>I116</f>
        <v>28716.6</v>
      </c>
    </row>
    <row r="117" spans="1:21" ht="25.5">
      <c r="A117" s="3820"/>
      <c r="B117" s="3822">
        <v>105.83</v>
      </c>
      <c r="C117" s="3624">
        <v>44433</v>
      </c>
      <c r="D117" s="3564">
        <v>23</v>
      </c>
      <c r="E117" s="3599">
        <v>45162</v>
      </c>
      <c r="F117" s="3599">
        <v>44468</v>
      </c>
      <c r="G117" s="3598">
        <v>44468</v>
      </c>
      <c r="H117" s="3551">
        <v>620</v>
      </c>
      <c r="I117" s="3551">
        <v>65614.600000000006</v>
      </c>
      <c r="J117" s="3551">
        <v>714390.19287671195</v>
      </c>
      <c r="K117" s="3550" t="s">
        <v>4360</v>
      </c>
      <c r="L117" s="3603">
        <v>44433</v>
      </c>
      <c r="M117" s="3603">
        <v>44797</v>
      </c>
      <c r="N117" s="3602">
        <v>0</v>
      </c>
      <c r="O117" s="3550"/>
      <c r="P117" s="3585">
        <v>0.18</v>
      </c>
      <c r="Q117" s="3631"/>
      <c r="R117" s="3631"/>
      <c r="S117" s="3631"/>
      <c r="T117" s="3634"/>
    </row>
    <row r="118" spans="1:21" ht="25.5">
      <c r="A118" s="3820"/>
      <c r="B118" s="3821"/>
      <c r="C118" s="3624"/>
      <c r="D118" s="3564"/>
      <c r="E118" s="3599"/>
      <c r="F118" s="3599"/>
      <c r="G118" s="3598"/>
      <c r="H118" s="3551">
        <v>635</v>
      </c>
      <c r="I118" s="3551">
        <v>67202.05</v>
      </c>
      <c r="J118" s="3551">
        <v>807713.40643835603</v>
      </c>
      <c r="K118" s="3550" t="s">
        <v>4359</v>
      </c>
      <c r="L118" s="3603">
        <v>44798</v>
      </c>
      <c r="M118" s="3603">
        <v>45162</v>
      </c>
      <c r="N118" s="3602">
        <v>0</v>
      </c>
      <c r="O118" s="3550"/>
      <c r="P118" s="3585">
        <v>0.18</v>
      </c>
      <c r="Q118" s="3631"/>
      <c r="R118" s="3631"/>
      <c r="S118" s="3631"/>
      <c r="T118" s="3634"/>
    </row>
    <row r="119" spans="1:21" ht="25.5">
      <c r="A119" s="3820"/>
      <c r="B119" s="3821"/>
      <c r="C119" s="3617">
        <v>45163</v>
      </c>
      <c r="D119" s="3550"/>
      <c r="E119" s="3603">
        <v>45528</v>
      </c>
      <c r="F119" s="3603"/>
      <c r="G119" s="3616"/>
      <c r="H119" s="3595">
        <v>440</v>
      </c>
      <c r="I119" s="3595">
        <v>46565.2</v>
      </c>
      <c r="J119" s="3595">
        <v>559675.43123287696</v>
      </c>
      <c r="K119" s="3592" t="s">
        <v>4358</v>
      </c>
      <c r="L119" s="3594">
        <v>45163</v>
      </c>
      <c r="M119" s="3594">
        <v>45528</v>
      </c>
      <c r="N119" s="3593">
        <v>46565.2</v>
      </c>
      <c r="O119" s="3592" t="s">
        <v>4357</v>
      </c>
      <c r="P119" s="3591">
        <v>0.18</v>
      </c>
      <c r="Q119" s="3551" t="s">
        <v>4298</v>
      </c>
      <c r="R119" s="3551"/>
      <c r="S119" s="3551"/>
      <c r="T119" s="3550"/>
    </row>
    <row r="120" spans="1:21" ht="25.5">
      <c r="A120" s="3820"/>
      <c r="B120" s="3819"/>
      <c r="C120" s="3588"/>
      <c r="D120" s="3818"/>
      <c r="E120" s="3587"/>
      <c r="F120" s="3587"/>
      <c r="G120" s="3616"/>
      <c r="H120" s="3595">
        <v>440</v>
      </c>
      <c r="I120" s="3595">
        <v>46565.2</v>
      </c>
      <c r="J120" s="3595">
        <v>326849.43123287702</v>
      </c>
      <c r="K120" s="3592" t="s">
        <v>4356</v>
      </c>
      <c r="L120" s="3594">
        <v>45529</v>
      </c>
      <c r="M120" s="3594">
        <v>45716</v>
      </c>
      <c r="N120" s="3593"/>
      <c r="O120" s="3592"/>
      <c r="P120" s="3591">
        <v>0.18</v>
      </c>
      <c r="Q120" s="3565" t="s">
        <v>4298</v>
      </c>
      <c r="R120" s="3565"/>
      <c r="S120" s="3565"/>
      <c r="T120" s="3565"/>
    </row>
    <row r="121" spans="1:21" ht="25.5">
      <c r="A121" s="3562" t="s">
        <v>4355</v>
      </c>
      <c r="B121" s="3562">
        <v>96.9</v>
      </c>
      <c r="C121" s="3600">
        <v>44643</v>
      </c>
      <c r="D121" s="3675">
        <v>24</v>
      </c>
      <c r="E121" s="3674">
        <v>45403</v>
      </c>
      <c r="F121" s="3674">
        <v>44673</v>
      </c>
      <c r="G121" s="3673">
        <v>44673</v>
      </c>
      <c r="H121" s="3794">
        <v>340</v>
      </c>
      <c r="I121" s="3794">
        <v>32946</v>
      </c>
      <c r="J121" s="3794">
        <v>32946</v>
      </c>
      <c r="K121" s="3563" t="s">
        <v>4354</v>
      </c>
      <c r="L121" s="3612">
        <v>44643</v>
      </c>
      <c r="M121" s="3612">
        <v>44702</v>
      </c>
      <c r="N121" s="3602">
        <v>0</v>
      </c>
      <c r="O121" s="3563"/>
      <c r="P121" s="3618">
        <v>0.13</v>
      </c>
      <c r="Q121" s="3565"/>
      <c r="R121" s="3565"/>
      <c r="S121" s="3565"/>
      <c r="T121" s="3565"/>
    </row>
    <row r="122" spans="1:21" ht="25.5">
      <c r="A122" s="3572"/>
      <c r="B122" s="3572"/>
      <c r="C122" s="3734"/>
      <c r="D122" s="3675"/>
      <c r="E122" s="3675"/>
      <c r="F122" s="3675"/>
      <c r="G122" s="3729"/>
      <c r="H122" s="3794">
        <v>340</v>
      </c>
      <c r="I122" s="3794">
        <v>32946</v>
      </c>
      <c r="J122" s="3794">
        <v>363037.84109588998</v>
      </c>
      <c r="K122" s="3563" t="s">
        <v>4353</v>
      </c>
      <c r="L122" s="3612">
        <v>44703</v>
      </c>
      <c r="M122" s="3612">
        <v>45037</v>
      </c>
      <c r="N122" s="3602">
        <v>0</v>
      </c>
      <c r="O122" s="3563"/>
      <c r="P122" s="3618">
        <v>0.13</v>
      </c>
      <c r="Q122" s="3565"/>
      <c r="R122" s="3565"/>
      <c r="S122" s="3565"/>
      <c r="T122" s="3565"/>
    </row>
    <row r="123" spans="1:21" ht="38.25">
      <c r="A123" s="3572"/>
      <c r="B123" s="3572"/>
      <c r="C123" s="3734"/>
      <c r="D123" s="3675"/>
      <c r="E123" s="3675"/>
      <c r="F123" s="3675"/>
      <c r="G123" s="3729"/>
      <c r="H123" s="3794">
        <v>360</v>
      </c>
      <c r="I123" s="3794">
        <v>34884</v>
      </c>
      <c r="J123" s="3794">
        <v>418130.13698630099</v>
      </c>
      <c r="K123" s="3563" t="s">
        <v>4352</v>
      </c>
      <c r="L123" s="3612">
        <v>45038</v>
      </c>
      <c r="M123" s="3612">
        <v>45403</v>
      </c>
      <c r="N123" s="3620">
        <v>0</v>
      </c>
      <c r="O123" s="3552" t="s">
        <v>4350</v>
      </c>
      <c r="P123" s="3618">
        <v>0.14000000000000001</v>
      </c>
      <c r="Q123" s="3571">
        <v>10</v>
      </c>
      <c r="R123" s="3571">
        <v>1305.3</v>
      </c>
      <c r="S123" s="3571"/>
      <c r="T123" s="3571" t="s">
        <v>3779</v>
      </c>
    </row>
    <row r="124" spans="1:21" ht="38.25">
      <c r="A124" s="3572"/>
      <c r="B124" s="3572"/>
      <c r="C124" s="3817"/>
      <c r="D124" s="3552"/>
      <c r="E124" s="3552"/>
      <c r="F124" s="3552"/>
      <c r="G124" s="3728"/>
      <c r="H124" s="3796">
        <v>365</v>
      </c>
      <c r="I124" s="3796">
        <v>35368.5</v>
      </c>
      <c r="J124" s="3796">
        <v>423937.5</v>
      </c>
      <c r="K124" s="3595" t="s">
        <v>4351</v>
      </c>
      <c r="L124" s="3594">
        <v>45404</v>
      </c>
      <c r="M124" s="3594">
        <v>45768</v>
      </c>
      <c r="N124" s="3593">
        <v>35368.5</v>
      </c>
      <c r="O124" s="3592" t="s">
        <v>4350</v>
      </c>
      <c r="P124" s="3591">
        <v>0.14000000000000001</v>
      </c>
      <c r="Q124" s="3571"/>
      <c r="R124" s="3571"/>
      <c r="S124" s="3571"/>
      <c r="T124" s="3571"/>
    </row>
    <row r="125" spans="1:21" ht="25.5">
      <c r="A125" s="3561"/>
      <c r="B125" s="3561"/>
      <c r="C125" s="3817"/>
      <c r="D125" s="3552"/>
      <c r="E125" s="3552"/>
      <c r="F125" s="3552"/>
      <c r="G125" s="3728"/>
      <c r="H125" s="3796">
        <v>365</v>
      </c>
      <c r="I125" s="3796">
        <v>35368.5</v>
      </c>
      <c r="J125" s="3796">
        <v>423937.5</v>
      </c>
      <c r="K125" s="3595" t="s">
        <v>4349</v>
      </c>
      <c r="L125" s="3594"/>
      <c r="M125" s="3594"/>
      <c r="N125" s="3593"/>
      <c r="O125" s="3592"/>
      <c r="P125" s="3591">
        <v>0.14000000000000001</v>
      </c>
      <c r="Q125" s="3571"/>
      <c r="R125" s="3571"/>
      <c r="S125" s="3571"/>
      <c r="T125" s="3571"/>
      <c r="U125" s="3590">
        <f>I125</f>
        <v>35368.5</v>
      </c>
    </row>
    <row r="126" spans="1:21" ht="25.5">
      <c r="A126" s="3675" t="s">
        <v>4348</v>
      </c>
      <c r="B126" s="3633">
        <v>40.200000000000003</v>
      </c>
      <c r="C126" s="3600">
        <v>45108</v>
      </c>
      <c r="D126" s="3562"/>
      <c r="E126" s="3674">
        <v>45868</v>
      </c>
      <c r="F126" s="3674">
        <v>45138</v>
      </c>
      <c r="G126" s="3673">
        <v>45138</v>
      </c>
      <c r="H126" s="3563">
        <v>430</v>
      </c>
      <c r="I126" s="3563">
        <v>17286</v>
      </c>
      <c r="J126" s="3563">
        <v>17286</v>
      </c>
      <c r="K126" s="3552" t="s">
        <v>4347</v>
      </c>
      <c r="L126" s="3612">
        <v>45108</v>
      </c>
      <c r="M126" s="3612">
        <v>45168</v>
      </c>
      <c r="N126" s="3602">
        <v>0</v>
      </c>
      <c r="O126" s="3552"/>
      <c r="P126" s="3618">
        <v>0.15</v>
      </c>
      <c r="Q126" s="3571"/>
      <c r="R126" s="3571"/>
      <c r="S126" s="3571"/>
      <c r="T126" s="3571"/>
    </row>
    <row r="127" spans="1:21" ht="25.5">
      <c r="A127" s="3675"/>
      <c r="B127" s="3633"/>
      <c r="C127" s="3600"/>
      <c r="D127" s="3572"/>
      <c r="E127" s="3674"/>
      <c r="F127" s="3674"/>
      <c r="G127" s="3673"/>
      <c r="H127" s="3595">
        <v>430</v>
      </c>
      <c r="I127" s="3595">
        <v>17286</v>
      </c>
      <c r="J127" s="3595">
        <v>191850.92054794499</v>
      </c>
      <c r="K127" s="3592" t="s">
        <v>4346</v>
      </c>
      <c r="L127" s="3594">
        <v>45169</v>
      </c>
      <c r="M127" s="3594">
        <v>45534</v>
      </c>
      <c r="N127" s="3593">
        <v>17286</v>
      </c>
      <c r="O127" s="3592" t="s">
        <v>4345</v>
      </c>
      <c r="P127" s="3591">
        <v>0.15</v>
      </c>
      <c r="Q127" s="3563"/>
      <c r="R127" s="3563"/>
      <c r="S127" s="3563"/>
      <c r="T127" s="3563"/>
    </row>
    <row r="128" spans="1:21" ht="25.5">
      <c r="A128" s="3675"/>
      <c r="B128" s="3633"/>
      <c r="C128" s="3600"/>
      <c r="D128" s="3561"/>
      <c r="E128" s="3674"/>
      <c r="F128" s="3674"/>
      <c r="G128" s="3673"/>
      <c r="H128" s="3563">
        <v>470</v>
      </c>
      <c r="I128" s="3563">
        <v>18894</v>
      </c>
      <c r="J128" s="3563">
        <v>190803.51780821901</v>
      </c>
      <c r="K128" s="3552" t="s">
        <v>4344</v>
      </c>
      <c r="L128" s="3612">
        <v>45535</v>
      </c>
      <c r="M128" s="3612">
        <v>45868</v>
      </c>
      <c r="N128" s="3602">
        <v>0</v>
      </c>
      <c r="O128" s="3552"/>
      <c r="P128" s="3618">
        <v>0.16</v>
      </c>
      <c r="Q128" s="3565">
        <v>10</v>
      </c>
      <c r="R128" s="3565">
        <v>1058.3</v>
      </c>
      <c r="S128" s="3811"/>
      <c r="T128" s="3565" t="s">
        <v>3779</v>
      </c>
    </row>
    <row r="129" spans="1:21" ht="38.25">
      <c r="A129" s="3604" t="s">
        <v>4343</v>
      </c>
      <c r="B129" s="3664">
        <v>100.98</v>
      </c>
      <c r="C129" s="3615">
        <v>45351</v>
      </c>
      <c r="D129" s="3562"/>
      <c r="E129" s="3614">
        <v>46475</v>
      </c>
      <c r="F129" s="3614">
        <v>45381</v>
      </c>
      <c r="G129" s="3613">
        <v>45381</v>
      </c>
      <c r="H129" s="3620">
        <v>240</v>
      </c>
      <c r="I129" s="3563">
        <v>24235.200000000001</v>
      </c>
      <c r="J129" s="3809">
        <v>24235.200000000001</v>
      </c>
      <c r="K129" s="3807" t="s">
        <v>4342</v>
      </c>
      <c r="L129" s="3808">
        <v>45381</v>
      </c>
      <c r="M129" s="3808">
        <v>45411</v>
      </c>
      <c r="N129" s="3663" t="s">
        <v>3806</v>
      </c>
      <c r="O129" s="3816" t="s">
        <v>4340</v>
      </c>
      <c r="P129" s="3806">
        <v>0.18</v>
      </c>
      <c r="Q129" s="3565"/>
      <c r="R129" s="3565"/>
      <c r="S129" s="3811"/>
      <c r="T129" s="3565"/>
    </row>
    <row r="130" spans="1:21" ht="38.25">
      <c r="A130" s="3601"/>
      <c r="B130" s="3662"/>
      <c r="C130" s="3661"/>
      <c r="D130" s="3572"/>
      <c r="E130" s="3621"/>
      <c r="F130" s="3621"/>
      <c r="G130" s="3810"/>
      <c r="H130" s="3593">
        <v>240</v>
      </c>
      <c r="I130" s="3595">
        <v>24235.200000000001</v>
      </c>
      <c r="J130" s="3815">
        <v>266255.210958904</v>
      </c>
      <c r="K130" s="3813" t="s">
        <v>4341</v>
      </c>
      <c r="L130" s="3814">
        <v>45412</v>
      </c>
      <c r="M130" s="3814">
        <v>45745</v>
      </c>
      <c r="N130" s="3593">
        <v>24235.200000000001</v>
      </c>
      <c r="O130" s="3813" t="s">
        <v>4340</v>
      </c>
      <c r="P130" s="3812">
        <v>0.18</v>
      </c>
      <c r="Q130" s="3565"/>
      <c r="R130" s="3565"/>
      <c r="S130" s="3811"/>
      <c r="T130" s="3565"/>
    </row>
    <row r="131" spans="1:21" ht="25.5">
      <c r="A131" s="3601"/>
      <c r="B131" s="3662"/>
      <c r="C131" s="3661"/>
      <c r="D131" s="3572"/>
      <c r="E131" s="3621"/>
      <c r="F131" s="3621"/>
      <c r="G131" s="3810"/>
      <c r="H131" s="3620">
        <v>270</v>
      </c>
      <c r="I131" s="3563">
        <v>27264.6</v>
      </c>
      <c r="J131" s="3809">
        <v>327698.082739726</v>
      </c>
      <c r="K131" s="3807" t="s">
        <v>4339</v>
      </c>
      <c r="L131" s="3808">
        <v>45746</v>
      </c>
      <c r="M131" s="3808">
        <v>46110</v>
      </c>
      <c r="N131" s="3620">
        <v>0</v>
      </c>
      <c r="O131" s="3807"/>
      <c r="P131" s="3806">
        <v>0.19</v>
      </c>
      <c r="Q131" s="3565"/>
      <c r="R131" s="3565"/>
      <c r="S131" s="3551"/>
      <c r="T131" s="3565"/>
      <c r="U131" s="3590">
        <f>I131</f>
        <v>27264.6</v>
      </c>
    </row>
    <row r="132" spans="1:21" ht="25.5">
      <c r="A132" s="3597"/>
      <c r="B132" s="3659"/>
      <c r="C132" s="3610"/>
      <c r="D132" s="3561"/>
      <c r="E132" s="3609"/>
      <c r="F132" s="3609"/>
      <c r="G132" s="3608"/>
      <c r="H132" s="3620">
        <v>300</v>
      </c>
      <c r="I132" s="3563">
        <v>30294</v>
      </c>
      <c r="J132" s="3809">
        <v>364108.980821918</v>
      </c>
      <c r="K132" s="3807" t="s">
        <v>4338</v>
      </c>
      <c r="L132" s="3808">
        <v>46111</v>
      </c>
      <c r="M132" s="3808">
        <v>46475</v>
      </c>
      <c r="N132" s="3620">
        <v>0</v>
      </c>
      <c r="O132" s="3807"/>
      <c r="P132" s="3806">
        <v>0.2</v>
      </c>
      <c r="Q132" s="3565"/>
      <c r="R132" s="3565"/>
      <c r="S132" s="3551"/>
      <c r="T132" s="3565"/>
    </row>
    <row r="133" spans="1:21" ht="38.25">
      <c r="A133" s="3636" t="s">
        <v>4337</v>
      </c>
      <c r="B133" s="3633">
        <v>1162</v>
      </c>
      <c r="C133" s="3711" t="s">
        <v>4336</v>
      </c>
      <c r="D133" s="3636">
        <v>96</v>
      </c>
      <c r="E133" s="3701">
        <v>44788</v>
      </c>
      <c r="F133" s="3701">
        <v>40879</v>
      </c>
      <c r="G133" s="3700" t="s">
        <v>4335</v>
      </c>
      <c r="H133" s="3631">
        <v>120</v>
      </c>
      <c r="I133" s="3631">
        <v>250212</v>
      </c>
      <c r="J133" s="3631">
        <v>6953151.5499999998</v>
      </c>
      <c r="K133" s="3634" t="s">
        <v>4334</v>
      </c>
      <c r="L133" s="3690" t="s">
        <v>4333</v>
      </c>
      <c r="M133" s="3690">
        <v>41866</v>
      </c>
      <c r="N133" s="3602">
        <v>0</v>
      </c>
      <c r="O133" s="3634"/>
      <c r="P133" s="3710">
        <v>0.08</v>
      </c>
      <c r="Q133" s="3551">
        <v>10</v>
      </c>
      <c r="R133" s="3551"/>
      <c r="S133" s="3551"/>
      <c r="T133" s="3551"/>
    </row>
    <row r="134" spans="1:21" ht="25.5">
      <c r="A134" s="3636"/>
      <c r="B134" s="3633"/>
      <c r="C134" s="3711"/>
      <c r="D134" s="3636"/>
      <c r="E134" s="3701"/>
      <c r="F134" s="3701"/>
      <c r="G134" s="3700"/>
      <c r="H134" s="3631">
        <v>130</v>
      </c>
      <c r="I134" s="3631">
        <v>271063</v>
      </c>
      <c r="J134" s="3631">
        <v>2120232.5099999998</v>
      </c>
      <c r="K134" s="3552" t="s">
        <v>4332</v>
      </c>
      <c r="L134" s="3612">
        <v>41867</v>
      </c>
      <c r="M134" s="3612">
        <v>42103</v>
      </c>
      <c r="N134" s="3602">
        <v>0</v>
      </c>
      <c r="O134" s="3552"/>
      <c r="P134" s="3710">
        <v>0.08</v>
      </c>
      <c r="Q134" s="3551"/>
      <c r="R134" s="3551"/>
      <c r="S134" s="3551"/>
      <c r="T134" s="3551"/>
    </row>
    <row r="135" spans="1:21" ht="25.5">
      <c r="A135" s="3636"/>
      <c r="B135" s="3633"/>
      <c r="C135" s="3711"/>
      <c r="D135" s="3636"/>
      <c r="E135" s="3701"/>
      <c r="F135" s="3701"/>
      <c r="G135" s="3700"/>
      <c r="H135" s="3631">
        <v>80</v>
      </c>
      <c r="I135" s="3631">
        <v>92960</v>
      </c>
      <c r="J135" s="3631">
        <v>3345286.58</v>
      </c>
      <c r="K135" s="3552" t="s">
        <v>4331</v>
      </c>
      <c r="L135" s="3612">
        <v>42104</v>
      </c>
      <c r="M135" s="3612">
        <v>43199</v>
      </c>
      <c r="N135" s="3602">
        <v>0</v>
      </c>
      <c r="O135" s="3552"/>
      <c r="P135" s="3710">
        <v>6.5000000000000002E-2</v>
      </c>
      <c r="Q135" s="3551"/>
      <c r="R135" s="3551"/>
      <c r="S135" s="3551"/>
      <c r="T135" s="3551"/>
    </row>
    <row r="136" spans="1:21" ht="38.25">
      <c r="A136" s="3636"/>
      <c r="B136" s="3633"/>
      <c r="C136" s="3711"/>
      <c r="D136" s="3636"/>
      <c r="E136" s="3701"/>
      <c r="F136" s="3701"/>
      <c r="G136" s="3700"/>
      <c r="H136" s="3631">
        <v>85</v>
      </c>
      <c r="I136" s="3631">
        <v>98770</v>
      </c>
      <c r="J136" s="3631">
        <v>5154170.38</v>
      </c>
      <c r="K136" s="3552" t="s">
        <v>4330</v>
      </c>
      <c r="L136" s="3612">
        <v>43200</v>
      </c>
      <c r="M136" s="3612">
        <v>44788</v>
      </c>
      <c r="N136" s="3602">
        <v>0</v>
      </c>
      <c r="O136" s="3552"/>
      <c r="P136" s="3710">
        <v>7.0000000000000007E-2</v>
      </c>
      <c r="Q136" s="3571">
        <v>10</v>
      </c>
      <c r="R136" s="3571">
        <v>969</v>
      </c>
      <c r="S136" s="3571">
        <v>24179.868493150701</v>
      </c>
      <c r="T136" s="3571" t="s">
        <v>3779</v>
      </c>
    </row>
    <row r="137" spans="1:21" ht="36">
      <c r="A137" s="3636"/>
      <c r="B137" s="3633"/>
      <c r="C137" s="3692">
        <v>44789</v>
      </c>
      <c r="D137" s="3629"/>
      <c r="E137" s="3688">
        <v>45884</v>
      </c>
      <c r="F137" s="3688">
        <v>44789</v>
      </c>
      <c r="G137" s="3805"/>
      <c r="H137" s="3804" t="s">
        <v>4329</v>
      </c>
      <c r="I137" s="3804"/>
      <c r="J137" s="3804"/>
      <c r="K137" s="3694" t="s">
        <v>4328</v>
      </c>
      <c r="L137" s="3695">
        <v>44789</v>
      </c>
      <c r="M137" s="3695">
        <v>45884</v>
      </c>
      <c r="N137" s="3751" t="s">
        <v>4327</v>
      </c>
      <c r="O137" s="3803" t="s">
        <v>4326</v>
      </c>
      <c r="P137" s="3693">
        <v>0.06</v>
      </c>
      <c r="Q137" s="3571"/>
      <c r="R137" s="3571"/>
      <c r="S137" s="3571"/>
      <c r="T137" s="3571"/>
    </row>
    <row r="138" spans="1:21" ht="25.5">
      <c r="A138" s="3650" t="s">
        <v>4325</v>
      </c>
      <c r="B138" s="3650">
        <v>30.01</v>
      </c>
      <c r="C138" s="3711" t="s">
        <v>4324</v>
      </c>
      <c r="D138" s="3636">
        <v>36</v>
      </c>
      <c r="E138" s="3701">
        <v>44534</v>
      </c>
      <c r="F138" s="3701">
        <v>43459</v>
      </c>
      <c r="G138" s="3700">
        <v>43459</v>
      </c>
      <c r="H138" s="3631">
        <v>0</v>
      </c>
      <c r="I138" s="3631">
        <v>0</v>
      </c>
      <c r="J138" s="3631">
        <v>0</v>
      </c>
      <c r="K138" s="3634" t="s">
        <v>4323</v>
      </c>
      <c r="L138" s="3690">
        <v>43459</v>
      </c>
      <c r="M138" s="3690">
        <v>43520</v>
      </c>
      <c r="N138" s="3602">
        <v>0</v>
      </c>
      <c r="O138" s="3634"/>
      <c r="P138" s="3710"/>
      <c r="Q138" s="3571"/>
      <c r="R138" s="3571"/>
      <c r="S138" s="3571"/>
      <c r="T138" s="3571"/>
    </row>
    <row r="139" spans="1:21" ht="25.5">
      <c r="A139" s="3645"/>
      <c r="B139" s="3645"/>
      <c r="C139" s="3711"/>
      <c r="D139" s="3636"/>
      <c r="E139" s="3701"/>
      <c r="F139" s="3701"/>
      <c r="G139" s="3700"/>
      <c r="H139" s="3631">
        <v>420</v>
      </c>
      <c r="I139" s="3631">
        <v>12604.2</v>
      </c>
      <c r="J139" s="3631">
        <v>116752.87726027401</v>
      </c>
      <c r="K139" s="3552" t="s">
        <v>4322</v>
      </c>
      <c r="L139" s="3612">
        <v>43521</v>
      </c>
      <c r="M139" s="3612">
        <v>43803</v>
      </c>
      <c r="N139" s="3602">
        <v>0</v>
      </c>
      <c r="O139" s="3552"/>
      <c r="P139" s="3710">
        <v>0.13</v>
      </c>
      <c r="Q139" s="3563"/>
      <c r="R139" s="3563"/>
      <c r="S139" s="3563"/>
      <c r="T139" s="3563"/>
    </row>
    <row r="140" spans="1:21" ht="25.5">
      <c r="A140" s="3645"/>
      <c r="B140" s="3645"/>
      <c r="C140" s="3711"/>
      <c r="D140" s="3636"/>
      <c r="E140" s="3701"/>
      <c r="F140" s="3701"/>
      <c r="G140" s="3700"/>
      <c r="H140" s="3631">
        <v>440</v>
      </c>
      <c r="I140" s="3631">
        <v>13204.4</v>
      </c>
      <c r="J140" s="3631">
        <v>158706.03506849299</v>
      </c>
      <c r="K140" s="3552" t="s">
        <v>4321</v>
      </c>
      <c r="L140" s="3612">
        <v>43804</v>
      </c>
      <c r="M140" s="3612">
        <v>44169</v>
      </c>
      <c r="N140" s="3602">
        <v>0</v>
      </c>
      <c r="O140" s="3552"/>
      <c r="P140" s="3710">
        <v>0.13</v>
      </c>
      <c r="Q140" s="3563"/>
      <c r="R140" s="3563"/>
      <c r="S140" s="3563"/>
      <c r="T140" s="3563"/>
    </row>
    <row r="141" spans="1:21" ht="25.5">
      <c r="A141" s="3645"/>
      <c r="B141" s="3645"/>
      <c r="C141" s="3711"/>
      <c r="D141" s="3636"/>
      <c r="E141" s="3701"/>
      <c r="F141" s="3701"/>
      <c r="G141" s="3700"/>
      <c r="H141" s="3631">
        <v>650</v>
      </c>
      <c r="I141" s="3631">
        <v>19506.5</v>
      </c>
      <c r="J141" s="3631">
        <v>234452.09726027399</v>
      </c>
      <c r="K141" s="3552" t="s">
        <v>4320</v>
      </c>
      <c r="L141" s="3612">
        <v>44170</v>
      </c>
      <c r="M141" s="3612">
        <v>44534</v>
      </c>
      <c r="N141" s="3602">
        <v>0</v>
      </c>
      <c r="O141" s="3552"/>
      <c r="P141" s="3710">
        <v>0.14000000000000001</v>
      </c>
      <c r="Q141" s="3563"/>
      <c r="R141" s="3563"/>
      <c r="S141" s="3563"/>
      <c r="T141" s="3563"/>
    </row>
    <row r="142" spans="1:21" ht="25.5">
      <c r="A142" s="3645"/>
      <c r="B142" s="3645"/>
      <c r="C142" s="3707">
        <v>44535</v>
      </c>
      <c r="D142" s="3634">
        <v>12</v>
      </c>
      <c r="E142" s="3690">
        <v>44899</v>
      </c>
      <c r="F142" s="3690">
        <v>44535</v>
      </c>
      <c r="G142" s="3689">
        <v>44535</v>
      </c>
      <c r="H142" s="3631">
        <v>680</v>
      </c>
      <c r="I142" s="3631">
        <v>20406.8</v>
      </c>
      <c r="J142" s="3631">
        <v>245272.96328767101</v>
      </c>
      <c r="K142" s="3552" t="s">
        <v>4319</v>
      </c>
      <c r="L142" s="3612">
        <v>44535</v>
      </c>
      <c r="M142" s="3612">
        <v>44899</v>
      </c>
      <c r="N142" s="3602">
        <v>0</v>
      </c>
      <c r="O142" s="3552"/>
      <c r="P142" s="3710">
        <v>0.15</v>
      </c>
      <c r="Q142" s="3563"/>
      <c r="R142" s="3563"/>
      <c r="S142" s="3563"/>
      <c r="T142" s="3563"/>
    </row>
    <row r="143" spans="1:21" ht="25.5">
      <c r="A143" s="3645"/>
      <c r="B143" s="3645"/>
      <c r="C143" s="3707"/>
      <c r="D143" s="3634"/>
      <c r="E143" s="3690">
        <v>45264</v>
      </c>
      <c r="F143" s="3690">
        <v>44900</v>
      </c>
      <c r="G143" s="3689">
        <v>44900</v>
      </c>
      <c r="H143" s="3563">
        <v>690</v>
      </c>
      <c r="I143" s="3563">
        <v>20706.900000000001</v>
      </c>
      <c r="J143" s="3563">
        <v>248879.91863013699</v>
      </c>
      <c r="K143" s="3552" t="s">
        <v>4318</v>
      </c>
      <c r="L143" s="3612">
        <v>44900</v>
      </c>
      <c r="M143" s="3612">
        <v>45264</v>
      </c>
      <c r="N143" s="3602">
        <v>0</v>
      </c>
      <c r="O143" s="3552"/>
      <c r="P143" s="3710">
        <v>0.15</v>
      </c>
      <c r="Q143" s="3563"/>
      <c r="R143" s="3563"/>
      <c r="S143" s="3563"/>
      <c r="T143" s="3563"/>
    </row>
    <row r="144" spans="1:21" ht="25.5">
      <c r="A144" s="3645"/>
      <c r="B144" s="3645"/>
      <c r="C144" s="3707"/>
      <c r="D144" s="3634"/>
      <c r="E144" s="3690"/>
      <c r="F144" s="3690"/>
      <c r="G144" s="3689"/>
      <c r="H144" s="3595">
        <v>705</v>
      </c>
      <c r="I144" s="3595">
        <v>21157.05</v>
      </c>
      <c r="J144" s="3595">
        <v>254290.35164383601</v>
      </c>
      <c r="K144" s="3592" t="s">
        <v>4317</v>
      </c>
      <c r="L144" s="3594">
        <v>45265</v>
      </c>
      <c r="M144" s="3594">
        <v>45630</v>
      </c>
      <c r="N144" s="3593">
        <v>21157.05</v>
      </c>
      <c r="O144" s="3627" t="s">
        <v>4316</v>
      </c>
      <c r="P144" s="3591">
        <v>0.16</v>
      </c>
      <c r="Q144" s="3558">
        <v>10</v>
      </c>
      <c r="R144" s="3558">
        <v>1009.8</v>
      </c>
      <c r="S144" s="3558">
        <v>37348.767123287696</v>
      </c>
      <c r="T144" s="3562" t="s">
        <v>4315</v>
      </c>
    </row>
    <row r="145" spans="1:21" ht="25.5">
      <c r="A145" s="3639"/>
      <c r="B145" s="3639"/>
      <c r="C145" s="3707"/>
      <c r="D145" s="3634"/>
      <c r="E145" s="3690"/>
      <c r="F145" s="3690"/>
      <c r="G145" s="3689"/>
      <c r="H145" s="3595">
        <v>705</v>
      </c>
      <c r="I145" s="3595">
        <v>21157.05</v>
      </c>
      <c r="J145" s="3595">
        <v>254290.35164383601</v>
      </c>
      <c r="K145" s="3592" t="s">
        <v>4314</v>
      </c>
      <c r="L145" s="3594">
        <v>45631</v>
      </c>
      <c r="M145" s="3594">
        <v>45995</v>
      </c>
      <c r="N145" s="3593"/>
      <c r="O145" s="3627"/>
      <c r="P145" s="3591"/>
      <c r="Q145" s="3573"/>
      <c r="R145" s="3573"/>
      <c r="S145" s="3573"/>
      <c r="T145" s="3572"/>
      <c r="U145" s="3590">
        <f>I145</f>
        <v>21157.05</v>
      </c>
    </row>
    <row r="146" spans="1:21" ht="25.5">
      <c r="A146" s="3570" t="s">
        <v>4313</v>
      </c>
      <c r="B146" s="3570">
        <v>74.290000000000006</v>
      </c>
      <c r="C146" s="3624" t="s">
        <v>4312</v>
      </c>
      <c r="D146" s="3564">
        <v>24</v>
      </c>
      <c r="E146" s="3599" t="s">
        <v>4311</v>
      </c>
      <c r="F146" s="3599" t="s">
        <v>4310</v>
      </c>
      <c r="G146" s="3598" t="s">
        <v>4310</v>
      </c>
      <c r="H146" s="3563">
        <v>470</v>
      </c>
      <c r="I146" s="3563">
        <v>34916.300000000003</v>
      </c>
      <c r="J146" s="3563">
        <v>418995.6</v>
      </c>
      <c r="K146" s="3552" t="s">
        <v>4309</v>
      </c>
      <c r="L146" s="3612">
        <v>44295</v>
      </c>
      <c r="M146" s="3612">
        <v>44659</v>
      </c>
      <c r="N146" s="3602">
        <v>0</v>
      </c>
      <c r="O146" s="3552"/>
      <c r="P146" s="3585">
        <v>0.17</v>
      </c>
      <c r="Q146" s="3573"/>
      <c r="R146" s="3573"/>
      <c r="S146" s="3573"/>
      <c r="T146" s="3572"/>
    </row>
    <row r="147" spans="1:21" ht="25.5">
      <c r="A147" s="3568"/>
      <c r="B147" s="3568"/>
      <c r="C147" s="3624"/>
      <c r="D147" s="3564"/>
      <c r="E147" s="3599"/>
      <c r="F147" s="3599"/>
      <c r="G147" s="3598"/>
      <c r="H147" s="3563">
        <v>500</v>
      </c>
      <c r="I147" s="3563">
        <v>37145</v>
      </c>
      <c r="J147" s="3563">
        <v>445740</v>
      </c>
      <c r="K147" s="3552" t="s">
        <v>4308</v>
      </c>
      <c r="L147" s="3612">
        <v>44660</v>
      </c>
      <c r="M147" s="3612">
        <v>45024</v>
      </c>
      <c r="N147" s="3602">
        <v>0</v>
      </c>
      <c r="O147" s="3552"/>
      <c r="P147" s="3585">
        <v>0.18</v>
      </c>
      <c r="Q147" s="3556"/>
      <c r="R147" s="3556"/>
      <c r="S147" s="3556"/>
      <c r="T147" s="3561"/>
    </row>
    <row r="148" spans="1:21" ht="25.5">
      <c r="A148" s="3568"/>
      <c r="B148" s="3568"/>
      <c r="C148" s="3617">
        <v>45025</v>
      </c>
      <c r="D148" s="3550"/>
      <c r="E148" s="3603">
        <v>45390</v>
      </c>
      <c r="F148" s="3603">
        <v>45025</v>
      </c>
      <c r="G148" s="3616">
        <v>45025</v>
      </c>
      <c r="H148" s="3571" t="s">
        <v>4307</v>
      </c>
      <c r="I148" s="3571"/>
      <c r="J148" s="3571"/>
      <c r="K148" s="3552" t="s">
        <v>4306</v>
      </c>
      <c r="L148" s="3612">
        <v>45025</v>
      </c>
      <c r="M148" s="3612">
        <v>45390</v>
      </c>
      <c r="N148" s="3620">
        <v>0</v>
      </c>
      <c r="O148" s="3552" t="s">
        <v>4303</v>
      </c>
      <c r="P148" s="3618">
        <v>0.18</v>
      </c>
      <c r="Q148" s="3637">
        <v>10</v>
      </c>
      <c r="R148" s="3637">
        <v>20851</v>
      </c>
      <c r="S148" s="3637"/>
      <c r="T148" s="3636" t="s">
        <v>4305</v>
      </c>
    </row>
    <row r="149" spans="1:21" ht="25.5">
      <c r="A149" s="3568"/>
      <c r="B149" s="3568"/>
      <c r="C149" s="3617">
        <v>45391</v>
      </c>
      <c r="D149" s="3550">
        <v>6</v>
      </c>
      <c r="E149" s="3603">
        <v>45573</v>
      </c>
      <c r="F149" s="3603">
        <v>45391</v>
      </c>
      <c r="G149" s="3616">
        <v>45391</v>
      </c>
      <c r="H149" s="3595">
        <v>305</v>
      </c>
      <c r="I149" s="3595">
        <v>22658.45</v>
      </c>
      <c r="J149" s="3595">
        <v>135640.31027397301</v>
      </c>
      <c r="K149" s="3592" t="s">
        <v>4304</v>
      </c>
      <c r="L149" s="3594">
        <v>45391</v>
      </c>
      <c r="M149" s="3594">
        <v>45573</v>
      </c>
      <c r="N149" s="3593">
        <v>22658.45</v>
      </c>
      <c r="O149" s="3592" t="s">
        <v>4303</v>
      </c>
      <c r="P149" s="3591">
        <v>0.18</v>
      </c>
      <c r="Q149" s="3637"/>
      <c r="R149" s="3637"/>
      <c r="S149" s="3637"/>
      <c r="T149" s="3636"/>
    </row>
    <row r="150" spans="1:21" ht="25.5">
      <c r="A150" s="3567"/>
      <c r="B150" s="3567"/>
      <c r="C150" s="3617">
        <v>45574</v>
      </c>
      <c r="D150" s="3550"/>
      <c r="E150" s="3603">
        <v>45938</v>
      </c>
      <c r="F150" s="3603"/>
      <c r="G150" s="3616"/>
      <c r="H150" s="3595">
        <v>305</v>
      </c>
      <c r="I150" s="3595">
        <v>22658.45</v>
      </c>
      <c r="J150" s="3595">
        <v>135640.31027397301</v>
      </c>
      <c r="K150" s="3592" t="s">
        <v>4302</v>
      </c>
      <c r="L150" s="3594">
        <v>45574</v>
      </c>
      <c r="M150" s="3594">
        <v>45938</v>
      </c>
      <c r="N150" s="3593">
        <v>0</v>
      </c>
      <c r="O150" s="3592"/>
      <c r="P150" s="3591">
        <v>0.18</v>
      </c>
      <c r="Q150" s="3637" t="s">
        <v>4298</v>
      </c>
      <c r="R150" s="3637"/>
      <c r="S150" s="3637"/>
      <c r="T150" s="3636"/>
      <c r="U150" s="3590">
        <f>I150</f>
        <v>22658.45</v>
      </c>
    </row>
    <row r="151" spans="1:21" ht="25.5">
      <c r="A151" s="3562" t="s">
        <v>4301</v>
      </c>
      <c r="B151" s="3652">
        <v>125.55</v>
      </c>
      <c r="C151" s="3711">
        <v>44256</v>
      </c>
      <c r="D151" s="3636">
        <v>36.5</v>
      </c>
      <c r="E151" s="3701">
        <v>45351</v>
      </c>
      <c r="F151" s="3701">
        <v>45351</v>
      </c>
      <c r="G151" s="3700">
        <v>44256</v>
      </c>
      <c r="H151" s="3797">
        <v>450</v>
      </c>
      <c r="I151" s="3797">
        <v>56497.5</v>
      </c>
      <c r="J151" s="3797">
        <v>621472.5</v>
      </c>
      <c r="K151" s="3634" t="s">
        <v>4300</v>
      </c>
      <c r="L151" s="3690">
        <v>44256</v>
      </c>
      <c r="M151" s="3690">
        <v>44620</v>
      </c>
      <c r="N151" s="3602">
        <v>0</v>
      </c>
      <c r="O151" s="3634"/>
      <c r="P151" s="3710">
        <v>0.19</v>
      </c>
      <c r="Q151" s="3637"/>
      <c r="R151" s="3637"/>
      <c r="S151" s="3637"/>
      <c r="T151" s="3636"/>
    </row>
    <row r="152" spans="1:21" ht="25.5">
      <c r="A152" s="3572"/>
      <c r="B152" s="3647"/>
      <c r="C152" s="3711"/>
      <c r="D152" s="3636"/>
      <c r="E152" s="3701"/>
      <c r="F152" s="3701"/>
      <c r="G152" s="3700"/>
      <c r="H152" s="3797">
        <v>500</v>
      </c>
      <c r="I152" s="3797">
        <v>62775</v>
      </c>
      <c r="J152" s="3797">
        <v>753300</v>
      </c>
      <c r="K152" s="3634" t="s">
        <v>4299</v>
      </c>
      <c r="L152" s="3690">
        <v>44621</v>
      </c>
      <c r="M152" s="3690">
        <v>44985</v>
      </c>
      <c r="N152" s="3602">
        <v>0</v>
      </c>
      <c r="O152" s="3634"/>
      <c r="P152" s="3710">
        <v>0.19</v>
      </c>
      <c r="Q152" s="3802" t="s">
        <v>4298</v>
      </c>
      <c r="R152" s="3802"/>
      <c r="S152" s="3802"/>
      <c r="T152" s="3629"/>
    </row>
    <row r="153" spans="1:21" ht="25.5">
      <c r="A153" s="3572"/>
      <c r="B153" s="3647"/>
      <c r="C153" s="3711"/>
      <c r="D153" s="3636"/>
      <c r="E153" s="3701"/>
      <c r="F153" s="3701"/>
      <c r="G153" s="3700"/>
      <c r="H153" s="3794">
        <v>510</v>
      </c>
      <c r="I153" s="3794">
        <v>64030.5</v>
      </c>
      <c r="J153" s="3794">
        <v>768366</v>
      </c>
      <c r="K153" s="3552" t="s">
        <v>4297</v>
      </c>
      <c r="L153" s="3612">
        <v>44986</v>
      </c>
      <c r="M153" s="3612">
        <v>45351</v>
      </c>
      <c r="N153" s="3620">
        <v>0</v>
      </c>
      <c r="O153" s="3552"/>
      <c r="P153" s="3618">
        <v>0.19</v>
      </c>
      <c r="Q153" s="3637">
        <v>10</v>
      </c>
      <c r="R153" s="3637">
        <v>300.10000000000002</v>
      </c>
      <c r="S153" s="3683"/>
      <c r="T153" s="3637" t="s">
        <v>3779</v>
      </c>
    </row>
    <row r="154" spans="1:21" ht="25.5">
      <c r="A154" s="3572"/>
      <c r="B154" s="3647"/>
      <c r="C154" s="3707">
        <v>45352</v>
      </c>
      <c r="D154" s="3801">
        <v>12</v>
      </c>
      <c r="E154" s="3690">
        <v>45716</v>
      </c>
      <c r="F154" s="3690">
        <v>45352</v>
      </c>
      <c r="G154" s="3689">
        <v>45352</v>
      </c>
      <c r="H154" s="3796">
        <v>210</v>
      </c>
      <c r="I154" s="3796">
        <v>26365.5</v>
      </c>
      <c r="J154" s="3796">
        <v>316386</v>
      </c>
      <c r="K154" s="3592" t="s">
        <v>4296</v>
      </c>
      <c r="L154" s="3594">
        <v>45352</v>
      </c>
      <c r="M154" s="3594">
        <v>45716</v>
      </c>
      <c r="N154" s="3593">
        <v>26365.5</v>
      </c>
      <c r="O154" s="3592" t="s">
        <v>4295</v>
      </c>
      <c r="P154" s="3591">
        <v>0.19</v>
      </c>
      <c r="Q154" s="3637"/>
      <c r="R154" s="3637"/>
      <c r="S154" s="3678"/>
      <c r="T154" s="3637"/>
      <c r="U154" s="3590">
        <f>I154</f>
        <v>26365.5</v>
      </c>
    </row>
    <row r="155" spans="1:21" ht="25.5">
      <c r="A155" s="3561"/>
      <c r="B155" s="3641"/>
      <c r="C155" s="3707">
        <v>45717</v>
      </c>
      <c r="D155" s="3801"/>
      <c r="E155" s="3707">
        <v>45900</v>
      </c>
      <c r="F155" s="3690"/>
      <c r="G155" s="3689"/>
      <c r="H155" s="3800" t="s">
        <v>4294</v>
      </c>
      <c r="I155" s="3799"/>
      <c r="J155" s="3798"/>
      <c r="K155" s="3592" t="s">
        <v>4293</v>
      </c>
      <c r="L155" s="3594"/>
      <c r="M155" s="3594"/>
      <c r="N155" s="3593"/>
      <c r="O155" s="3592"/>
      <c r="P155" s="3591">
        <v>0.19</v>
      </c>
      <c r="Q155" s="3637"/>
      <c r="R155" s="3637"/>
      <c r="S155" s="3678"/>
      <c r="T155" s="3637"/>
    </row>
    <row r="156" spans="1:21" ht="25.5">
      <c r="A156" s="3650" t="s">
        <v>4292</v>
      </c>
      <c r="B156" s="3664">
        <v>271</v>
      </c>
      <c r="C156" s="3711">
        <v>44265</v>
      </c>
      <c r="D156" s="3636">
        <v>36.5</v>
      </c>
      <c r="E156" s="3701">
        <v>45410</v>
      </c>
      <c r="F156" s="3701">
        <v>44315</v>
      </c>
      <c r="G156" s="3700">
        <v>44315</v>
      </c>
      <c r="H156" s="3797">
        <v>260</v>
      </c>
      <c r="I156" s="3797">
        <v>70460</v>
      </c>
      <c r="J156" s="3797">
        <v>845520</v>
      </c>
      <c r="K156" s="3634" t="s">
        <v>3971</v>
      </c>
      <c r="L156" s="3690">
        <v>44315</v>
      </c>
      <c r="M156" s="3690">
        <v>44679</v>
      </c>
      <c r="N156" s="3602">
        <v>0</v>
      </c>
      <c r="O156" s="3634"/>
      <c r="P156" s="3710">
        <v>0.12</v>
      </c>
      <c r="Q156" s="3637"/>
      <c r="R156" s="3637"/>
      <c r="S156" s="3678"/>
      <c r="T156" s="3637"/>
    </row>
    <row r="157" spans="1:21" ht="25.5">
      <c r="A157" s="3645"/>
      <c r="B157" s="3662"/>
      <c r="C157" s="3711"/>
      <c r="D157" s="3636"/>
      <c r="E157" s="3701"/>
      <c r="F157" s="3701"/>
      <c r="G157" s="3700"/>
      <c r="H157" s="3797">
        <v>280</v>
      </c>
      <c r="I157" s="3797">
        <v>75880</v>
      </c>
      <c r="J157" s="3797">
        <v>910560</v>
      </c>
      <c r="K157" s="3634" t="s">
        <v>3970</v>
      </c>
      <c r="L157" s="3690">
        <v>44680</v>
      </c>
      <c r="M157" s="3690">
        <v>45044</v>
      </c>
      <c r="N157" s="3602">
        <v>0</v>
      </c>
      <c r="O157" s="3634"/>
      <c r="P157" s="3710">
        <v>0.13</v>
      </c>
      <c r="Q157" s="3637"/>
      <c r="R157" s="3637"/>
      <c r="S157" s="3676"/>
      <c r="T157" s="3637"/>
    </row>
    <row r="158" spans="1:21" ht="25.5">
      <c r="A158" s="3645"/>
      <c r="B158" s="3662"/>
      <c r="C158" s="3711"/>
      <c r="D158" s="3636"/>
      <c r="E158" s="3701"/>
      <c r="F158" s="3701"/>
      <c r="G158" s="3700"/>
      <c r="H158" s="3794">
        <v>300</v>
      </c>
      <c r="I158" s="3794">
        <v>81300</v>
      </c>
      <c r="J158" s="3794">
        <v>975600</v>
      </c>
      <c r="K158" s="3552" t="s">
        <v>4291</v>
      </c>
      <c r="L158" s="3612">
        <v>45045</v>
      </c>
      <c r="M158" s="3612">
        <v>45410</v>
      </c>
      <c r="N158" s="3620">
        <v>0</v>
      </c>
      <c r="O158" s="3552" t="s">
        <v>4286</v>
      </c>
      <c r="P158" s="3618">
        <v>0.14000000000000001</v>
      </c>
      <c r="Q158" s="3631"/>
      <c r="R158" s="3631"/>
      <c r="S158" s="3631"/>
      <c r="T158" s="3631"/>
    </row>
    <row r="159" spans="1:21" ht="25.5">
      <c r="A159" s="3645"/>
      <c r="B159" s="3662"/>
      <c r="C159" s="3753">
        <v>45411</v>
      </c>
      <c r="D159" s="3650">
        <v>36</v>
      </c>
      <c r="E159" s="3752" t="s">
        <v>4290</v>
      </c>
      <c r="F159" s="3752"/>
      <c r="G159" s="3793"/>
      <c r="H159" s="3796">
        <v>340</v>
      </c>
      <c r="I159" s="3796">
        <v>92140</v>
      </c>
      <c r="J159" s="3796">
        <v>1104417.80821918</v>
      </c>
      <c r="K159" s="3592" t="s">
        <v>4289</v>
      </c>
      <c r="L159" s="3594">
        <v>45411</v>
      </c>
      <c r="M159" s="3594">
        <v>45775</v>
      </c>
      <c r="N159" s="3593">
        <v>92140</v>
      </c>
      <c r="O159" s="3592" t="s">
        <v>4286</v>
      </c>
      <c r="P159" s="3591">
        <v>0.14499999999999999</v>
      </c>
      <c r="Q159" s="3631">
        <v>10</v>
      </c>
      <c r="R159" s="3631">
        <v>300.10000000000002</v>
      </c>
      <c r="S159" s="3631"/>
      <c r="T159" s="3795" t="s">
        <v>4081</v>
      </c>
    </row>
    <row r="160" spans="1:21" ht="25.5">
      <c r="A160" s="3645"/>
      <c r="B160" s="3662"/>
      <c r="C160" s="3748"/>
      <c r="D160" s="3645"/>
      <c r="E160" s="3747"/>
      <c r="F160" s="3747"/>
      <c r="G160" s="3791"/>
      <c r="H160" s="3794">
        <v>350</v>
      </c>
      <c r="I160" s="3794">
        <v>94850</v>
      </c>
      <c r="J160" s="3794">
        <v>1136900.6849315099</v>
      </c>
      <c r="K160" s="3552" t="s">
        <v>4288</v>
      </c>
      <c r="L160" s="3612">
        <v>45776</v>
      </c>
      <c r="M160" s="3612">
        <v>46140</v>
      </c>
      <c r="N160" s="3620">
        <v>0</v>
      </c>
      <c r="O160" s="3552" t="s">
        <v>4286</v>
      </c>
      <c r="P160" s="3618">
        <v>0.15</v>
      </c>
      <c r="Q160" s="3631"/>
      <c r="R160" s="3631"/>
      <c r="S160" s="3631"/>
      <c r="T160" s="3795"/>
      <c r="U160" s="3590">
        <f>I160</f>
        <v>94850</v>
      </c>
    </row>
    <row r="161" spans="1:21" ht="25.5">
      <c r="A161" s="3639"/>
      <c r="B161" s="3659"/>
      <c r="C161" s="3744"/>
      <c r="D161" s="3639"/>
      <c r="E161" s="3743"/>
      <c r="F161" s="3743"/>
      <c r="G161" s="3790"/>
      <c r="H161" s="3794">
        <v>360</v>
      </c>
      <c r="I161" s="3794">
        <v>97560</v>
      </c>
      <c r="J161" s="3794">
        <v>1169383.56164384</v>
      </c>
      <c r="K161" s="3552" t="s">
        <v>4287</v>
      </c>
      <c r="L161" s="3612">
        <v>46141</v>
      </c>
      <c r="M161" s="3612">
        <v>46505</v>
      </c>
      <c r="N161" s="3620">
        <v>0</v>
      </c>
      <c r="O161" s="3552" t="s">
        <v>4286</v>
      </c>
      <c r="P161" s="3618">
        <v>0.155</v>
      </c>
      <c r="Q161" s="3565">
        <v>10</v>
      </c>
      <c r="R161" s="3565">
        <v>742.9</v>
      </c>
      <c r="S161" s="3565">
        <v>18572.5</v>
      </c>
      <c r="T161" s="3564" t="s">
        <v>4285</v>
      </c>
    </row>
    <row r="162" spans="1:21" ht="25.5">
      <c r="A162" s="3564" t="s">
        <v>4284</v>
      </c>
      <c r="B162" s="3635">
        <v>71.52</v>
      </c>
      <c r="C162" s="3624">
        <v>45145</v>
      </c>
      <c r="D162" s="3564">
        <v>36</v>
      </c>
      <c r="E162" s="3599">
        <v>46270</v>
      </c>
      <c r="F162" s="3599">
        <v>45175</v>
      </c>
      <c r="G162" s="3598">
        <v>45175</v>
      </c>
      <c r="H162" s="3563">
        <v>370</v>
      </c>
      <c r="I162" s="3563">
        <v>26462.400000000001</v>
      </c>
      <c r="J162" s="3563">
        <v>26462.400000000001</v>
      </c>
      <c r="K162" s="3552" t="s">
        <v>4283</v>
      </c>
      <c r="L162" s="3612">
        <v>45145</v>
      </c>
      <c r="M162" s="3612">
        <v>45204</v>
      </c>
      <c r="N162" s="3602">
        <v>0</v>
      </c>
      <c r="O162" s="3552"/>
      <c r="P162" s="3585">
        <v>0.09</v>
      </c>
      <c r="Q162" s="3565"/>
      <c r="R162" s="3565"/>
      <c r="S162" s="3565"/>
      <c r="T162" s="3564"/>
    </row>
    <row r="163" spans="1:21" ht="36">
      <c r="A163" s="3564"/>
      <c r="B163" s="3635"/>
      <c r="C163" s="3624"/>
      <c r="D163" s="3564"/>
      <c r="E163" s="3599"/>
      <c r="F163" s="3599"/>
      <c r="G163" s="3598"/>
      <c r="H163" s="3595">
        <v>370</v>
      </c>
      <c r="I163" s="3595">
        <v>26462.400000000001</v>
      </c>
      <c r="J163" s="3595">
        <v>291593.898082192</v>
      </c>
      <c r="K163" s="3592" t="s">
        <v>4282</v>
      </c>
      <c r="L163" s="3594">
        <v>45205</v>
      </c>
      <c r="M163" s="3594">
        <v>45540</v>
      </c>
      <c r="N163" s="3593">
        <v>26462.400000000001</v>
      </c>
      <c r="O163" s="3627" t="s">
        <v>4281</v>
      </c>
      <c r="P163" s="3591">
        <v>0.09</v>
      </c>
      <c r="Q163" s="3551"/>
      <c r="R163" s="3551"/>
      <c r="S163" s="3551"/>
      <c r="T163" s="3550"/>
    </row>
    <row r="164" spans="1:21" ht="25.5">
      <c r="A164" s="3564"/>
      <c r="B164" s="3635"/>
      <c r="C164" s="3624"/>
      <c r="D164" s="3564"/>
      <c r="E164" s="3599"/>
      <c r="F164" s="3599"/>
      <c r="G164" s="3598"/>
      <c r="H164" s="3563">
        <v>380</v>
      </c>
      <c r="I164" s="3563">
        <v>27177.599999999999</v>
      </c>
      <c r="J164" s="3563">
        <v>325758.904109589</v>
      </c>
      <c r="K164" s="3552" t="s">
        <v>4280</v>
      </c>
      <c r="L164" s="3612">
        <v>45541</v>
      </c>
      <c r="M164" s="3612">
        <v>45905</v>
      </c>
      <c r="N164" s="3602">
        <v>0</v>
      </c>
      <c r="O164" s="3552"/>
      <c r="P164" s="3585">
        <v>0.09</v>
      </c>
      <c r="Q164" s="3551">
        <v>10</v>
      </c>
      <c r="R164" s="3551">
        <v>742.9</v>
      </c>
      <c r="S164" s="3551"/>
      <c r="T164" s="3550"/>
      <c r="U164" s="3590">
        <f>I164</f>
        <v>27177.599999999999</v>
      </c>
    </row>
    <row r="165" spans="1:21" ht="25.5">
      <c r="A165" s="3564"/>
      <c r="B165" s="3635"/>
      <c r="C165" s="3624"/>
      <c r="D165" s="3564"/>
      <c r="E165" s="3599"/>
      <c r="F165" s="3599"/>
      <c r="G165" s="3598"/>
      <c r="H165" s="3563">
        <v>390</v>
      </c>
      <c r="I165" s="3563">
        <v>27892.799999999999</v>
      </c>
      <c r="J165" s="3563">
        <v>334331.50684931502</v>
      </c>
      <c r="K165" s="3552" t="s">
        <v>4279</v>
      </c>
      <c r="L165" s="3612">
        <v>45906</v>
      </c>
      <c r="M165" s="3612">
        <v>46270</v>
      </c>
      <c r="N165" s="3602">
        <v>0</v>
      </c>
      <c r="O165" s="3552"/>
      <c r="P165" s="3585">
        <v>0.1</v>
      </c>
      <c r="Q165" s="3551"/>
      <c r="R165" s="3551"/>
      <c r="S165" s="3551"/>
      <c r="T165" s="3550"/>
    </row>
    <row r="166" spans="1:21" ht="25.5">
      <c r="A166" s="3562" t="s">
        <v>4278</v>
      </c>
      <c r="B166" s="3562">
        <v>117.08</v>
      </c>
      <c r="C166" s="3615">
        <v>45573</v>
      </c>
      <c r="D166" s="3650"/>
      <c r="E166" s="3752">
        <v>46697</v>
      </c>
      <c r="F166" s="3752">
        <v>45573</v>
      </c>
      <c r="G166" s="3752">
        <v>45573</v>
      </c>
      <c r="H166" s="3563">
        <v>300</v>
      </c>
      <c r="I166" s="3563">
        <v>35124</v>
      </c>
      <c r="J166" s="3563">
        <v>35124</v>
      </c>
      <c r="K166" s="3552" t="s">
        <v>4277</v>
      </c>
      <c r="L166" s="3612" t="s">
        <v>4276</v>
      </c>
      <c r="M166" s="3612" t="s">
        <v>4275</v>
      </c>
      <c r="N166" s="3663" t="s">
        <v>3806</v>
      </c>
      <c r="O166" s="3552"/>
      <c r="P166" s="3618">
        <v>0.16</v>
      </c>
      <c r="Q166" s="3637">
        <v>10</v>
      </c>
      <c r="R166" s="3637">
        <v>1255.5</v>
      </c>
      <c r="S166" s="3637"/>
      <c r="T166" s="3637" t="s">
        <v>3779</v>
      </c>
    </row>
    <row r="167" spans="1:21" ht="25.5">
      <c r="A167" s="3572"/>
      <c r="B167" s="3572"/>
      <c r="C167" s="3661"/>
      <c r="D167" s="3645"/>
      <c r="E167" s="3645"/>
      <c r="F167" s="3645"/>
      <c r="G167" s="3645"/>
      <c r="H167" s="3563">
        <v>300</v>
      </c>
      <c r="I167" s="3563">
        <v>35124</v>
      </c>
      <c r="J167" s="3563">
        <v>385882.84931506898</v>
      </c>
      <c r="K167" s="3552" t="s">
        <v>4274</v>
      </c>
      <c r="L167" s="3612" t="s">
        <v>4273</v>
      </c>
      <c r="M167" s="3612" t="s">
        <v>4272</v>
      </c>
      <c r="N167" s="3620"/>
      <c r="O167" s="3552"/>
      <c r="P167" s="3618">
        <v>0.16</v>
      </c>
      <c r="Q167" s="3637"/>
      <c r="R167" s="3637"/>
      <c r="S167" s="3637"/>
      <c r="T167" s="3637"/>
      <c r="U167" s="3590">
        <f>I167</f>
        <v>35124</v>
      </c>
    </row>
    <row r="168" spans="1:21" ht="25.5">
      <c r="A168" s="3572"/>
      <c r="B168" s="3572"/>
      <c r="C168" s="3661"/>
      <c r="D168" s="3645"/>
      <c r="E168" s="3645"/>
      <c r="F168" s="3645"/>
      <c r="G168" s="3645"/>
      <c r="H168" s="3563">
        <v>315</v>
      </c>
      <c r="I168" s="3563">
        <v>36880.199999999997</v>
      </c>
      <c r="J168" s="3563">
        <v>442057.191780822</v>
      </c>
      <c r="K168" s="3552" t="s">
        <v>4271</v>
      </c>
      <c r="L168" s="3612" t="s">
        <v>4270</v>
      </c>
      <c r="M168" s="3612" t="s">
        <v>4269</v>
      </c>
      <c r="N168" s="3620"/>
      <c r="O168" s="3552"/>
      <c r="P168" s="3618">
        <v>0.17</v>
      </c>
      <c r="Q168" s="3637"/>
      <c r="R168" s="3637"/>
      <c r="S168" s="3637"/>
      <c r="T168" s="3637"/>
    </row>
    <row r="169" spans="1:21" ht="25.5">
      <c r="A169" s="3561"/>
      <c r="B169" s="3561"/>
      <c r="C169" s="3610"/>
      <c r="D169" s="3639"/>
      <c r="E169" s="3639"/>
      <c r="F169" s="3639"/>
      <c r="G169" s="3639"/>
      <c r="H169" s="3563">
        <v>330</v>
      </c>
      <c r="I169" s="3563">
        <v>38636.400000000001</v>
      </c>
      <c r="J169" s="3563">
        <v>463107.53424657503</v>
      </c>
      <c r="K169" s="3552" t="s">
        <v>4268</v>
      </c>
      <c r="L169" s="3612" t="s">
        <v>4267</v>
      </c>
      <c r="M169" s="3612" t="s">
        <v>4266</v>
      </c>
      <c r="N169" s="3620"/>
      <c r="O169" s="3552"/>
      <c r="P169" s="3618">
        <v>0.18</v>
      </c>
      <c r="Q169" s="3631">
        <v>10</v>
      </c>
      <c r="R169" s="3631">
        <v>1255.5</v>
      </c>
      <c r="S169" s="3631"/>
      <c r="T169" s="3631" t="s">
        <v>4081</v>
      </c>
    </row>
    <row r="170" spans="1:21" ht="25.5">
      <c r="A170" s="3675" t="s">
        <v>4265</v>
      </c>
      <c r="B170" s="3729">
        <v>72.25</v>
      </c>
      <c r="C170" s="3600">
        <v>45159</v>
      </c>
      <c r="D170" s="3675">
        <v>24</v>
      </c>
      <c r="E170" s="3674">
        <v>45919</v>
      </c>
      <c r="F170" s="3674">
        <v>45189</v>
      </c>
      <c r="G170" s="3673">
        <v>45189</v>
      </c>
      <c r="H170" s="3563">
        <v>205</v>
      </c>
      <c r="I170" s="3563">
        <v>14811.25</v>
      </c>
      <c r="J170" s="3563">
        <v>14811.25</v>
      </c>
      <c r="K170" s="3552" t="s">
        <v>4264</v>
      </c>
      <c r="L170" s="3612">
        <v>45159</v>
      </c>
      <c r="M170" s="3612">
        <v>45218</v>
      </c>
      <c r="N170" s="3602">
        <v>0</v>
      </c>
      <c r="O170" s="3552"/>
      <c r="P170" s="3618">
        <v>0.16</v>
      </c>
      <c r="Q170" s="3631"/>
      <c r="R170" s="3631"/>
      <c r="S170" s="3631"/>
      <c r="T170" s="3631"/>
    </row>
    <row r="171" spans="1:21" ht="38.25">
      <c r="A171" s="3675"/>
      <c r="B171" s="3729"/>
      <c r="C171" s="3734"/>
      <c r="D171" s="3675"/>
      <c r="E171" s="3675"/>
      <c r="F171" s="3675"/>
      <c r="G171" s="3729"/>
      <c r="H171" s="3595">
        <v>205</v>
      </c>
      <c r="I171" s="3595">
        <v>14811.25</v>
      </c>
      <c r="J171" s="3595">
        <v>178019.05136986301</v>
      </c>
      <c r="K171" s="3592" t="s">
        <v>4263</v>
      </c>
      <c r="L171" s="3594">
        <v>45219</v>
      </c>
      <c r="M171" s="3594">
        <v>45584</v>
      </c>
      <c r="N171" s="3593">
        <v>14811.25</v>
      </c>
      <c r="O171" s="3592" t="s">
        <v>4262</v>
      </c>
      <c r="P171" s="3591">
        <v>0.16</v>
      </c>
      <c r="Q171" s="3637">
        <v>10</v>
      </c>
      <c r="R171" s="3637">
        <v>2710</v>
      </c>
      <c r="S171" s="3637"/>
      <c r="T171" s="3637" t="s">
        <v>3779</v>
      </c>
    </row>
    <row r="172" spans="1:21" ht="25.5">
      <c r="A172" s="3675"/>
      <c r="B172" s="3729"/>
      <c r="C172" s="3734"/>
      <c r="D172" s="3675"/>
      <c r="E172" s="3675"/>
      <c r="F172" s="3675"/>
      <c r="G172" s="3729"/>
      <c r="H172" s="3563">
        <v>225</v>
      </c>
      <c r="I172" s="3563">
        <v>16256.25</v>
      </c>
      <c r="J172" s="3563">
        <v>179130.51369863001</v>
      </c>
      <c r="K172" s="3552" t="s">
        <v>4261</v>
      </c>
      <c r="L172" s="3612">
        <v>45585</v>
      </c>
      <c r="M172" s="3612">
        <v>45919</v>
      </c>
      <c r="N172" s="3602">
        <v>0</v>
      </c>
      <c r="O172" s="3552"/>
      <c r="P172" s="3618">
        <v>0.17</v>
      </c>
      <c r="Q172" s="3637"/>
      <c r="R172" s="3637"/>
      <c r="S172" s="3637"/>
      <c r="T172" s="3637"/>
      <c r="U172" s="3590">
        <f>I172</f>
        <v>16256.25</v>
      </c>
    </row>
    <row r="173" spans="1:21" ht="25.5">
      <c r="A173" s="3562" t="s">
        <v>4260</v>
      </c>
      <c r="B173" s="3664">
        <v>105.27</v>
      </c>
      <c r="C173" s="3711" t="s">
        <v>4259</v>
      </c>
      <c r="D173" s="3636">
        <v>36</v>
      </c>
      <c r="E173" s="3701">
        <v>43281</v>
      </c>
      <c r="F173" s="3701">
        <v>42217</v>
      </c>
      <c r="G173" s="3700">
        <v>42217</v>
      </c>
      <c r="H173" s="3563">
        <v>480</v>
      </c>
      <c r="I173" s="3563">
        <v>50529.599999999999</v>
      </c>
      <c r="J173" s="3563">
        <v>555825.6</v>
      </c>
      <c r="K173" s="3552" t="s">
        <v>4258</v>
      </c>
      <c r="L173" s="3612">
        <v>42217</v>
      </c>
      <c r="M173" s="3612">
        <v>42551</v>
      </c>
      <c r="N173" s="3602">
        <v>0</v>
      </c>
      <c r="O173" s="3552"/>
      <c r="P173" s="3618">
        <v>0.18</v>
      </c>
      <c r="Q173" s="3637"/>
      <c r="R173" s="3637"/>
      <c r="S173" s="3637"/>
      <c r="T173" s="3637"/>
    </row>
    <row r="174" spans="1:21" ht="25.5">
      <c r="A174" s="3572"/>
      <c r="B174" s="3662"/>
      <c r="C174" s="3711"/>
      <c r="D174" s="3636"/>
      <c r="E174" s="3701"/>
      <c r="F174" s="3701"/>
      <c r="G174" s="3700"/>
      <c r="H174" s="3563">
        <v>530</v>
      </c>
      <c r="I174" s="3563">
        <v>55793.1</v>
      </c>
      <c r="J174" s="3563">
        <v>669517.19999999995</v>
      </c>
      <c r="K174" s="3552" t="s">
        <v>4257</v>
      </c>
      <c r="L174" s="3612">
        <v>42552</v>
      </c>
      <c r="M174" s="3612">
        <v>42916</v>
      </c>
      <c r="N174" s="3602">
        <v>0</v>
      </c>
      <c r="O174" s="3552"/>
      <c r="P174" s="3618">
        <v>0.19</v>
      </c>
      <c r="Q174" s="3637">
        <v>10</v>
      </c>
      <c r="R174" s="3637">
        <v>2710</v>
      </c>
      <c r="S174" s="3683"/>
      <c r="T174" s="3683"/>
    </row>
    <row r="175" spans="1:21" ht="25.5">
      <c r="A175" s="3572"/>
      <c r="B175" s="3662"/>
      <c r="C175" s="3711"/>
      <c r="D175" s="3636"/>
      <c r="E175" s="3701"/>
      <c r="F175" s="3701"/>
      <c r="G175" s="3700"/>
      <c r="H175" s="3563">
        <v>580</v>
      </c>
      <c r="I175" s="3563">
        <v>61056.6</v>
      </c>
      <c r="J175" s="3563">
        <v>732679.2</v>
      </c>
      <c r="K175" s="3552" t="s">
        <v>4256</v>
      </c>
      <c r="L175" s="3612">
        <v>42917</v>
      </c>
      <c r="M175" s="3612">
        <v>43281</v>
      </c>
      <c r="N175" s="3602">
        <v>0</v>
      </c>
      <c r="O175" s="3552"/>
      <c r="P175" s="3618">
        <v>0.2</v>
      </c>
      <c r="Q175" s="3637"/>
      <c r="R175" s="3637"/>
      <c r="S175" s="3678"/>
      <c r="T175" s="3678"/>
    </row>
    <row r="176" spans="1:21" ht="25.5">
      <c r="A176" s="3572"/>
      <c r="B176" s="3662"/>
      <c r="C176" s="3711">
        <v>43282</v>
      </c>
      <c r="D176" s="3636">
        <v>24</v>
      </c>
      <c r="E176" s="3701">
        <v>44012</v>
      </c>
      <c r="F176" s="3701"/>
      <c r="G176" s="3700"/>
      <c r="H176" s="3563">
        <v>609</v>
      </c>
      <c r="I176" s="3563">
        <v>64109.43</v>
      </c>
      <c r="J176" s="3563">
        <v>769313.16</v>
      </c>
      <c r="K176" s="3552" t="s">
        <v>4255</v>
      </c>
      <c r="L176" s="3612">
        <v>43282</v>
      </c>
      <c r="M176" s="3612">
        <v>43646</v>
      </c>
      <c r="N176" s="3602">
        <v>0</v>
      </c>
      <c r="O176" s="3552"/>
      <c r="P176" s="3618">
        <v>0.2</v>
      </c>
      <c r="Q176" s="3637"/>
      <c r="R176" s="3637"/>
      <c r="S176" s="3676"/>
      <c r="T176" s="3676"/>
    </row>
    <row r="177" spans="1:21" ht="25.5">
      <c r="A177" s="3572"/>
      <c r="B177" s="3662"/>
      <c r="C177" s="3711"/>
      <c r="D177" s="3636"/>
      <c r="E177" s="3701"/>
      <c r="F177" s="3701"/>
      <c r="G177" s="3700"/>
      <c r="H177" s="3563">
        <v>627.27</v>
      </c>
      <c r="I177" s="3563">
        <v>66032.712899999999</v>
      </c>
      <c r="J177" s="3563">
        <v>792392.55480000004</v>
      </c>
      <c r="K177" s="3552" t="s">
        <v>4254</v>
      </c>
      <c r="L177" s="3612">
        <v>43647</v>
      </c>
      <c r="M177" s="3612">
        <v>44012</v>
      </c>
      <c r="N177" s="3602">
        <v>0</v>
      </c>
      <c r="O177" s="3552"/>
      <c r="P177" s="3618">
        <v>0.21</v>
      </c>
      <c r="Q177" s="3551">
        <v>10</v>
      </c>
      <c r="R177" s="3551">
        <v>715.2</v>
      </c>
      <c r="S177" s="3551"/>
      <c r="T177" s="3637" t="s">
        <v>3779</v>
      </c>
    </row>
    <row r="178" spans="1:21" ht="25.5">
      <c r="A178" s="3572"/>
      <c r="B178" s="3662"/>
      <c r="C178" s="3711">
        <v>44013</v>
      </c>
      <c r="D178" s="3636">
        <v>6</v>
      </c>
      <c r="E178" s="3701">
        <v>44196</v>
      </c>
      <c r="F178" s="3701"/>
      <c r="G178" s="3700"/>
      <c r="H178" s="3563">
        <v>440</v>
      </c>
      <c r="I178" s="3563">
        <v>46318.8</v>
      </c>
      <c r="J178" s="3563">
        <v>138956.4</v>
      </c>
      <c r="K178" s="3552" t="s">
        <v>4253</v>
      </c>
      <c r="L178" s="3612">
        <v>44013</v>
      </c>
      <c r="M178" s="3612">
        <v>44104</v>
      </c>
      <c r="N178" s="3602">
        <v>0</v>
      </c>
      <c r="O178" s="3552"/>
      <c r="P178" s="3618">
        <v>0.21</v>
      </c>
      <c r="Q178" s="3551"/>
      <c r="R178" s="3551"/>
      <c r="S178" s="3551"/>
      <c r="T178" s="3637"/>
    </row>
    <row r="179" spans="1:21" ht="25.5">
      <c r="A179" s="3572"/>
      <c r="B179" s="3662"/>
      <c r="C179" s="3711"/>
      <c r="D179" s="3636"/>
      <c r="E179" s="3701"/>
      <c r="F179" s="3701"/>
      <c r="G179" s="3700"/>
      <c r="H179" s="3563">
        <v>627.27</v>
      </c>
      <c r="I179" s="3563">
        <v>66032.712899999999</v>
      </c>
      <c r="J179" s="3563">
        <v>198098.13870000001</v>
      </c>
      <c r="K179" s="3552" t="s">
        <v>4252</v>
      </c>
      <c r="L179" s="3612">
        <v>44105</v>
      </c>
      <c r="M179" s="3612">
        <v>44196</v>
      </c>
      <c r="N179" s="3602">
        <v>0</v>
      </c>
      <c r="O179" s="3552"/>
      <c r="P179" s="3618">
        <v>0.21</v>
      </c>
      <c r="Q179" s="3551"/>
      <c r="R179" s="3551"/>
      <c r="S179" s="3551"/>
      <c r="T179" s="3637"/>
    </row>
    <row r="180" spans="1:21" ht="25.5">
      <c r="A180" s="3572"/>
      <c r="B180" s="3662"/>
      <c r="C180" s="3707">
        <v>44197</v>
      </c>
      <c r="D180" s="3634">
        <v>12</v>
      </c>
      <c r="E180" s="3690">
        <v>44561</v>
      </c>
      <c r="F180" s="3701"/>
      <c r="G180" s="3700"/>
      <c r="H180" s="3563">
        <v>640</v>
      </c>
      <c r="I180" s="3563">
        <v>67372.800000000003</v>
      </c>
      <c r="J180" s="3563">
        <v>808473.59999999998</v>
      </c>
      <c r="K180" s="3552" t="s">
        <v>4251</v>
      </c>
      <c r="L180" s="3612">
        <v>44197</v>
      </c>
      <c r="M180" s="3612">
        <v>44561</v>
      </c>
      <c r="N180" s="3602">
        <v>0</v>
      </c>
      <c r="O180" s="3552"/>
      <c r="P180" s="3618">
        <v>0.215</v>
      </c>
      <c r="Q180" s="3551"/>
      <c r="R180" s="3551"/>
      <c r="S180" s="3551"/>
      <c r="T180" s="3550"/>
    </row>
    <row r="181" spans="1:21" ht="25.5">
      <c r="A181" s="3572"/>
      <c r="B181" s="3662"/>
      <c r="C181" s="3711">
        <v>44562</v>
      </c>
      <c r="D181" s="3636">
        <v>24</v>
      </c>
      <c r="E181" s="3701">
        <v>45291</v>
      </c>
      <c r="F181" s="3690"/>
      <c r="G181" s="3689"/>
      <c r="H181" s="3563">
        <v>660</v>
      </c>
      <c r="I181" s="3563">
        <v>69478.2</v>
      </c>
      <c r="J181" s="3563">
        <v>833738.4</v>
      </c>
      <c r="K181" s="3552" t="s">
        <v>4250</v>
      </c>
      <c r="L181" s="3612">
        <v>44562</v>
      </c>
      <c r="M181" s="3612">
        <v>44926</v>
      </c>
      <c r="N181" s="3602">
        <v>0</v>
      </c>
      <c r="O181" s="3552"/>
      <c r="P181" s="3618">
        <v>0.22</v>
      </c>
      <c r="Q181" s="3554"/>
      <c r="R181" s="3554"/>
      <c r="S181" s="3560"/>
      <c r="T181" s="3792"/>
    </row>
    <row r="182" spans="1:21" ht="25.5">
      <c r="A182" s="3572"/>
      <c r="B182" s="3662"/>
      <c r="C182" s="3711"/>
      <c r="D182" s="3636"/>
      <c r="E182" s="3701"/>
      <c r="F182" s="3690"/>
      <c r="G182" s="3689"/>
      <c r="H182" s="3563">
        <v>680</v>
      </c>
      <c r="I182" s="3563">
        <v>71583.600000000006</v>
      </c>
      <c r="J182" s="3563">
        <v>859003.2</v>
      </c>
      <c r="K182" s="3552" t="s">
        <v>4249</v>
      </c>
      <c r="L182" s="3612">
        <v>44927</v>
      </c>
      <c r="M182" s="3612">
        <v>45291</v>
      </c>
      <c r="N182" s="3602">
        <v>0</v>
      </c>
      <c r="O182" s="3552"/>
      <c r="P182" s="3618">
        <v>0.22500000000000001</v>
      </c>
      <c r="Q182" s="3554"/>
      <c r="R182" s="3554"/>
      <c r="S182" s="3560"/>
      <c r="T182" s="3792"/>
    </row>
    <row r="183" spans="1:21" ht="25.5">
      <c r="A183" s="3572"/>
      <c r="B183" s="3662"/>
      <c r="C183" s="3753">
        <v>45292</v>
      </c>
      <c r="D183" s="3650">
        <v>28</v>
      </c>
      <c r="E183" s="3752">
        <v>46142</v>
      </c>
      <c r="F183" s="3752">
        <v>45322</v>
      </c>
      <c r="G183" s="3793">
        <v>45322</v>
      </c>
      <c r="H183" s="3563">
        <v>700</v>
      </c>
      <c r="I183" s="3563">
        <v>73689</v>
      </c>
      <c r="J183" s="3563">
        <v>73689</v>
      </c>
      <c r="K183" s="3552" t="s">
        <v>4248</v>
      </c>
      <c r="L183" s="3612">
        <v>45292</v>
      </c>
      <c r="M183" s="3612">
        <v>45351</v>
      </c>
      <c r="N183" s="3602">
        <v>0</v>
      </c>
      <c r="O183" s="3552"/>
      <c r="P183" s="3618">
        <v>0.22500000000000001</v>
      </c>
      <c r="Q183" s="3554"/>
      <c r="R183" s="3554"/>
      <c r="S183" s="3560"/>
      <c r="T183" s="3792"/>
    </row>
    <row r="184" spans="1:21" ht="38.25">
      <c r="A184" s="3572"/>
      <c r="B184" s="3662"/>
      <c r="C184" s="3748"/>
      <c r="D184" s="3645"/>
      <c r="E184" s="3747"/>
      <c r="F184" s="3747"/>
      <c r="G184" s="3791"/>
      <c r="H184" s="3595">
        <v>700</v>
      </c>
      <c r="I184" s="3595">
        <v>73689</v>
      </c>
      <c r="J184" s="3595">
        <v>809569.56164383597</v>
      </c>
      <c r="K184" s="3592" t="s">
        <v>4247</v>
      </c>
      <c r="L184" s="3594">
        <v>45352</v>
      </c>
      <c r="M184" s="3594">
        <v>45687</v>
      </c>
      <c r="N184" s="3593">
        <v>73689</v>
      </c>
      <c r="O184" s="3592" t="s">
        <v>4246</v>
      </c>
      <c r="P184" s="3591">
        <v>0.22500000000000001</v>
      </c>
      <c r="Q184" s="3554"/>
      <c r="R184" s="3554"/>
      <c r="S184" s="3560"/>
      <c r="T184" s="3792"/>
    </row>
    <row r="185" spans="1:21" ht="25.5">
      <c r="A185" s="3572"/>
      <c r="B185" s="3662"/>
      <c r="C185" s="3748"/>
      <c r="D185" s="3645"/>
      <c r="E185" s="3747"/>
      <c r="F185" s="3747"/>
      <c r="G185" s="3791"/>
      <c r="H185" s="3563">
        <v>720</v>
      </c>
      <c r="I185" s="3563">
        <v>75794.399999999994</v>
      </c>
      <c r="J185" s="3563">
        <v>835191.99123287702</v>
      </c>
      <c r="K185" s="3552" t="s">
        <v>4245</v>
      </c>
      <c r="L185" s="3612">
        <v>45688</v>
      </c>
      <c r="M185" s="3612">
        <v>46052</v>
      </c>
      <c r="N185" s="3602">
        <v>0</v>
      </c>
      <c r="O185" s="3552"/>
      <c r="P185" s="3618">
        <v>0.23</v>
      </c>
      <c r="Q185" s="3571">
        <v>10</v>
      </c>
      <c r="R185" s="3571">
        <v>722.5</v>
      </c>
      <c r="S185" s="3571"/>
      <c r="T185" s="3571" t="s">
        <v>3779</v>
      </c>
      <c r="U185" s="3590">
        <f>I185</f>
        <v>75794.399999999994</v>
      </c>
    </row>
    <row r="186" spans="1:21" ht="25.5">
      <c r="A186" s="3561"/>
      <c r="B186" s="3659"/>
      <c r="C186" s="3744"/>
      <c r="D186" s="3639"/>
      <c r="E186" s="3743"/>
      <c r="F186" s="3743"/>
      <c r="G186" s="3790"/>
      <c r="H186" s="3563">
        <v>725</v>
      </c>
      <c r="I186" s="3563">
        <v>76320.75</v>
      </c>
      <c r="J186" s="3563">
        <v>230425.93561643799</v>
      </c>
      <c r="K186" s="3552" t="s">
        <v>4244</v>
      </c>
      <c r="L186" s="3612">
        <v>46053</v>
      </c>
      <c r="M186" s="3612">
        <v>46142</v>
      </c>
      <c r="N186" s="3602">
        <v>0</v>
      </c>
      <c r="O186" s="3552"/>
      <c r="P186" s="3618">
        <v>0.23</v>
      </c>
      <c r="Q186" s="3571"/>
      <c r="R186" s="3571"/>
      <c r="S186" s="3571"/>
      <c r="T186" s="3571"/>
    </row>
    <row r="187" spans="1:21" ht="25.5">
      <c r="A187" s="3562" t="s">
        <v>4243</v>
      </c>
      <c r="B187" s="3562">
        <v>62.48</v>
      </c>
      <c r="C187" s="3614">
        <v>45823</v>
      </c>
      <c r="D187" s="3562"/>
      <c r="E187" s="3614">
        <v>46587</v>
      </c>
      <c r="F187" s="3614">
        <v>45823</v>
      </c>
      <c r="G187" s="3614">
        <v>45823</v>
      </c>
      <c r="H187" s="3563">
        <v>400</v>
      </c>
      <c r="I187" s="3563">
        <v>24992</v>
      </c>
      <c r="J187" s="3563">
        <v>24992</v>
      </c>
      <c r="K187" s="3552" t="s">
        <v>4242</v>
      </c>
      <c r="L187" s="3612"/>
      <c r="M187" s="3612"/>
      <c r="N187" s="3620"/>
      <c r="O187" s="3552"/>
      <c r="P187" s="3618">
        <v>0.17</v>
      </c>
      <c r="Q187" s="3571"/>
      <c r="R187" s="3571"/>
      <c r="S187" s="3571"/>
      <c r="T187" s="3571"/>
      <c r="U187" s="3590">
        <f>I187</f>
        <v>24992</v>
      </c>
    </row>
    <row r="188" spans="1:21" ht="25.5">
      <c r="A188" s="3572"/>
      <c r="B188" s="3572"/>
      <c r="C188" s="3572"/>
      <c r="D188" s="3572"/>
      <c r="E188" s="3572"/>
      <c r="F188" s="3572"/>
      <c r="G188" s="3572"/>
      <c r="H188" s="3563">
        <v>400</v>
      </c>
      <c r="I188" s="3563">
        <v>24992</v>
      </c>
      <c r="J188" s="3563">
        <v>275391.298630137</v>
      </c>
      <c r="K188" s="3552" t="s">
        <v>4241</v>
      </c>
      <c r="L188" s="3612"/>
      <c r="M188" s="3612"/>
      <c r="N188" s="3620"/>
      <c r="O188" s="3552"/>
      <c r="P188" s="3618">
        <v>0.17</v>
      </c>
      <c r="Q188" s="3571">
        <v>10</v>
      </c>
      <c r="R188" s="3571">
        <v>1052.7</v>
      </c>
      <c r="S188" s="3571"/>
      <c r="T188" s="3571" t="s">
        <v>4240</v>
      </c>
    </row>
    <row r="189" spans="1:21" ht="25.5">
      <c r="A189" s="3561"/>
      <c r="B189" s="3561"/>
      <c r="C189" s="3561"/>
      <c r="D189" s="3561"/>
      <c r="E189" s="3561"/>
      <c r="F189" s="3561"/>
      <c r="G189" s="3561"/>
      <c r="H189" s="3563">
        <v>420</v>
      </c>
      <c r="I189" s="3563">
        <v>26241.599999999999</v>
      </c>
      <c r="J189" s="3563">
        <v>315402.46356164402</v>
      </c>
      <c r="K189" s="3552" t="s">
        <v>4239</v>
      </c>
      <c r="L189" s="3612"/>
      <c r="M189" s="3612"/>
      <c r="N189" s="3620"/>
      <c r="O189" s="3552"/>
      <c r="P189" s="3618">
        <v>0.18</v>
      </c>
      <c r="Q189" s="3571"/>
      <c r="R189" s="3571"/>
      <c r="S189" s="3571"/>
      <c r="T189" s="3571"/>
    </row>
    <row r="190" spans="1:21" ht="25.5">
      <c r="A190" s="3570" t="s">
        <v>4238</v>
      </c>
      <c r="B190" s="3570">
        <v>462.63</v>
      </c>
      <c r="C190" s="3753">
        <v>45748</v>
      </c>
      <c r="D190" s="3753"/>
      <c r="E190" s="3753">
        <v>47663</v>
      </c>
      <c r="F190" s="3753">
        <v>45748</v>
      </c>
      <c r="G190" s="3753">
        <v>45748</v>
      </c>
      <c r="H190" s="3563">
        <v>138</v>
      </c>
      <c r="I190" s="3563">
        <v>63842.94</v>
      </c>
      <c r="J190" s="3563">
        <v>63842.94</v>
      </c>
      <c r="K190" s="3552" t="s">
        <v>4237</v>
      </c>
      <c r="L190" s="3612"/>
      <c r="M190" s="3612"/>
      <c r="N190" s="3602"/>
      <c r="O190" s="3552"/>
      <c r="P190" s="3618">
        <v>0.1</v>
      </c>
      <c r="Q190" s="3571"/>
      <c r="R190" s="3571"/>
      <c r="S190" s="3571"/>
      <c r="T190" s="3571"/>
      <c r="U190" s="3590">
        <f>I190</f>
        <v>63842.94</v>
      </c>
    </row>
    <row r="191" spans="1:21" ht="25.5">
      <c r="A191" s="3568"/>
      <c r="B191" s="3568"/>
      <c r="C191" s="3748"/>
      <c r="D191" s="3748"/>
      <c r="E191" s="3748"/>
      <c r="F191" s="3748"/>
      <c r="G191" s="3748"/>
      <c r="H191" s="3563">
        <v>138</v>
      </c>
      <c r="I191" s="3563">
        <v>63842.94</v>
      </c>
      <c r="J191" s="3563">
        <v>703496.72515068494</v>
      </c>
      <c r="K191" s="3552" t="s">
        <v>4236</v>
      </c>
      <c r="L191" s="3612"/>
      <c r="M191" s="3612"/>
      <c r="N191" s="3602"/>
      <c r="O191" s="3552"/>
      <c r="P191" s="3618">
        <v>0.1</v>
      </c>
      <c r="Q191" s="3571"/>
      <c r="R191" s="3571"/>
      <c r="S191" s="3571"/>
      <c r="T191" s="3571"/>
    </row>
    <row r="192" spans="1:21" ht="25.5">
      <c r="A192" s="3568"/>
      <c r="B192" s="3568"/>
      <c r="C192" s="3748"/>
      <c r="D192" s="3748"/>
      <c r="E192" s="3748"/>
      <c r="F192" s="3748"/>
      <c r="G192" s="3748"/>
      <c r="H192" s="3563">
        <v>143</v>
      </c>
      <c r="I192" s="3563">
        <v>66156.09</v>
      </c>
      <c r="J192" s="3563">
        <v>792966.83219178102</v>
      </c>
      <c r="K192" s="3552" t="s">
        <v>4235</v>
      </c>
      <c r="L192" s="3612"/>
      <c r="M192" s="3612"/>
      <c r="N192" s="3602"/>
      <c r="O192" s="3552"/>
      <c r="P192" s="3618">
        <v>0.1</v>
      </c>
      <c r="Q192" s="3571"/>
      <c r="R192" s="3571"/>
      <c r="S192" s="3571"/>
      <c r="T192" s="3571"/>
    </row>
    <row r="193" spans="1:21" ht="25.5">
      <c r="A193" s="3568"/>
      <c r="B193" s="3568"/>
      <c r="C193" s="3748"/>
      <c r="D193" s="3748"/>
      <c r="E193" s="3748"/>
      <c r="F193" s="3748"/>
      <c r="G193" s="3748"/>
      <c r="H193" s="3563">
        <v>148</v>
      </c>
      <c r="I193" s="3563">
        <v>68469.240000000005</v>
      </c>
      <c r="J193" s="3563">
        <v>820692.94520547998</v>
      </c>
      <c r="K193" s="3552" t="s">
        <v>4234</v>
      </c>
      <c r="L193" s="3612"/>
      <c r="M193" s="3612"/>
      <c r="N193" s="3602"/>
      <c r="O193" s="3552"/>
      <c r="P193" s="3618">
        <v>0.11</v>
      </c>
      <c r="Q193" s="3571"/>
      <c r="R193" s="3571"/>
      <c r="S193" s="3571"/>
      <c r="T193" s="3571"/>
    </row>
    <row r="194" spans="1:21" ht="25.5">
      <c r="A194" s="3568"/>
      <c r="B194" s="3568"/>
      <c r="C194" s="3748"/>
      <c r="D194" s="3748"/>
      <c r="E194" s="3748"/>
      <c r="F194" s="3748"/>
      <c r="G194" s="3748"/>
      <c r="H194" s="3563">
        <v>153</v>
      </c>
      <c r="I194" s="3563">
        <v>70782.39</v>
      </c>
      <c r="J194" s="3563">
        <v>848419.058219178</v>
      </c>
      <c r="K194" s="3552" t="s">
        <v>4233</v>
      </c>
      <c r="L194" s="3612"/>
      <c r="M194" s="3612"/>
      <c r="N194" s="3602"/>
      <c r="O194" s="3552"/>
      <c r="P194" s="3618">
        <v>0.11</v>
      </c>
      <c r="Q194" s="3571"/>
      <c r="R194" s="3571"/>
      <c r="S194" s="3571"/>
      <c r="T194" s="3571"/>
    </row>
    <row r="195" spans="1:21" ht="25.5">
      <c r="A195" s="3567"/>
      <c r="B195" s="3567"/>
      <c r="C195" s="3744"/>
      <c r="D195" s="3744"/>
      <c r="E195" s="3744"/>
      <c r="F195" s="3744"/>
      <c r="G195" s="3744"/>
      <c r="H195" s="3563">
        <v>158</v>
      </c>
      <c r="I195" s="3563">
        <v>73095.539999999994</v>
      </c>
      <c r="J195" s="3563">
        <v>876145.17123287695</v>
      </c>
      <c r="K195" s="3552" t="s">
        <v>4232</v>
      </c>
      <c r="L195" s="3612"/>
      <c r="M195" s="3612"/>
      <c r="N195" s="3602"/>
      <c r="O195" s="3552"/>
      <c r="P195" s="3618">
        <v>0.11</v>
      </c>
      <c r="Q195" s="3571"/>
      <c r="R195" s="3571"/>
      <c r="S195" s="3571"/>
      <c r="T195" s="3571"/>
    </row>
    <row r="196" spans="1:21" ht="51">
      <c r="A196" s="3675" t="s">
        <v>4231</v>
      </c>
      <c r="B196" s="3633">
        <v>322.27</v>
      </c>
      <c r="C196" s="3600" t="s">
        <v>4230</v>
      </c>
      <c r="D196" s="3675"/>
      <c r="E196" s="3674" t="s">
        <v>4229</v>
      </c>
      <c r="F196" s="3674" t="s">
        <v>4228</v>
      </c>
      <c r="G196" s="3673" t="s">
        <v>4228</v>
      </c>
      <c r="H196" s="3563">
        <v>450</v>
      </c>
      <c r="I196" s="3563">
        <v>145021.5</v>
      </c>
      <c r="J196" s="3563">
        <v>145021.5</v>
      </c>
      <c r="K196" s="3552" t="s">
        <v>4227</v>
      </c>
      <c r="L196" s="3612">
        <v>44638</v>
      </c>
      <c r="M196" s="3612">
        <v>44757</v>
      </c>
      <c r="N196" s="3602">
        <v>0</v>
      </c>
      <c r="O196" s="3552"/>
      <c r="P196" s="3618">
        <v>0.11</v>
      </c>
      <c r="Q196" s="3571"/>
      <c r="R196" s="3571"/>
      <c r="S196" s="3571"/>
      <c r="T196" s="3571"/>
    </row>
    <row r="197" spans="1:21" ht="51">
      <c r="A197" s="3675"/>
      <c r="B197" s="3633"/>
      <c r="C197" s="3600"/>
      <c r="D197" s="3675"/>
      <c r="E197" s="3674"/>
      <c r="F197" s="3674"/>
      <c r="G197" s="3673"/>
      <c r="H197" s="3563">
        <v>450</v>
      </c>
      <c r="I197" s="3563">
        <v>145021.5</v>
      </c>
      <c r="J197" s="3563">
        <v>1598017.7342465799</v>
      </c>
      <c r="K197" s="3552" t="s">
        <v>4226</v>
      </c>
      <c r="L197" s="3612">
        <v>44758</v>
      </c>
      <c r="M197" s="3612">
        <v>44727</v>
      </c>
      <c r="N197" s="3602">
        <v>0</v>
      </c>
      <c r="O197" s="3552"/>
      <c r="P197" s="3618">
        <v>0.11</v>
      </c>
      <c r="Q197" s="3571"/>
      <c r="R197" s="3571"/>
      <c r="S197" s="3571"/>
      <c r="T197" s="3571"/>
    </row>
    <row r="198" spans="1:21" ht="51">
      <c r="A198" s="3675"/>
      <c r="B198" s="3633"/>
      <c r="C198" s="3600"/>
      <c r="D198" s="3675"/>
      <c r="E198" s="3674"/>
      <c r="F198" s="3674"/>
      <c r="G198" s="3673"/>
      <c r="H198" s="3595">
        <v>485</v>
      </c>
      <c r="I198" s="3595">
        <v>156300.95000000001</v>
      </c>
      <c r="J198" s="3563">
        <v>1873470.2910958901</v>
      </c>
      <c r="K198" s="3552" t="s">
        <v>4225</v>
      </c>
      <c r="L198" s="3612">
        <v>45093</v>
      </c>
      <c r="M198" s="3612">
        <v>45458</v>
      </c>
      <c r="N198" s="3620">
        <v>0</v>
      </c>
      <c r="O198" s="3552" t="s">
        <v>4224</v>
      </c>
      <c r="P198" s="3618">
        <v>0.11</v>
      </c>
      <c r="Q198" s="3558">
        <v>10</v>
      </c>
      <c r="R198" s="3558">
        <v>1052.7</v>
      </c>
      <c r="S198" s="3558"/>
      <c r="T198" s="3789" t="s">
        <v>4081</v>
      </c>
    </row>
    <row r="199" spans="1:21" ht="51">
      <c r="A199" s="3675"/>
      <c r="B199" s="3633"/>
      <c r="C199" s="3600"/>
      <c r="D199" s="3675"/>
      <c r="E199" s="3674"/>
      <c r="F199" s="3674"/>
      <c r="G199" s="3673"/>
      <c r="H199" s="3595">
        <v>520</v>
      </c>
      <c r="I199" s="3595">
        <v>167580.4</v>
      </c>
      <c r="J199" s="3595">
        <v>2008669.17808219</v>
      </c>
      <c r="K199" s="3592" t="s">
        <v>4223</v>
      </c>
      <c r="L199" s="3594">
        <v>45459</v>
      </c>
      <c r="M199" s="3594">
        <v>45823</v>
      </c>
      <c r="N199" s="3593">
        <v>167580.4</v>
      </c>
      <c r="O199" s="3627" t="s">
        <v>4222</v>
      </c>
      <c r="P199" s="3591">
        <v>0.12</v>
      </c>
      <c r="Q199" s="3573"/>
      <c r="R199" s="3573"/>
      <c r="S199" s="3573"/>
      <c r="T199" s="3573"/>
    </row>
    <row r="200" spans="1:21" ht="51">
      <c r="A200" s="3675"/>
      <c r="B200" s="3633"/>
      <c r="C200" s="3600"/>
      <c r="D200" s="3675"/>
      <c r="E200" s="3674"/>
      <c r="F200" s="3674"/>
      <c r="G200" s="3673"/>
      <c r="H200" s="3563">
        <v>540</v>
      </c>
      <c r="I200" s="3563">
        <v>174025.8</v>
      </c>
      <c r="J200" s="3563">
        <v>2085925.6849315099</v>
      </c>
      <c r="K200" s="3552" t="s">
        <v>4221</v>
      </c>
      <c r="L200" s="3612">
        <v>45824</v>
      </c>
      <c r="M200" s="3612">
        <v>46188</v>
      </c>
      <c r="N200" s="3602">
        <v>0</v>
      </c>
      <c r="O200" s="3552"/>
      <c r="P200" s="3618">
        <v>0.13</v>
      </c>
      <c r="Q200" s="3573"/>
      <c r="R200" s="3573"/>
      <c r="S200" s="3573"/>
      <c r="T200" s="3573"/>
      <c r="U200" s="3590">
        <f>I200</f>
        <v>174025.8</v>
      </c>
    </row>
    <row r="201" spans="1:21" ht="51">
      <c r="A201" s="3675"/>
      <c r="B201" s="3633"/>
      <c r="C201" s="3600"/>
      <c r="D201" s="3675"/>
      <c r="E201" s="3674"/>
      <c r="F201" s="3674"/>
      <c r="G201" s="3673"/>
      <c r="H201" s="3563">
        <v>540</v>
      </c>
      <c r="I201" s="3563">
        <v>174025.8</v>
      </c>
      <c r="J201" s="3563">
        <v>2085925.6849315099</v>
      </c>
      <c r="K201" s="3552" t="s">
        <v>4220</v>
      </c>
      <c r="L201" s="3612">
        <v>46189</v>
      </c>
      <c r="M201" s="3612">
        <v>46553</v>
      </c>
      <c r="N201" s="3602">
        <v>0</v>
      </c>
      <c r="O201" s="3552"/>
      <c r="P201" s="3618">
        <v>0.13</v>
      </c>
      <c r="Q201" s="3556"/>
      <c r="R201" s="3556"/>
      <c r="S201" s="3556"/>
      <c r="T201" s="3556"/>
    </row>
    <row r="202" spans="1:21" ht="25.5">
      <c r="A202" s="3788" t="s">
        <v>4219</v>
      </c>
      <c r="B202" s="3788">
        <v>106.71</v>
      </c>
      <c r="C202" s="3711">
        <v>42608</v>
      </c>
      <c r="D202" s="3636">
        <v>36</v>
      </c>
      <c r="E202" s="3701">
        <v>44617</v>
      </c>
      <c r="F202" s="3701">
        <v>42654</v>
      </c>
      <c r="G202" s="3700">
        <v>42654</v>
      </c>
      <c r="H202" s="3631">
        <v>0</v>
      </c>
      <c r="I202" s="3631"/>
      <c r="J202" s="3563"/>
      <c r="K202" s="3552" t="s">
        <v>4218</v>
      </c>
      <c r="L202" s="3612">
        <v>42654</v>
      </c>
      <c r="M202" s="3612">
        <v>42972</v>
      </c>
      <c r="N202" s="3602">
        <v>0</v>
      </c>
      <c r="O202" s="3552"/>
      <c r="P202" s="3618">
        <v>0.15</v>
      </c>
      <c r="Q202" s="3563"/>
      <c r="R202" s="3563"/>
      <c r="S202" s="3563"/>
      <c r="T202" s="3563"/>
    </row>
    <row r="203" spans="1:21" ht="25.5">
      <c r="A203" s="3786"/>
      <c r="B203" s="3786"/>
      <c r="C203" s="3711"/>
      <c r="D203" s="3636"/>
      <c r="E203" s="3701"/>
      <c r="F203" s="3701"/>
      <c r="G203" s="3700"/>
      <c r="H203" s="3631">
        <v>270807.96999999997</v>
      </c>
      <c r="I203" s="3631"/>
      <c r="J203" s="3563">
        <v>270807.96999999997</v>
      </c>
      <c r="K203" s="3552" t="s">
        <v>4217</v>
      </c>
      <c r="L203" s="3612">
        <v>42973</v>
      </c>
      <c r="M203" s="3612">
        <v>43337</v>
      </c>
      <c r="N203" s="3602">
        <v>0</v>
      </c>
      <c r="O203" s="3552"/>
      <c r="P203" s="3618">
        <v>0.15</v>
      </c>
      <c r="Q203" s="3563"/>
      <c r="R203" s="3563"/>
      <c r="S203" s="3563"/>
      <c r="T203" s="3563"/>
    </row>
    <row r="204" spans="1:21" ht="25.5">
      <c r="A204" s="3786"/>
      <c r="B204" s="3786"/>
      <c r="C204" s="3711"/>
      <c r="D204" s="3636"/>
      <c r="E204" s="3701"/>
      <c r="F204" s="3701"/>
      <c r="G204" s="3700"/>
      <c r="H204" s="3631">
        <v>0</v>
      </c>
      <c r="I204" s="3631"/>
      <c r="J204" s="3563">
        <v>238016.69</v>
      </c>
      <c r="K204" s="3552" t="s">
        <v>4216</v>
      </c>
      <c r="L204" s="3612">
        <v>43338</v>
      </c>
      <c r="M204" s="3612">
        <v>43702</v>
      </c>
      <c r="N204" s="3602">
        <v>0</v>
      </c>
      <c r="O204" s="3552"/>
      <c r="P204" s="3618">
        <v>0.16</v>
      </c>
      <c r="Q204" s="3563"/>
      <c r="R204" s="3563"/>
      <c r="S204" s="3563"/>
      <c r="T204" s="3563"/>
    </row>
    <row r="205" spans="1:21" ht="25.5">
      <c r="A205" s="3786"/>
      <c r="B205" s="3786"/>
      <c r="C205" s="3711"/>
      <c r="D205" s="3636"/>
      <c r="E205" s="3701"/>
      <c r="F205" s="3701"/>
      <c r="G205" s="3700"/>
      <c r="H205" s="3563">
        <v>275</v>
      </c>
      <c r="I205" s="3563">
        <v>29345.25</v>
      </c>
      <c r="J205" s="3563">
        <v>352705.78561643802</v>
      </c>
      <c r="K205" s="3552" t="s">
        <v>4215</v>
      </c>
      <c r="L205" s="3612">
        <v>43703</v>
      </c>
      <c r="M205" s="3612">
        <v>44068</v>
      </c>
      <c r="N205" s="3602">
        <v>0</v>
      </c>
      <c r="O205" s="3552"/>
      <c r="P205" s="3787">
        <v>0.17</v>
      </c>
      <c r="Q205" s="3571">
        <v>10</v>
      </c>
      <c r="R205" s="3571">
        <v>0</v>
      </c>
      <c r="S205" s="3571"/>
      <c r="T205" s="3571" t="s">
        <v>4081</v>
      </c>
    </row>
    <row r="206" spans="1:21" ht="25.5">
      <c r="A206" s="3786"/>
      <c r="B206" s="3786"/>
      <c r="C206" s="3711"/>
      <c r="D206" s="3636"/>
      <c r="E206" s="3701"/>
      <c r="F206" s="3701"/>
      <c r="G206" s="3700"/>
      <c r="H206" s="3563">
        <v>275</v>
      </c>
      <c r="I206" s="3563">
        <v>29345.25</v>
      </c>
      <c r="J206" s="3563">
        <v>176634.28561643799</v>
      </c>
      <c r="K206" s="3552" t="s">
        <v>4214</v>
      </c>
      <c r="L206" s="3612">
        <v>44069</v>
      </c>
      <c r="M206" s="3612">
        <v>44252</v>
      </c>
      <c r="N206" s="3602">
        <v>0</v>
      </c>
      <c r="O206" s="3552"/>
      <c r="P206" s="3787">
        <v>0.17</v>
      </c>
      <c r="Q206" s="3571"/>
      <c r="R206" s="3571"/>
      <c r="S206" s="3571"/>
      <c r="T206" s="3571"/>
    </row>
    <row r="207" spans="1:21" ht="25.5">
      <c r="A207" s="3786"/>
      <c r="B207" s="3786"/>
      <c r="C207" s="3711"/>
      <c r="D207" s="3636"/>
      <c r="E207" s="3701"/>
      <c r="F207" s="3701"/>
      <c r="G207" s="3700"/>
      <c r="H207" s="3563">
        <v>275</v>
      </c>
      <c r="I207" s="3563">
        <v>29345.25</v>
      </c>
      <c r="J207" s="3563">
        <v>352143</v>
      </c>
      <c r="K207" s="3552" t="s">
        <v>4213</v>
      </c>
      <c r="L207" s="3612">
        <v>44253</v>
      </c>
      <c r="M207" s="3612">
        <v>44617</v>
      </c>
      <c r="N207" s="3602">
        <v>0</v>
      </c>
      <c r="O207" s="3552"/>
      <c r="P207" s="3787">
        <v>0.17</v>
      </c>
      <c r="Q207" s="3571"/>
      <c r="R207" s="3571"/>
      <c r="S207" s="3571"/>
      <c r="T207" s="3571"/>
    </row>
    <row r="208" spans="1:21" ht="25.5">
      <c r="A208" s="3786"/>
      <c r="B208" s="3786"/>
      <c r="C208" s="3707" t="s">
        <v>4212</v>
      </c>
      <c r="D208" s="3634">
        <v>12</v>
      </c>
      <c r="E208" s="3690">
        <v>44982</v>
      </c>
      <c r="F208" s="3690" t="s">
        <v>4212</v>
      </c>
      <c r="G208" s="3689"/>
      <c r="H208" s="3563">
        <v>302</v>
      </c>
      <c r="I208" s="3563">
        <v>32226.42</v>
      </c>
      <c r="J208" s="3563">
        <v>384156.58471232897</v>
      </c>
      <c r="K208" s="3552" t="s">
        <v>4211</v>
      </c>
      <c r="L208" s="3612">
        <v>44618</v>
      </c>
      <c r="M208" s="3612">
        <v>44982</v>
      </c>
      <c r="N208" s="3602">
        <v>0</v>
      </c>
      <c r="O208" s="3552"/>
      <c r="P208" s="3787">
        <v>0.17499999999999999</v>
      </c>
      <c r="Q208" s="3571"/>
      <c r="R208" s="3571"/>
      <c r="S208" s="3571"/>
      <c r="T208" s="3571"/>
    </row>
    <row r="209" spans="1:21" ht="25.5">
      <c r="A209" s="3786"/>
      <c r="B209" s="3786"/>
      <c r="C209" s="3711">
        <v>44983</v>
      </c>
      <c r="D209" s="3634"/>
      <c r="E209" s="3701">
        <v>45713</v>
      </c>
      <c r="F209" s="3701">
        <v>44983</v>
      </c>
      <c r="G209" s="3700">
        <v>44983</v>
      </c>
      <c r="H209" s="3563">
        <v>302</v>
      </c>
      <c r="I209" s="3563">
        <v>32226.42</v>
      </c>
      <c r="J209" s="3563">
        <v>450728.42219178099</v>
      </c>
      <c r="K209" s="3552" t="s">
        <v>4210</v>
      </c>
      <c r="L209" s="3612">
        <v>44983</v>
      </c>
      <c r="M209" s="3612">
        <v>45043</v>
      </c>
      <c r="N209" s="3602">
        <v>0</v>
      </c>
      <c r="O209" s="3552"/>
      <c r="P209" s="3787">
        <v>0.17499999999999999</v>
      </c>
      <c r="Q209" s="3563"/>
      <c r="R209" s="3563"/>
      <c r="S209" s="3563"/>
      <c r="T209" s="3563"/>
    </row>
    <row r="210" spans="1:21" ht="25.5">
      <c r="A210" s="3786"/>
      <c r="B210" s="3786"/>
      <c r="C210" s="3711"/>
      <c r="D210" s="3634"/>
      <c r="E210" s="3701"/>
      <c r="F210" s="3701"/>
      <c r="G210" s="3700"/>
      <c r="H210" s="3563">
        <v>302</v>
      </c>
      <c r="I210" s="3563">
        <v>32226.42</v>
      </c>
      <c r="J210" s="3563">
        <v>319703.744712329</v>
      </c>
      <c r="K210" s="3552" t="s">
        <v>4209</v>
      </c>
      <c r="L210" s="3612">
        <v>45044</v>
      </c>
      <c r="M210" s="3612">
        <v>45347</v>
      </c>
      <c r="N210" s="3602">
        <v>0</v>
      </c>
      <c r="O210" s="3552"/>
      <c r="P210" s="3618">
        <v>0.17499999999999999</v>
      </c>
      <c r="Q210" s="3563"/>
      <c r="R210" s="3563"/>
      <c r="S210" s="3563"/>
      <c r="T210" s="3563"/>
    </row>
    <row r="211" spans="1:21" ht="38.25">
      <c r="A211" s="3786"/>
      <c r="B211" s="3786"/>
      <c r="C211" s="3711"/>
      <c r="D211" s="3634"/>
      <c r="E211" s="3701"/>
      <c r="F211" s="3701"/>
      <c r="G211" s="3700"/>
      <c r="H211" s="3595">
        <v>317</v>
      </c>
      <c r="I211" s="3595">
        <v>33827.07</v>
      </c>
      <c r="J211" s="3595">
        <v>403237.20978082198</v>
      </c>
      <c r="K211" s="3592" t="s">
        <v>4208</v>
      </c>
      <c r="L211" s="3594">
        <v>45348</v>
      </c>
      <c r="M211" s="3594">
        <v>45713</v>
      </c>
      <c r="N211" s="3593">
        <v>33827.07</v>
      </c>
      <c r="O211" s="3592" t="s">
        <v>4207</v>
      </c>
      <c r="P211" s="3591">
        <v>0.17499999999999999</v>
      </c>
      <c r="Q211" s="3563"/>
      <c r="R211" s="3563"/>
      <c r="S211" s="3563"/>
      <c r="T211" s="3563"/>
    </row>
    <row r="212" spans="1:21" ht="25.5">
      <c r="A212" s="3785"/>
      <c r="B212" s="3785"/>
      <c r="C212" s="3707">
        <v>45714</v>
      </c>
      <c r="D212" s="3634"/>
      <c r="E212" s="3690">
        <v>46078</v>
      </c>
      <c r="F212" s="3690"/>
      <c r="G212" s="3689"/>
      <c r="H212" s="3595">
        <v>220</v>
      </c>
      <c r="I212" s="3595">
        <v>23476.2</v>
      </c>
      <c r="J212" s="3595">
        <v>279849.16767123301</v>
      </c>
      <c r="K212" s="3592" t="s">
        <v>4206</v>
      </c>
      <c r="L212" s="3594">
        <v>45714</v>
      </c>
      <c r="M212" s="3594">
        <v>46078</v>
      </c>
      <c r="N212" s="3593"/>
      <c r="O212" s="3592"/>
      <c r="P212" s="3591">
        <v>0.17499999999999999</v>
      </c>
      <c r="Q212" s="3563"/>
      <c r="R212" s="3563"/>
      <c r="S212" s="3563"/>
      <c r="T212" s="3563"/>
      <c r="U212" s="3590">
        <f>I212</f>
        <v>23476.2</v>
      </c>
    </row>
    <row r="213" spans="1:21" ht="25.5">
      <c r="A213" s="3675" t="s">
        <v>4205</v>
      </c>
      <c r="B213" s="3633">
        <v>109.71</v>
      </c>
      <c r="C213" s="3600">
        <v>45066</v>
      </c>
      <c r="D213" s="3552"/>
      <c r="E213" s="3674">
        <v>46206</v>
      </c>
      <c r="F213" s="3674">
        <v>45111</v>
      </c>
      <c r="G213" s="3673">
        <v>45111</v>
      </c>
      <c r="H213" s="3563">
        <v>418</v>
      </c>
      <c r="I213" s="3563">
        <v>45858.78</v>
      </c>
      <c r="J213" s="3563">
        <v>45858.78</v>
      </c>
      <c r="K213" s="3552" t="s">
        <v>4204</v>
      </c>
      <c r="L213" s="3612">
        <v>45066</v>
      </c>
      <c r="M213" s="3612">
        <v>45141</v>
      </c>
      <c r="N213" s="3602">
        <v>0</v>
      </c>
      <c r="O213" s="3552"/>
      <c r="P213" s="3618">
        <v>0.15</v>
      </c>
      <c r="Q213" s="3563"/>
      <c r="R213" s="3563"/>
      <c r="S213" s="3563"/>
      <c r="T213" s="3563"/>
    </row>
    <row r="214" spans="1:21" ht="25.5">
      <c r="A214" s="3675"/>
      <c r="B214" s="3633"/>
      <c r="C214" s="3600"/>
      <c r="D214" s="3552"/>
      <c r="E214" s="3674"/>
      <c r="F214" s="3674"/>
      <c r="G214" s="3673"/>
      <c r="H214" s="3563">
        <v>418</v>
      </c>
      <c r="I214" s="3563">
        <v>45858.78</v>
      </c>
      <c r="J214" s="3563">
        <v>505326.06345205498</v>
      </c>
      <c r="K214" s="3552" t="s">
        <v>4203</v>
      </c>
      <c r="L214" s="3612">
        <v>45142</v>
      </c>
      <c r="M214" s="3612">
        <v>45476</v>
      </c>
      <c r="N214" s="3620">
        <v>4523.0600000000004</v>
      </c>
      <c r="O214" s="3552" t="s">
        <v>4201</v>
      </c>
      <c r="P214" s="3618">
        <v>0.15</v>
      </c>
      <c r="Q214" s="3563"/>
      <c r="R214" s="3563"/>
      <c r="S214" s="3563"/>
      <c r="T214" s="3563"/>
    </row>
    <row r="215" spans="1:21" ht="25.5">
      <c r="A215" s="3675"/>
      <c r="B215" s="3633"/>
      <c r="C215" s="3600"/>
      <c r="D215" s="3552"/>
      <c r="E215" s="3674"/>
      <c r="F215" s="3674"/>
      <c r="G215" s="3673"/>
      <c r="H215" s="3595">
        <v>443</v>
      </c>
      <c r="I215" s="3595">
        <v>48601.53</v>
      </c>
      <c r="J215" s="3595">
        <v>584150.44413698604</v>
      </c>
      <c r="K215" s="3592" t="s">
        <v>4202</v>
      </c>
      <c r="L215" s="3594">
        <v>45477</v>
      </c>
      <c r="M215" s="3594">
        <v>45841</v>
      </c>
      <c r="N215" s="3593">
        <v>44740.04</v>
      </c>
      <c r="O215" s="3592" t="s">
        <v>4201</v>
      </c>
      <c r="P215" s="3591">
        <v>0.15</v>
      </c>
      <c r="Q215" s="3637">
        <v>10</v>
      </c>
      <c r="R215" s="3637">
        <v>100</v>
      </c>
      <c r="S215" s="3637"/>
      <c r="T215" s="3636" t="s">
        <v>3779</v>
      </c>
    </row>
    <row r="216" spans="1:21" ht="25.5">
      <c r="A216" s="3675"/>
      <c r="B216" s="3633"/>
      <c r="C216" s="3600"/>
      <c r="D216" s="3552"/>
      <c r="E216" s="3674"/>
      <c r="F216" s="3674"/>
      <c r="G216" s="3673"/>
      <c r="H216" s="3563">
        <v>468</v>
      </c>
      <c r="I216" s="3563">
        <v>51344.28</v>
      </c>
      <c r="J216" s="3563">
        <v>617116.04482191801</v>
      </c>
      <c r="K216" s="3552" t="s">
        <v>4200</v>
      </c>
      <c r="L216" s="3612">
        <v>45842</v>
      </c>
      <c r="M216" s="3612">
        <v>46206</v>
      </c>
      <c r="N216" s="3602">
        <v>0</v>
      </c>
      <c r="O216" s="3552"/>
      <c r="P216" s="3618">
        <v>0.16</v>
      </c>
      <c r="Q216" s="3637"/>
      <c r="R216" s="3637"/>
      <c r="S216" s="3637"/>
      <c r="T216" s="3636"/>
      <c r="U216" s="3590">
        <f>I216</f>
        <v>51344.28</v>
      </c>
    </row>
    <row r="217" spans="1:21" ht="25.5">
      <c r="A217" s="3675" t="s">
        <v>4199</v>
      </c>
      <c r="B217" s="3633">
        <v>121</v>
      </c>
      <c r="C217" s="3600">
        <v>45047</v>
      </c>
      <c r="D217" s="3552"/>
      <c r="E217" s="3674">
        <v>46172</v>
      </c>
      <c r="F217" s="3674">
        <v>45077</v>
      </c>
      <c r="G217" s="3673">
        <v>45077</v>
      </c>
      <c r="H217" s="3563">
        <v>500</v>
      </c>
      <c r="I217" s="3563">
        <v>60500</v>
      </c>
      <c r="J217" s="3563">
        <v>60500</v>
      </c>
      <c r="K217" s="3552" t="s">
        <v>4198</v>
      </c>
      <c r="L217" s="3612">
        <v>45047</v>
      </c>
      <c r="M217" s="3612">
        <v>45107</v>
      </c>
      <c r="N217" s="3602">
        <v>0</v>
      </c>
      <c r="O217" s="3552"/>
      <c r="P217" s="3618">
        <v>0.15</v>
      </c>
      <c r="Q217" s="3631"/>
      <c r="R217" s="3631"/>
      <c r="S217" s="3631"/>
      <c r="T217" s="3634"/>
    </row>
    <row r="218" spans="1:21" ht="25.5">
      <c r="A218" s="3675"/>
      <c r="B218" s="3633"/>
      <c r="C218" s="3600"/>
      <c r="D218" s="3552"/>
      <c r="E218" s="3674"/>
      <c r="F218" s="3674"/>
      <c r="G218" s="3673"/>
      <c r="H218" s="3563">
        <v>500</v>
      </c>
      <c r="I218" s="3563">
        <v>60500</v>
      </c>
      <c r="J218" s="3563">
        <v>608978.08219178102</v>
      </c>
      <c r="K218" s="3552" t="s">
        <v>4197</v>
      </c>
      <c r="L218" s="3612">
        <v>45108</v>
      </c>
      <c r="M218" s="3612">
        <v>45442</v>
      </c>
      <c r="N218" s="3620">
        <v>0</v>
      </c>
      <c r="O218" s="3619" t="s">
        <v>4194</v>
      </c>
      <c r="P218" s="3618">
        <v>0.15</v>
      </c>
      <c r="Q218" s="3631"/>
      <c r="R218" s="3631"/>
      <c r="S218" s="3631"/>
      <c r="T218" s="3634"/>
    </row>
    <row r="219" spans="1:21" ht="25.5">
      <c r="A219" s="3675"/>
      <c r="B219" s="3633"/>
      <c r="C219" s="3600"/>
      <c r="D219" s="3552"/>
      <c r="E219" s="3674"/>
      <c r="F219" s="3674"/>
      <c r="G219" s="3673"/>
      <c r="H219" s="3595">
        <v>530</v>
      </c>
      <c r="I219" s="3595">
        <v>64130</v>
      </c>
      <c r="J219" s="3595">
        <v>711755.15068493201</v>
      </c>
      <c r="K219" s="3592" t="s">
        <v>4196</v>
      </c>
      <c r="L219" s="3594">
        <v>45443</v>
      </c>
      <c r="M219" s="3594">
        <v>45807</v>
      </c>
      <c r="N219" s="3593">
        <v>64130</v>
      </c>
      <c r="O219" s="3592" t="s">
        <v>4194</v>
      </c>
      <c r="P219" s="3591">
        <v>0.16</v>
      </c>
      <c r="Q219" s="3631"/>
      <c r="R219" s="3631"/>
      <c r="S219" s="3631"/>
      <c r="T219" s="3634"/>
    </row>
    <row r="220" spans="1:21" ht="25.5">
      <c r="A220" s="3675"/>
      <c r="B220" s="3633"/>
      <c r="C220" s="3600"/>
      <c r="D220" s="3552"/>
      <c r="E220" s="3674"/>
      <c r="F220" s="3674"/>
      <c r="G220" s="3673"/>
      <c r="H220" s="3563">
        <v>560</v>
      </c>
      <c r="I220" s="3563">
        <v>67760</v>
      </c>
      <c r="J220" s="3563">
        <v>752043.17808219197</v>
      </c>
      <c r="K220" s="3552" t="s">
        <v>4195</v>
      </c>
      <c r="L220" s="3612">
        <v>45808</v>
      </c>
      <c r="M220" s="3612">
        <v>46172</v>
      </c>
      <c r="N220" s="3602">
        <v>0</v>
      </c>
      <c r="O220" s="3552" t="s">
        <v>4194</v>
      </c>
      <c r="P220" s="3618">
        <v>0.16</v>
      </c>
      <c r="Q220" s="3631"/>
      <c r="R220" s="3631"/>
      <c r="S220" s="3631"/>
      <c r="T220" s="3634"/>
      <c r="U220" s="3590">
        <f>I220</f>
        <v>67760</v>
      </c>
    </row>
    <row r="221" spans="1:21" ht="25.5">
      <c r="A221" s="3650" t="s">
        <v>4193</v>
      </c>
      <c r="B221" s="3650">
        <v>85</v>
      </c>
      <c r="C221" s="3711">
        <v>44346</v>
      </c>
      <c r="D221" s="3636">
        <v>36</v>
      </c>
      <c r="E221" s="3701">
        <v>45486</v>
      </c>
      <c r="F221" s="3701">
        <v>44391</v>
      </c>
      <c r="G221" s="3700">
        <v>44391</v>
      </c>
      <c r="H221" s="3631">
        <v>480</v>
      </c>
      <c r="I221" s="3631">
        <v>40800</v>
      </c>
      <c r="J221" s="3631">
        <v>489600</v>
      </c>
      <c r="K221" s="3634" t="s">
        <v>4192</v>
      </c>
      <c r="L221" s="3690">
        <v>44391</v>
      </c>
      <c r="M221" s="3690">
        <v>44755</v>
      </c>
      <c r="N221" s="3602">
        <v>0</v>
      </c>
      <c r="O221" s="3634"/>
      <c r="P221" s="3710">
        <v>0.1</v>
      </c>
      <c r="Q221" s="3571">
        <v>10</v>
      </c>
      <c r="R221" s="3571">
        <v>3222.7</v>
      </c>
      <c r="S221" s="3571"/>
      <c r="T221" s="3571"/>
    </row>
    <row r="222" spans="1:21" ht="25.5">
      <c r="A222" s="3645"/>
      <c r="B222" s="3645"/>
      <c r="C222" s="3711"/>
      <c r="D222" s="3636"/>
      <c r="E222" s="3701"/>
      <c r="F222" s="3701"/>
      <c r="G222" s="3700"/>
      <c r="H222" s="3631">
        <v>510</v>
      </c>
      <c r="I222" s="3631">
        <v>43350</v>
      </c>
      <c r="J222" s="3631">
        <v>520200</v>
      </c>
      <c r="K222" s="3634" t="s">
        <v>4191</v>
      </c>
      <c r="L222" s="3690">
        <v>44756</v>
      </c>
      <c r="M222" s="3690">
        <v>45120</v>
      </c>
      <c r="N222" s="3602">
        <v>0</v>
      </c>
      <c r="O222" s="3634"/>
      <c r="P222" s="3710">
        <v>0.11</v>
      </c>
      <c r="Q222" s="3571"/>
      <c r="R222" s="3571"/>
      <c r="S222" s="3571"/>
      <c r="T222" s="3571"/>
    </row>
    <row r="223" spans="1:21" ht="25.5">
      <c r="A223" s="3645"/>
      <c r="B223" s="3645"/>
      <c r="C223" s="3711"/>
      <c r="D223" s="3636"/>
      <c r="E223" s="3701"/>
      <c r="F223" s="3701"/>
      <c r="G223" s="3700"/>
      <c r="H223" s="3595">
        <v>540</v>
      </c>
      <c r="I223" s="3595">
        <v>45900</v>
      </c>
      <c r="J223" s="3595">
        <v>550800</v>
      </c>
      <c r="K223" s="3592" t="s">
        <v>4190</v>
      </c>
      <c r="L223" s="3594">
        <v>45121</v>
      </c>
      <c r="M223" s="3594">
        <v>45486</v>
      </c>
      <c r="N223" s="3593">
        <v>19617.53</v>
      </c>
      <c r="O223" s="3592" t="s">
        <v>4189</v>
      </c>
      <c r="P223" s="3591">
        <v>0.11</v>
      </c>
      <c r="Q223" s="3571"/>
      <c r="R223" s="3571"/>
      <c r="S223" s="3571"/>
      <c r="T223" s="3571"/>
    </row>
    <row r="224" spans="1:21" ht="25.5">
      <c r="A224" s="3645"/>
      <c r="B224" s="3645"/>
      <c r="C224" s="3707">
        <v>45487</v>
      </c>
      <c r="D224" s="3634"/>
      <c r="E224" s="3690">
        <v>45578</v>
      </c>
      <c r="F224" s="3707">
        <v>45487</v>
      </c>
      <c r="G224" s="3689">
        <v>45487</v>
      </c>
      <c r="H224" s="3595">
        <v>540</v>
      </c>
      <c r="I224" s="3595">
        <v>45900</v>
      </c>
      <c r="J224" s="3595">
        <v>138580.273972603</v>
      </c>
      <c r="K224" s="3592" t="s">
        <v>4188</v>
      </c>
      <c r="L224" s="3594">
        <v>45487</v>
      </c>
      <c r="M224" s="3594">
        <v>45578</v>
      </c>
      <c r="N224" s="3593"/>
      <c r="O224" s="3592"/>
      <c r="P224" s="3591">
        <v>0.11</v>
      </c>
      <c r="Q224" s="3571"/>
      <c r="R224" s="3571"/>
      <c r="S224" s="3571"/>
      <c r="T224" s="3571"/>
    </row>
    <row r="225" spans="1:21" ht="25.5">
      <c r="A225" s="3645"/>
      <c r="B225" s="3645"/>
      <c r="C225" s="3690">
        <v>45579</v>
      </c>
      <c r="D225" s="3634"/>
      <c r="E225" s="3690">
        <v>45747</v>
      </c>
      <c r="F225" s="3690">
        <v>45579</v>
      </c>
      <c r="G225" s="3690">
        <v>45579</v>
      </c>
      <c r="H225" s="3595">
        <v>540</v>
      </c>
      <c r="I225" s="3595">
        <v>45900</v>
      </c>
      <c r="J225" s="3595">
        <v>255153.69863013699</v>
      </c>
      <c r="K225" s="3592" t="s">
        <v>4187</v>
      </c>
      <c r="L225" s="3594">
        <v>45579</v>
      </c>
      <c r="M225" s="3594">
        <v>45747</v>
      </c>
      <c r="N225" s="3593"/>
      <c r="O225" s="3592"/>
      <c r="P225" s="3591">
        <v>0.11</v>
      </c>
      <c r="Q225" s="3571"/>
      <c r="R225" s="3571"/>
      <c r="S225" s="3571"/>
      <c r="T225" s="3571"/>
    </row>
    <row r="226" spans="1:21" ht="25.5">
      <c r="A226" s="3639"/>
      <c r="B226" s="3639"/>
      <c r="C226" s="3784"/>
      <c r="D226" s="3634"/>
      <c r="E226" s="3690"/>
      <c r="F226" s="3690"/>
      <c r="G226" s="3689"/>
      <c r="H226" s="3595">
        <v>540</v>
      </c>
      <c r="I226" s="3595">
        <v>45900</v>
      </c>
      <c r="J226" s="3595">
        <v>137700</v>
      </c>
      <c r="K226" s="3592" t="s">
        <v>4106</v>
      </c>
      <c r="L226" s="3594"/>
      <c r="M226" s="3594"/>
      <c r="N226" s="3593"/>
      <c r="O226" s="3592"/>
      <c r="P226" s="3591">
        <v>0.11</v>
      </c>
      <c r="Q226" s="3571"/>
      <c r="R226" s="3571"/>
      <c r="S226" s="3571"/>
      <c r="T226" s="3571"/>
      <c r="U226" s="3590">
        <f>I226</f>
        <v>45900</v>
      </c>
    </row>
    <row r="227" spans="1:21" ht="51">
      <c r="A227" s="3604" t="s">
        <v>4186</v>
      </c>
      <c r="B227" s="3604">
        <v>222.21</v>
      </c>
      <c r="C227" s="3753" t="s">
        <v>4185</v>
      </c>
      <c r="D227" s="3634"/>
      <c r="E227" s="3752" t="s">
        <v>4184</v>
      </c>
      <c r="F227" s="3761" t="s">
        <v>4183</v>
      </c>
      <c r="G227" s="3761" t="s">
        <v>4183</v>
      </c>
      <c r="H227" s="3595">
        <v>350</v>
      </c>
      <c r="I227" s="3595">
        <v>77773.5</v>
      </c>
      <c r="J227" s="3595">
        <v>77773.5</v>
      </c>
      <c r="K227" s="3592" t="s">
        <v>4182</v>
      </c>
      <c r="L227" s="3594">
        <v>45457</v>
      </c>
      <c r="M227" s="3594">
        <v>45532</v>
      </c>
      <c r="N227" s="3751"/>
      <c r="O227" s="3627"/>
      <c r="P227" s="3591">
        <v>0.18</v>
      </c>
      <c r="Q227" s="3563"/>
      <c r="R227" s="3563"/>
      <c r="S227" s="3563"/>
      <c r="T227" s="3563"/>
    </row>
    <row r="228" spans="1:21" ht="51">
      <c r="A228" s="3601"/>
      <c r="B228" s="3601"/>
      <c r="C228" s="3748"/>
      <c r="D228" s="3776"/>
      <c r="E228" s="3747"/>
      <c r="F228" s="3783"/>
      <c r="G228" s="3783"/>
      <c r="H228" s="3595">
        <v>350</v>
      </c>
      <c r="I228" s="3595">
        <v>77773.5</v>
      </c>
      <c r="J228" s="3595">
        <v>857000.04657534196</v>
      </c>
      <c r="K228" s="3592" t="s">
        <v>4181</v>
      </c>
      <c r="L228" s="3594">
        <v>45533</v>
      </c>
      <c r="M228" s="3594">
        <v>45866</v>
      </c>
      <c r="N228" s="3751"/>
      <c r="O228" s="3627"/>
      <c r="P228" s="3591">
        <v>0.18</v>
      </c>
      <c r="Q228" s="3631"/>
      <c r="R228" s="3631"/>
      <c r="S228" s="3631"/>
      <c r="T228" s="3634"/>
    </row>
    <row r="229" spans="1:21" ht="51">
      <c r="A229" s="3601"/>
      <c r="B229" s="3601"/>
      <c r="C229" s="3748"/>
      <c r="D229" s="3776"/>
      <c r="E229" s="3747"/>
      <c r="F229" s="3783"/>
      <c r="G229" s="3783"/>
      <c r="H229" s="3595">
        <v>380</v>
      </c>
      <c r="I229" s="3595">
        <v>84439.8</v>
      </c>
      <c r="J229" s="3595">
        <v>1014896.9934246599</v>
      </c>
      <c r="K229" s="3592" t="s">
        <v>4180</v>
      </c>
      <c r="L229" s="3594">
        <v>45867</v>
      </c>
      <c r="M229" s="3594">
        <v>46231</v>
      </c>
      <c r="N229" s="3751"/>
      <c r="O229" s="3627"/>
      <c r="P229" s="3591">
        <v>0.19</v>
      </c>
      <c r="Q229" s="3631"/>
      <c r="R229" s="3631"/>
      <c r="S229" s="3631"/>
      <c r="T229" s="3634"/>
      <c r="U229" s="3590">
        <f>I229</f>
        <v>84439.8</v>
      </c>
    </row>
    <row r="230" spans="1:21" ht="51">
      <c r="A230" s="3597"/>
      <c r="B230" s="3597"/>
      <c r="C230" s="3744"/>
      <c r="D230" s="3776"/>
      <c r="E230" s="3743"/>
      <c r="F230" s="3782"/>
      <c r="G230" s="3782"/>
      <c r="H230" s="3595">
        <v>410</v>
      </c>
      <c r="I230" s="3595">
        <v>91106.1</v>
      </c>
      <c r="J230" s="3595">
        <v>1095020.4402739699</v>
      </c>
      <c r="K230" s="3592" t="s">
        <v>4179</v>
      </c>
      <c r="L230" s="3594">
        <v>46232</v>
      </c>
      <c r="M230" s="3594">
        <v>46596</v>
      </c>
      <c r="N230" s="3751"/>
      <c r="O230" s="3627"/>
      <c r="P230" s="3591">
        <v>0.2</v>
      </c>
      <c r="Q230" s="3631"/>
      <c r="R230" s="3631"/>
      <c r="S230" s="3631"/>
      <c r="T230" s="3634"/>
    </row>
    <row r="231" spans="1:21" ht="25.5">
      <c r="A231" s="3570" t="s">
        <v>4178</v>
      </c>
      <c r="B231" s="3570">
        <v>173.4</v>
      </c>
      <c r="C231" s="3632">
        <v>45784</v>
      </c>
      <c r="D231" s="3570"/>
      <c r="E231" s="3632">
        <v>46919</v>
      </c>
      <c r="F231" s="3632">
        <v>45784</v>
      </c>
      <c r="G231" s="3632">
        <v>45784</v>
      </c>
      <c r="H231" s="3631">
        <v>350</v>
      </c>
      <c r="I231" s="3563">
        <v>60690</v>
      </c>
      <c r="J231" s="3631">
        <v>60690</v>
      </c>
      <c r="K231" s="3634" t="s">
        <v>4177</v>
      </c>
      <c r="L231" s="3781"/>
      <c r="M231" s="3781"/>
      <c r="N231" s="3602"/>
      <c r="O231" s="3634"/>
      <c r="P231" s="3710">
        <v>0.03</v>
      </c>
      <c r="Q231" s="3780"/>
      <c r="R231" s="3780"/>
      <c r="S231" s="3780"/>
      <c r="T231" s="3779"/>
      <c r="U231" s="3590">
        <f>I231</f>
        <v>60690</v>
      </c>
    </row>
    <row r="232" spans="1:21" ht="25.5">
      <c r="A232" s="3568"/>
      <c r="B232" s="3568"/>
      <c r="C232" s="3568"/>
      <c r="D232" s="3568"/>
      <c r="E232" s="3568"/>
      <c r="F232" s="3568"/>
      <c r="G232" s="3568"/>
      <c r="H232" s="3631">
        <v>350</v>
      </c>
      <c r="I232" s="3563">
        <v>60690</v>
      </c>
      <c r="J232" s="3631">
        <v>668753.91780821898</v>
      </c>
      <c r="K232" s="3634" t="s">
        <v>4176</v>
      </c>
      <c r="L232" s="3781"/>
      <c r="M232" s="3781"/>
      <c r="N232" s="3602"/>
      <c r="O232" s="3634"/>
      <c r="P232" s="3710">
        <v>0.03</v>
      </c>
      <c r="Q232" s="3780"/>
      <c r="R232" s="3780"/>
      <c r="S232" s="3780"/>
      <c r="T232" s="3779"/>
    </row>
    <row r="233" spans="1:21" ht="25.5">
      <c r="A233" s="3568"/>
      <c r="B233" s="3568"/>
      <c r="C233" s="3568"/>
      <c r="D233" s="3568"/>
      <c r="E233" s="3568"/>
      <c r="F233" s="3568"/>
      <c r="G233" s="3568"/>
      <c r="H233" s="3631">
        <v>380</v>
      </c>
      <c r="I233" s="3563">
        <v>65892</v>
      </c>
      <c r="J233" s="3631">
        <v>789801.36986301397</v>
      </c>
      <c r="K233" s="3634" t="s">
        <v>4175</v>
      </c>
      <c r="L233" s="3781"/>
      <c r="M233" s="3781"/>
      <c r="N233" s="3602"/>
      <c r="O233" s="3634"/>
      <c r="P233" s="3710">
        <v>0.03</v>
      </c>
      <c r="Q233" s="3780"/>
      <c r="R233" s="3780"/>
      <c r="S233" s="3780"/>
      <c r="T233" s="3779"/>
    </row>
    <row r="234" spans="1:21" ht="25.5">
      <c r="A234" s="3567"/>
      <c r="B234" s="3567"/>
      <c r="C234" s="3567"/>
      <c r="D234" s="3567"/>
      <c r="E234" s="3567"/>
      <c r="F234" s="3567"/>
      <c r="G234" s="3567"/>
      <c r="H234" s="3631">
        <v>410</v>
      </c>
      <c r="I234" s="3563">
        <v>71094</v>
      </c>
      <c r="J234" s="3631">
        <v>852154.10958904098</v>
      </c>
      <c r="K234" s="3634" t="s">
        <v>4174</v>
      </c>
      <c r="L234" s="3781"/>
      <c r="M234" s="3781"/>
      <c r="N234" s="3602"/>
      <c r="O234" s="3634"/>
      <c r="P234" s="3710">
        <v>0.03</v>
      </c>
      <c r="Q234" s="3780"/>
      <c r="R234" s="3780"/>
      <c r="S234" s="3780"/>
      <c r="T234" s="3779"/>
    </row>
    <row r="235" spans="1:21" ht="25.5">
      <c r="A235" s="3650" t="s">
        <v>4173</v>
      </c>
      <c r="B235" s="3650">
        <v>21.68</v>
      </c>
      <c r="C235" s="3711">
        <v>44094</v>
      </c>
      <c r="D235" s="3636">
        <v>24</v>
      </c>
      <c r="E235" s="3701">
        <v>44843</v>
      </c>
      <c r="F235" s="3701">
        <v>44114</v>
      </c>
      <c r="G235" s="3700">
        <v>44114</v>
      </c>
      <c r="H235" s="3631">
        <v>500</v>
      </c>
      <c r="I235" s="3631">
        <v>10840</v>
      </c>
      <c r="J235" s="3631">
        <v>10840</v>
      </c>
      <c r="K235" s="3634" t="s">
        <v>4172</v>
      </c>
      <c r="L235" s="3690">
        <v>44114</v>
      </c>
      <c r="M235" s="3690">
        <v>44144</v>
      </c>
      <c r="N235" s="3602">
        <v>0</v>
      </c>
      <c r="O235" s="3634"/>
      <c r="P235" s="3710">
        <v>0.1</v>
      </c>
      <c r="Q235" s="3780"/>
      <c r="R235" s="3780"/>
      <c r="S235" s="3780"/>
      <c r="T235" s="3779"/>
    </row>
    <row r="236" spans="1:21" ht="25.5">
      <c r="A236" s="3645"/>
      <c r="B236" s="3645"/>
      <c r="C236" s="3711"/>
      <c r="D236" s="3636"/>
      <c r="E236" s="3701"/>
      <c r="F236" s="3701"/>
      <c r="G236" s="3700"/>
      <c r="H236" s="3631">
        <v>500</v>
      </c>
      <c r="I236" s="3631">
        <v>10840</v>
      </c>
      <c r="J236" s="3631">
        <v>54200</v>
      </c>
      <c r="K236" s="3634" t="s">
        <v>4171</v>
      </c>
      <c r="L236" s="3690">
        <v>44145</v>
      </c>
      <c r="M236" s="3690">
        <v>44295</v>
      </c>
      <c r="N236" s="3602">
        <v>0</v>
      </c>
      <c r="O236" s="3634"/>
      <c r="P236" s="3710">
        <v>0.1</v>
      </c>
      <c r="Q236" s="3780"/>
      <c r="R236" s="3780"/>
      <c r="S236" s="3780"/>
      <c r="T236" s="3779"/>
    </row>
    <row r="237" spans="1:21" ht="25.5">
      <c r="A237" s="3645"/>
      <c r="B237" s="3645"/>
      <c r="C237" s="3711"/>
      <c r="D237" s="3636"/>
      <c r="E237" s="3701"/>
      <c r="F237" s="3701"/>
      <c r="G237" s="3700"/>
      <c r="H237" s="3631">
        <v>550</v>
      </c>
      <c r="I237" s="3631">
        <v>11924</v>
      </c>
      <c r="J237" s="3631">
        <v>71544</v>
      </c>
      <c r="K237" s="3634" t="s">
        <v>4170</v>
      </c>
      <c r="L237" s="3690">
        <v>44296</v>
      </c>
      <c r="M237" s="3690">
        <v>44478</v>
      </c>
      <c r="N237" s="3602">
        <v>0</v>
      </c>
      <c r="O237" s="3634"/>
      <c r="P237" s="3710">
        <v>0.1</v>
      </c>
      <c r="Q237" s="3780"/>
      <c r="R237" s="3780"/>
      <c r="S237" s="3780"/>
      <c r="T237" s="3779"/>
    </row>
    <row r="238" spans="1:21" ht="25.5">
      <c r="A238" s="3645"/>
      <c r="B238" s="3645"/>
      <c r="C238" s="3711"/>
      <c r="D238" s="3636"/>
      <c r="E238" s="3701"/>
      <c r="F238" s="3701"/>
      <c r="G238" s="3700"/>
      <c r="H238" s="3631">
        <v>600</v>
      </c>
      <c r="I238" s="3631">
        <v>13008</v>
      </c>
      <c r="J238" s="3631">
        <v>156096</v>
      </c>
      <c r="K238" s="3634" t="s">
        <v>4169</v>
      </c>
      <c r="L238" s="3690">
        <v>44479</v>
      </c>
      <c r="M238" s="3690">
        <v>44843</v>
      </c>
      <c r="N238" s="3602">
        <v>0</v>
      </c>
      <c r="O238" s="3634"/>
      <c r="P238" s="3710">
        <v>0.11</v>
      </c>
      <c r="Q238" s="3780"/>
      <c r="R238" s="3780"/>
      <c r="S238" s="3780"/>
      <c r="T238" s="3779"/>
    </row>
    <row r="239" spans="1:21" ht="25.5">
      <c r="A239" s="3645"/>
      <c r="B239" s="3645"/>
      <c r="C239" s="3707">
        <v>44844</v>
      </c>
      <c r="D239" s="3634">
        <v>12</v>
      </c>
      <c r="E239" s="3690">
        <v>45208</v>
      </c>
      <c r="F239" s="3690">
        <v>44844</v>
      </c>
      <c r="G239" s="3689">
        <v>44844</v>
      </c>
      <c r="H239" s="3631">
        <v>650</v>
      </c>
      <c r="I239" s="3631">
        <v>14092</v>
      </c>
      <c r="J239" s="3631">
        <v>168910.95890411001</v>
      </c>
      <c r="K239" s="3634" t="s">
        <v>4168</v>
      </c>
      <c r="L239" s="3690">
        <v>44844</v>
      </c>
      <c r="M239" s="3690">
        <v>45208</v>
      </c>
      <c r="N239" s="3602">
        <v>0</v>
      </c>
      <c r="O239" s="3634"/>
      <c r="P239" s="3710">
        <v>0.115</v>
      </c>
      <c r="Q239" s="3563"/>
      <c r="R239" s="3563"/>
      <c r="S239" s="3563"/>
      <c r="T239" s="3552"/>
    </row>
    <row r="240" spans="1:21" ht="25.5">
      <c r="A240" s="3645"/>
      <c r="B240" s="3645"/>
      <c r="C240" s="3707">
        <v>45209</v>
      </c>
      <c r="D240" s="3634">
        <v>12</v>
      </c>
      <c r="E240" s="3690">
        <v>45574</v>
      </c>
      <c r="F240" s="3690">
        <v>45209</v>
      </c>
      <c r="G240" s="3689">
        <v>45209</v>
      </c>
      <c r="H240" s="3595">
        <v>682.5</v>
      </c>
      <c r="I240" s="3595">
        <v>14796.6</v>
      </c>
      <c r="J240" s="3595">
        <v>177842.97041095901</v>
      </c>
      <c r="K240" s="3592" t="s">
        <v>4130</v>
      </c>
      <c r="L240" s="3594">
        <v>45209</v>
      </c>
      <c r="M240" s="3594">
        <v>45574</v>
      </c>
      <c r="N240" s="3593">
        <v>14796.6</v>
      </c>
      <c r="O240" s="3592" t="s">
        <v>4167</v>
      </c>
      <c r="P240" s="3591">
        <v>0.12</v>
      </c>
      <c r="Q240" s="3563"/>
      <c r="R240" s="3563"/>
      <c r="S240" s="3563"/>
      <c r="T240" s="3552"/>
    </row>
    <row r="241" spans="1:21" ht="25.5">
      <c r="A241" s="3639"/>
      <c r="B241" s="3639"/>
      <c r="C241" s="3690">
        <v>45575</v>
      </c>
      <c r="D241" s="3634"/>
      <c r="E241" s="3690">
        <v>45939</v>
      </c>
      <c r="F241" s="3690">
        <v>45575</v>
      </c>
      <c r="G241" s="3690">
        <v>45575</v>
      </c>
      <c r="H241" s="3595">
        <v>700</v>
      </c>
      <c r="I241" s="3595">
        <v>15176</v>
      </c>
      <c r="J241" s="3595">
        <v>178229.64657534199</v>
      </c>
      <c r="K241" s="3592" t="s">
        <v>4166</v>
      </c>
      <c r="L241" s="3594">
        <v>45575</v>
      </c>
      <c r="M241" s="3594">
        <v>45939</v>
      </c>
      <c r="N241" s="3593"/>
      <c r="O241" s="3592"/>
      <c r="P241" s="3591">
        <v>0.12</v>
      </c>
      <c r="Q241" s="3563"/>
      <c r="R241" s="3563"/>
      <c r="S241" s="3563"/>
      <c r="T241" s="3552"/>
      <c r="U241" s="3590">
        <f>I241</f>
        <v>15176</v>
      </c>
    </row>
    <row r="242" spans="1:21" ht="25.5">
      <c r="A242" s="3562" t="s">
        <v>4165</v>
      </c>
      <c r="B242" s="3741">
        <v>37</v>
      </c>
      <c r="C242" s="3615">
        <v>45443</v>
      </c>
      <c r="D242" s="3562">
        <v>25</v>
      </c>
      <c r="E242" s="3614">
        <v>46212</v>
      </c>
      <c r="F242" s="3614">
        <v>45483</v>
      </c>
      <c r="G242" s="3613">
        <v>45483</v>
      </c>
      <c r="H242" s="3595">
        <v>440</v>
      </c>
      <c r="I242" s="3595">
        <v>16280</v>
      </c>
      <c r="J242" s="3595">
        <v>16280</v>
      </c>
      <c r="K242" s="3592" t="s">
        <v>4164</v>
      </c>
      <c r="L242" s="3594">
        <v>45443</v>
      </c>
      <c r="M242" s="3594">
        <v>45513</v>
      </c>
      <c r="N242" s="3751" t="s">
        <v>3806</v>
      </c>
      <c r="O242" s="3627" t="s">
        <v>4161</v>
      </c>
      <c r="P242" s="3591">
        <v>0.1</v>
      </c>
      <c r="Q242" s="3563"/>
      <c r="R242" s="3563"/>
      <c r="S242" s="3563"/>
      <c r="T242" s="3552"/>
    </row>
    <row r="243" spans="1:21" ht="25.5">
      <c r="A243" s="3572"/>
      <c r="B243" s="3740"/>
      <c r="C243" s="3778"/>
      <c r="D243" s="3572"/>
      <c r="E243" s="3572"/>
      <c r="F243" s="3572"/>
      <c r="G243" s="3740"/>
      <c r="H243" s="3563">
        <v>440</v>
      </c>
      <c r="I243" s="3563">
        <v>16280</v>
      </c>
      <c r="J243" s="3563">
        <v>179392.21917808201</v>
      </c>
      <c r="K243" s="3552" t="s">
        <v>4163</v>
      </c>
      <c r="L243" s="3612">
        <v>45514</v>
      </c>
      <c r="M243" s="3612">
        <v>45847</v>
      </c>
      <c r="N243" s="3602">
        <v>0</v>
      </c>
      <c r="O243" s="3619" t="s">
        <v>4161</v>
      </c>
      <c r="P243" s="3618">
        <v>0.1</v>
      </c>
      <c r="Q243" s="3563"/>
      <c r="R243" s="3563"/>
      <c r="S243" s="3563"/>
      <c r="T243" s="3563"/>
    </row>
    <row r="244" spans="1:21" ht="25.5">
      <c r="A244" s="3561"/>
      <c r="B244" s="3737"/>
      <c r="C244" s="3777"/>
      <c r="D244" s="3561"/>
      <c r="E244" s="3561"/>
      <c r="F244" s="3561"/>
      <c r="G244" s="3737"/>
      <c r="H244" s="3563">
        <v>470</v>
      </c>
      <c r="I244" s="3563">
        <v>17390</v>
      </c>
      <c r="J244" s="3563">
        <v>209013.50684931499</v>
      </c>
      <c r="K244" s="3552" t="s">
        <v>4162</v>
      </c>
      <c r="L244" s="3612">
        <v>45848</v>
      </c>
      <c r="M244" s="3612">
        <v>46212</v>
      </c>
      <c r="N244" s="3602">
        <v>0</v>
      </c>
      <c r="O244" s="3619" t="s">
        <v>4161</v>
      </c>
      <c r="P244" s="3618">
        <v>0.1</v>
      </c>
      <c r="Q244" s="3563"/>
      <c r="R244" s="3563"/>
      <c r="S244" s="3563"/>
      <c r="T244" s="3563"/>
      <c r="U244" s="3590">
        <f>I244</f>
        <v>17390</v>
      </c>
    </row>
    <row r="245" spans="1:21" ht="25.5">
      <c r="A245" s="3650" t="s">
        <v>4160</v>
      </c>
      <c r="B245" s="3650">
        <v>210.18</v>
      </c>
      <c r="C245" s="3711">
        <v>44185</v>
      </c>
      <c r="D245" s="3636">
        <v>36</v>
      </c>
      <c r="E245" s="3701">
        <v>45324</v>
      </c>
      <c r="F245" s="3701">
        <v>44230</v>
      </c>
      <c r="G245" s="3700">
        <v>44230</v>
      </c>
      <c r="H245" s="3631">
        <v>150</v>
      </c>
      <c r="I245" s="3631">
        <v>31527</v>
      </c>
      <c r="J245" s="3631">
        <v>378324</v>
      </c>
      <c r="K245" s="3634" t="s">
        <v>4159</v>
      </c>
      <c r="L245" s="3690">
        <v>44230</v>
      </c>
      <c r="M245" s="3690">
        <v>44594</v>
      </c>
      <c r="N245" s="3602">
        <v>0</v>
      </c>
      <c r="O245" s="3634"/>
      <c r="P245" s="3710">
        <v>0.03</v>
      </c>
      <c r="Q245" s="3563"/>
      <c r="R245" s="3563"/>
      <c r="S245" s="3563"/>
      <c r="T245" s="3563"/>
    </row>
    <row r="246" spans="1:21" ht="25.5">
      <c r="A246" s="3645"/>
      <c r="B246" s="3645"/>
      <c r="C246" s="3711"/>
      <c r="D246" s="3636"/>
      <c r="E246" s="3701"/>
      <c r="F246" s="3701"/>
      <c r="G246" s="3700"/>
      <c r="H246" s="3631">
        <v>160</v>
      </c>
      <c r="I246" s="3631">
        <v>33628.800000000003</v>
      </c>
      <c r="J246" s="3631">
        <v>403545.59999999998</v>
      </c>
      <c r="K246" s="3634" t="s">
        <v>4158</v>
      </c>
      <c r="L246" s="3690">
        <v>44595</v>
      </c>
      <c r="M246" s="3690">
        <v>44959</v>
      </c>
      <c r="N246" s="3602">
        <v>0</v>
      </c>
      <c r="O246" s="3634"/>
      <c r="P246" s="3710">
        <v>3.5000000000000003E-2</v>
      </c>
      <c r="Q246" s="3563"/>
      <c r="R246" s="3563"/>
      <c r="S246" s="3563"/>
      <c r="T246" s="3563"/>
    </row>
    <row r="247" spans="1:21" ht="25.5">
      <c r="A247" s="3645"/>
      <c r="B247" s="3645"/>
      <c r="C247" s="3711"/>
      <c r="D247" s="3636"/>
      <c r="E247" s="3701"/>
      <c r="F247" s="3701"/>
      <c r="G247" s="3700"/>
      <c r="H247" s="3563">
        <v>170</v>
      </c>
      <c r="I247" s="3563">
        <v>35730.6</v>
      </c>
      <c r="J247" s="3563">
        <v>428767.2</v>
      </c>
      <c r="K247" s="3552" t="s">
        <v>4157</v>
      </c>
      <c r="L247" s="3612">
        <v>44960</v>
      </c>
      <c r="M247" s="3612">
        <v>45324</v>
      </c>
      <c r="N247" s="3602">
        <v>0</v>
      </c>
      <c r="O247" s="3552"/>
      <c r="P247" s="3618">
        <v>0.04</v>
      </c>
      <c r="Q247" s="3637">
        <v>10</v>
      </c>
      <c r="R247" s="3637">
        <v>850</v>
      </c>
      <c r="S247" s="3637"/>
      <c r="T247" s="3636"/>
    </row>
    <row r="248" spans="1:21" ht="25.5">
      <c r="A248" s="3645"/>
      <c r="B248" s="3645"/>
      <c r="C248" s="3707">
        <v>45325</v>
      </c>
      <c r="D248" s="3634">
        <v>3</v>
      </c>
      <c r="E248" s="3690">
        <v>45412</v>
      </c>
      <c r="F248" s="3690">
        <v>45325</v>
      </c>
      <c r="G248" s="3689">
        <v>45325</v>
      </c>
      <c r="H248" s="3563">
        <v>170</v>
      </c>
      <c r="I248" s="3563">
        <v>35730.6</v>
      </c>
      <c r="J248" s="3563">
        <v>103178.22575342499</v>
      </c>
      <c r="K248" s="3552" t="s">
        <v>4109</v>
      </c>
      <c r="L248" s="3612">
        <v>45325</v>
      </c>
      <c r="M248" s="3612">
        <v>45412</v>
      </c>
      <c r="N248" s="3620">
        <v>0</v>
      </c>
      <c r="O248" s="3619" t="s">
        <v>4156</v>
      </c>
      <c r="P248" s="3618">
        <v>0.04</v>
      </c>
      <c r="Q248" s="3637"/>
      <c r="R248" s="3637"/>
      <c r="S248" s="3637"/>
      <c r="T248" s="3636"/>
    </row>
    <row r="249" spans="1:21" ht="25.5">
      <c r="A249" s="3645"/>
      <c r="B249" s="3645"/>
      <c r="C249" s="3707">
        <v>45413</v>
      </c>
      <c r="D249" s="3634">
        <v>12</v>
      </c>
      <c r="E249" s="3690">
        <v>45777</v>
      </c>
      <c r="F249" s="3690">
        <v>45413</v>
      </c>
      <c r="G249" s="3689">
        <v>45413</v>
      </c>
      <c r="H249" s="3595">
        <v>170</v>
      </c>
      <c r="I249" s="3595">
        <v>35730.6</v>
      </c>
      <c r="J249" s="3595">
        <v>428767.2</v>
      </c>
      <c r="K249" s="3592" t="s">
        <v>4107</v>
      </c>
      <c r="L249" s="3594">
        <v>45413</v>
      </c>
      <c r="M249" s="3594">
        <v>45777</v>
      </c>
      <c r="N249" s="3593">
        <v>35730.6</v>
      </c>
      <c r="O249" s="3627" t="s">
        <v>4156</v>
      </c>
      <c r="P249" s="3591">
        <v>0.04</v>
      </c>
      <c r="Q249" s="3637"/>
      <c r="R249" s="3637"/>
      <c r="S249" s="3637"/>
      <c r="T249" s="3636"/>
    </row>
    <row r="250" spans="1:21" ht="25.5">
      <c r="A250" s="3639"/>
      <c r="B250" s="3639"/>
      <c r="C250" s="3707"/>
      <c r="D250" s="3634"/>
      <c r="E250" s="3690"/>
      <c r="F250" s="3690"/>
      <c r="G250" s="3689"/>
      <c r="H250" s="3595">
        <v>172.3</v>
      </c>
      <c r="I250" s="3595">
        <v>36214.014000000003</v>
      </c>
      <c r="J250" s="3595">
        <v>434568.16800000001</v>
      </c>
      <c r="K250" s="3592" t="s">
        <v>4155</v>
      </c>
      <c r="L250" s="3594"/>
      <c r="M250" s="3594"/>
      <c r="N250" s="3593"/>
      <c r="O250" s="3627"/>
      <c r="P250" s="3591">
        <v>0.04</v>
      </c>
      <c r="Q250" s="3631"/>
      <c r="R250" s="3631"/>
      <c r="S250" s="3631"/>
      <c r="T250" s="3634"/>
      <c r="U250" s="3590">
        <f>I250</f>
        <v>36214.014000000003</v>
      </c>
    </row>
    <row r="251" spans="1:21" ht="25.5">
      <c r="A251" s="3552"/>
      <c r="B251" s="3728">
        <v>75.28</v>
      </c>
      <c r="C251" s="3655">
        <v>45748</v>
      </c>
      <c r="D251" s="3552"/>
      <c r="E251" s="3612">
        <v>46112</v>
      </c>
      <c r="F251" s="3655">
        <v>45748</v>
      </c>
      <c r="G251" s="3655">
        <v>45748</v>
      </c>
      <c r="H251" s="3563">
        <v>90</v>
      </c>
      <c r="I251" s="3563">
        <v>6775.2</v>
      </c>
      <c r="J251" s="3563">
        <v>81302.399999999994</v>
      </c>
      <c r="K251" s="3552" t="s">
        <v>3896</v>
      </c>
      <c r="L251" s="3612"/>
      <c r="M251" s="3612"/>
      <c r="N251" s="3620"/>
      <c r="O251" s="3552"/>
      <c r="P251" s="3618">
        <v>0.14000000000000001</v>
      </c>
      <c r="Q251" s="3631"/>
      <c r="R251" s="3631"/>
      <c r="S251" s="3631"/>
      <c r="T251" s="3634"/>
      <c r="U251" s="3590">
        <f>I251</f>
        <v>6775.2</v>
      </c>
    </row>
    <row r="252" spans="1:21" ht="25.5">
      <c r="A252" s="3570" t="s">
        <v>4154</v>
      </c>
      <c r="B252" s="3664">
        <v>384.6</v>
      </c>
      <c r="C252" s="3624">
        <v>43616</v>
      </c>
      <c r="D252" s="3564">
        <v>48</v>
      </c>
      <c r="E252" s="3599">
        <v>45076</v>
      </c>
      <c r="F252" s="3599">
        <v>43676</v>
      </c>
      <c r="G252" s="3598">
        <v>43676</v>
      </c>
      <c r="H252" s="3551">
        <v>115</v>
      </c>
      <c r="I252" s="3551">
        <v>44229</v>
      </c>
      <c r="J252" s="3551">
        <v>444592.33150684898</v>
      </c>
      <c r="K252" s="3550" t="s">
        <v>4153</v>
      </c>
      <c r="L252" s="3603">
        <v>43676</v>
      </c>
      <c r="M252" s="3603">
        <v>43981</v>
      </c>
      <c r="N252" s="3602">
        <v>0</v>
      </c>
      <c r="O252" s="3550"/>
      <c r="P252" s="3585">
        <v>0.09</v>
      </c>
      <c r="Q252" s="3631"/>
      <c r="R252" s="3631"/>
      <c r="S252" s="3631"/>
      <c r="T252" s="3634"/>
    </row>
    <row r="253" spans="1:21" ht="25.5">
      <c r="A253" s="3568"/>
      <c r="B253" s="3662"/>
      <c r="C253" s="3624"/>
      <c r="D253" s="3564"/>
      <c r="E253" s="3599"/>
      <c r="F253" s="3599"/>
      <c r="G253" s="3775"/>
      <c r="H253" s="3551">
        <v>115</v>
      </c>
      <c r="I253" s="3551">
        <v>44229</v>
      </c>
      <c r="J253" s="3551">
        <v>531596.22739726002</v>
      </c>
      <c r="K253" s="3550" t="s">
        <v>4152</v>
      </c>
      <c r="L253" s="3603">
        <v>43982</v>
      </c>
      <c r="M253" s="3603">
        <v>44346</v>
      </c>
      <c r="N253" s="3602">
        <v>0</v>
      </c>
      <c r="O253" s="3550"/>
      <c r="P253" s="3585">
        <v>0.1</v>
      </c>
      <c r="Q253" s="3631">
        <v>0</v>
      </c>
      <c r="R253" s="3631"/>
      <c r="S253" s="3631"/>
      <c r="T253" s="3634"/>
    </row>
    <row r="254" spans="1:21" ht="25.5">
      <c r="A254" s="3568"/>
      <c r="B254" s="3662"/>
      <c r="C254" s="3624"/>
      <c r="D254" s="3564"/>
      <c r="E254" s="3599"/>
      <c r="F254" s="3599"/>
      <c r="G254" s="3775"/>
      <c r="H254" s="3551">
        <v>125</v>
      </c>
      <c r="I254" s="3551">
        <v>48075</v>
      </c>
      <c r="J254" s="3551">
        <v>577821.98630136997</v>
      </c>
      <c r="K254" s="3550" t="s">
        <v>4151</v>
      </c>
      <c r="L254" s="3603">
        <v>44347</v>
      </c>
      <c r="M254" s="3603">
        <v>44711</v>
      </c>
      <c r="N254" s="3602">
        <v>0</v>
      </c>
      <c r="O254" s="3550"/>
      <c r="P254" s="3585">
        <v>0.11</v>
      </c>
      <c r="Q254" s="3631"/>
      <c r="R254" s="3631"/>
      <c r="S254" s="3631"/>
      <c r="T254" s="3634"/>
    </row>
    <row r="255" spans="1:21" ht="25.5">
      <c r="A255" s="3568"/>
      <c r="B255" s="3662"/>
      <c r="C255" s="3624"/>
      <c r="D255" s="3564"/>
      <c r="E255" s="3599"/>
      <c r="F255" s="3599"/>
      <c r="G255" s="3775"/>
      <c r="H255" s="3551">
        <v>135</v>
      </c>
      <c r="I255" s="3551">
        <v>51921</v>
      </c>
      <c r="J255" s="3551">
        <v>624047.74520547898</v>
      </c>
      <c r="K255" s="3550" t="s">
        <v>4150</v>
      </c>
      <c r="L255" s="3603">
        <v>44712</v>
      </c>
      <c r="M255" s="3603">
        <v>45076</v>
      </c>
      <c r="N255" s="3602">
        <v>0</v>
      </c>
      <c r="O255" s="3550"/>
      <c r="P255" s="3585">
        <v>0.12</v>
      </c>
      <c r="Q255" s="3643"/>
      <c r="R255" s="3643"/>
      <c r="S255" s="3643"/>
      <c r="T255" s="3776"/>
    </row>
    <row r="256" spans="1:21" ht="25.5">
      <c r="A256" s="3568"/>
      <c r="B256" s="3662"/>
      <c r="C256" s="3617">
        <v>45077</v>
      </c>
      <c r="D256" s="3550"/>
      <c r="E256" s="3603">
        <v>45442</v>
      </c>
      <c r="F256" s="3603">
        <v>45077</v>
      </c>
      <c r="G256" s="3616">
        <v>45077</v>
      </c>
      <c r="H256" s="3563">
        <v>150</v>
      </c>
      <c r="I256" s="3563">
        <v>57690</v>
      </c>
      <c r="J256" s="3563">
        <v>640279.97260274005</v>
      </c>
      <c r="K256" s="3552" t="s">
        <v>4149</v>
      </c>
      <c r="L256" s="3612">
        <v>45077</v>
      </c>
      <c r="M256" s="3612">
        <v>45442</v>
      </c>
      <c r="N256" s="3620">
        <v>0</v>
      </c>
      <c r="O256" s="3619" t="s">
        <v>4147</v>
      </c>
      <c r="P256" s="3618">
        <v>0.13</v>
      </c>
      <c r="Q256" s="3643"/>
      <c r="R256" s="3643"/>
      <c r="S256" s="3643"/>
      <c r="T256" s="3776"/>
    </row>
    <row r="257" spans="1:21" ht="25.5">
      <c r="A257" s="3567"/>
      <c r="B257" s="3659"/>
      <c r="C257" s="3617">
        <v>45443</v>
      </c>
      <c r="D257" s="3550"/>
      <c r="E257" s="3603">
        <v>45626</v>
      </c>
      <c r="F257" s="3603">
        <v>45443</v>
      </c>
      <c r="G257" s="3616">
        <v>45443</v>
      </c>
      <c r="H257" s="3595">
        <v>100</v>
      </c>
      <c r="I257" s="3595">
        <v>38460</v>
      </c>
      <c r="J257" s="3595">
        <v>232024.438356164</v>
      </c>
      <c r="K257" s="3592" t="s">
        <v>4148</v>
      </c>
      <c r="L257" s="3594">
        <v>45443</v>
      </c>
      <c r="M257" s="3594">
        <v>45626</v>
      </c>
      <c r="N257" s="3593">
        <v>38460</v>
      </c>
      <c r="O257" s="3627" t="s">
        <v>4147</v>
      </c>
      <c r="P257" s="3591">
        <v>0.13</v>
      </c>
      <c r="Q257" s="3643"/>
      <c r="R257" s="3643"/>
      <c r="S257" s="3643"/>
      <c r="T257" s="3776"/>
      <c r="U257" s="3590">
        <f>I257</f>
        <v>38460</v>
      </c>
    </row>
    <row r="258" spans="1:21" ht="25.5">
      <c r="A258" s="3570" t="s">
        <v>4146</v>
      </c>
      <c r="B258" s="3570">
        <v>215.74</v>
      </c>
      <c r="C258" s="3624">
        <v>43363</v>
      </c>
      <c r="D258" s="3564">
        <v>60</v>
      </c>
      <c r="E258" s="3712">
        <v>45188</v>
      </c>
      <c r="F258" s="3599"/>
      <c r="G258" s="3598">
        <v>43433</v>
      </c>
      <c r="H258" s="3551">
        <v>300</v>
      </c>
      <c r="I258" s="3551">
        <v>64722</v>
      </c>
      <c r="J258" s="3551">
        <v>627182.77808219194</v>
      </c>
      <c r="K258" s="3550" t="s">
        <v>4145</v>
      </c>
      <c r="L258" s="3603">
        <v>43433</v>
      </c>
      <c r="M258" s="3603">
        <v>43727</v>
      </c>
      <c r="N258" s="3602">
        <v>0</v>
      </c>
      <c r="O258" s="3550"/>
      <c r="P258" s="3585">
        <v>7.0000000000000007E-2</v>
      </c>
      <c r="Q258" s="3643"/>
      <c r="R258" s="3643"/>
      <c r="S258" s="3631"/>
      <c r="T258" s="3634"/>
    </row>
    <row r="259" spans="1:21" ht="25.5">
      <c r="A259" s="3568"/>
      <c r="B259" s="3568"/>
      <c r="C259" s="3624"/>
      <c r="D259" s="3564"/>
      <c r="E259" s="3599"/>
      <c r="F259" s="3599"/>
      <c r="G259" s="3775"/>
      <c r="H259" s="3551">
        <v>320</v>
      </c>
      <c r="I259" s="3551">
        <v>69036.800000000003</v>
      </c>
      <c r="J259" s="3551">
        <v>827495.89041095902</v>
      </c>
      <c r="K259" s="3550" t="s">
        <v>4144</v>
      </c>
      <c r="L259" s="3603">
        <v>43728</v>
      </c>
      <c r="M259" s="3603">
        <v>44093</v>
      </c>
      <c r="N259" s="3602">
        <v>0</v>
      </c>
      <c r="O259" s="3550"/>
      <c r="P259" s="3585">
        <v>7.0000000000000007E-2</v>
      </c>
      <c r="Q259" s="3643"/>
      <c r="R259" s="3643"/>
      <c r="S259" s="3631"/>
      <c r="T259" s="3634"/>
    </row>
    <row r="260" spans="1:21" ht="25.5">
      <c r="A260" s="3568"/>
      <c r="B260" s="3568"/>
      <c r="C260" s="3624"/>
      <c r="D260" s="3564"/>
      <c r="E260" s="3599"/>
      <c r="F260" s="3599"/>
      <c r="G260" s="3775"/>
      <c r="H260" s="3551">
        <v>340</v>
      </c>
      <c r="I260" s="3551">
        <v>73351.600000000006</v>
      </c>
      <c r="J260" s="3551">
        <v>879214.383561644</v>
      </c>
      <c r="K260" s="3550" t="s">
        <v>4143</v>
      </c>
      <c r="L260" s="3603">
        <v>44094</v>
      </c>
      <c r="M260" s="3603">
        <v>44458</v>
      </c>
      <c r="N260" s="3602">
        <v>0</v>
      </c>
      <c r="O260" s="3550"/>
      <c r="P260" s="3585">
        <v>7.0000000000000007E-2</v>
      </c>
      <c r="Q260" s="3643"/>
      <c r="R260" s="3643"/>
      <c r="S260" s="3631"/>
      <c r="T260" s="3634"/>
    </row>
    <row r="261" spans="1:21" ht="25.5">
      <c r="A261" s="3568"/>
      <c r="B261" s="3568"/>
      <c r="C261" s="3624"/>
      <c r="D261" s="3564"/>
      <c r="E261" s="3599"/>
      <c r="F261" s="3599"/>
      <c r="G261" s="3775"/>
      <c r="H261" s="3551">
        <v>360</v>
      </c>
      <c r="I261" s="3551">
        <v>77666.399999999994</v>
      </c>
      <c r="J261" s="3551">
        <v>930932.87671232899</v>
      </c>
      <c r="K261" s="3550" t="s">
        <v>4142</v>
      </c>
      <c r="L261" s="3603">
        <v>44459</v>
      </c>
      <c r="M261" s="3603">
        <v>44823</v>
      </c>
      <c r="N261" s="3602">
        <v>0</v>
      </c>
      <c r="O261" s="3550"/>
      <c r="P261" s="3585">
        <v>0.08</v>
      </c>
      <c r="Q261" s="3643"/>
      <c r="R261" s="3643"/>
      <c r="S261" s="3631"/>
      <c r="T261" s="3634"/>
    </row>
    <row r="262" spans="1:21" ht="25.5">
      <c r="A262" s="3568"/>
      <c r="B262" s="3568"/>
      <c r="C262" s="3624"/>
      <c r="D262" s="3564"/>
      <c r="E262" s="3599"/>
      <c r="F262" s="3599"/>
      <c r="G262" s="3775"/>
      <c r="H262" s="3551">
        <v>380</v>
      </c>
      <c r="I262" s="3551">
        <v>81981.2</v>
      </c>
      <c r="J262" s="3551">
        <v>982651.36986301397</v>
      </c>
      <c r="K262" s="3550" t="s">
        <v>4141</v>
      </c>
      <c r="L262" s="3603">
        <v>44824</v>
      </c>
      <c r="M262" s="3603">
        <v>45188</v>
      </c>
      <c r="N262" s="3602">
        <v>0</v>
      </c>
      <c r="O262" s="3550"/>
      <c r="P262" s="3585">
        <v>0.08</v>
      </c>
      <c r="Q262" s="3643"/>
      <c r="R262" s="3643"/>
      <c r="S262" s="3631"/>
      <c r="T262" s="3634"/>
    </row>
    <row r="263" spans="1:21" ht="38.25">
      <c r="A263" s="3568"/>
      <c r="B263" s="3568"/>
      <c r="C263" s="3617">
        <v>45189</v>
      </c>
      <c r="D263" s="3550"/>
      <c r="E263" s="3603">
        <v>45554</v>
      </c>
      <c r="F263" s="3603"/>
      <c r="G263" s="3616">
        <v>45189</v>
      </c>
      <c r="H263" s="3595">
        <v>410</v>
      </c>
      <c r="I263" s="3595">
        <v>88453.4</v>
      </c>
      <c r="J263" s="3595">
        <v>1060229.10958904</v>
      </c>
      <c r="K263" s="3592" t="s">
        <v>4140</v>
      </c>
      <c r="L263" s="3594">
        <v>45189</v>
      </c>
      <c r="M263" s="3594">
        <v>45554</v>
      </c>
      <c r="N263" s="3593">
        <v>88453.4</v>
      </c>
      <c r="O263" s="3592" t="s">
        <v>4139</v>
      </c>
      <c r="P263" s="3591">
        <v>0.08</v>
      </c>
      <c r="Q263" s="3643"/>
      <c r="R263" s="3643"/>
      <c r="S263" s="3631"/>
      <c r="T263" s="3634"/>
    </row>
    <row r="264" spans="1:21" ht="25.5">
      <c r="A264" s="3567"/>
      <c r="B264" s="3567"/>
      <c r="C264" s="3617">
        <v>45555</v>
      </c>
      <c r="D264" s="3550"/>
      <c r="E264" s="3603">
        <v>45747</v>
      </c>
      <c r="F264" s="3603"/>
      <c r="G264" s="3616">
        <v>45555</v>
      </c>
      <c r="H264" s="3595">
        <v>410</v>
      </c>
      <c r="I264" s="3595">
        <v>88453.4</v>
      </c>
      <c r="J264" s="3595">
        <v>562709.02684931504</v>
      </c>
      <c r="K264" s="3592" t="s">
        <v>4138</v>
      </c>
      <c r="L264" s="3594">
        <v>45555</v>
      </c>
      <c r="M264" s="3594">
        <v>45747</v>
      </c>
      <c r="N264" s="3593">
        <v>0</v>
      </c>
      <c r="O264" s="3592"/>
      <c r="P264" s="3591">
        <v>0.08</v>
      </c>
      <c r="Q264" s="3683">
        <v>10</v>
      </c>
      <c r="R264" s="3683">
        <v>216.8</v>
      </c>
      <c r="S264" s="3637">
        <v>5203.2</v>
      </c>
      <c r="T264" s="3636"/>
      <c r="U264" s="3590">
        <f>I264</f>
        <v>88453.4</v>
      </c>
    </row>
    <row r="265" spans="1:21" ht="25.5">
      <c r="A265" s="3562" t="s">
        <v>4137</v>
      </c>
      <c r="B265" s="3562">
        <v>46.11</v>
      </c>
      <c r="C265" s="3600" t="s">
        <v>4136</v>
      </c>
      <c r="D265" s="3675">
        <v>36</v>
      </c>
      <c r="E265" s="3674">
        <v>43252</v>
      </c>
      <c r="F265" s="3674"/>
      <c r="G265" s="3673">
        <v>42188</v>
      </c>
      <c r="H265" s="3563">
        <v>450</v>
      </c>
      <c r="I265" s="3563">
        <v>20749.5</v>
      </c>
      <c r="J265" s="3563">
        <v>227960.26</v>
      </c>
      <c r="K265" s="3552" t="s">
        <v>4135</v>
      </c>
      <c r="L265" s="3612">
        <v>42188</v>
      </c>
      <c r="M265" s="3612">
        <v>42522</v>
      </c>
      <c r="N265" s="3602">
        <v>0</v>
      </c>
      <c r="O265" s="3552"/>
      <c r="P265" s="3618">
        <v>0.18</v>
      </c>
      <c r="Q265" s="3678"/>
      <c r="R265" s="3678"/>
      <c r="S265" s="3637"/>
      <c r="T265" s="3636"/>
    </row>
    <row r="266" spans="1:21" ht="25.5">
      <c r="A266" s="3572"/>
      <c r="B266" s="3572"/>
      <c r="C266" s="3600"/>
      <c r="D266" s="3675"/>
      <c r="E266" s="3674"/>
      <c r="F266" s="3674"/>
      <c r="G266" s="3673"/>
      <c r="H266" s="3563">
        <v>480</v>
      </c>
      <c r="I266" s="3563">
        <v>22132.799999999999</v>
      </c>
      <c r="J266" s="3563">
        <v>265290.40999999997</v>
      </c>
      <c r="K266" s="3552" t="s">
        <v>4134</v>
      </c>
      <c r="L266" s="3612">
        <v>42523</v>
      </c>
      <c r="M266" s="3612">
        <v>42887</v>
      </c>
      <c r="N266" s="3602">
        <v>0</v>
      </c>
      <c r="O266" s="3552"/>
      <c r="P266" s="3618">
        <v>0.19</v>
      </c>
      <c r="Q266" s="3678"/>
      <c r="R266" s="3678"/>
      <c r="S266" s="3637"/>
      <c r="T266" s="3636"/>
    </row>
    <row r="267" spans="1:21" ht="25.5">
      <c r="A267" s="3572"/>
      <c r="B267" s="3572"/>
      <c r="C267" s="3600"/>
      <c r="D267" s="3675"/>
      <c r="E267" s="3674"/>
      <c r="F267" s="3674"/>
      <c r="G267" s="3673"/>
      <c r="H267" s="3563">
        <v>520</v>
      </c>
      <c r="I267" s="3563">
        <v>23977.200000000001</v>
      </c>
      <c r="J267" s="3563">
        <v>287397.95</v>
      </c>
      <c r="K267" s="3552" t="s">
        <v>4133</v>
      </c>
      <c r="L267" s="3612">
        <v>42888</v>
      </c>
      <c r="M267" s="3612">
        <v>43252</v>
      </c>
      <c r="N267" s="3602">
        <v>0</v>
      </c>
      <c r="O267" s="3552"/>
      <c r="P267" s="3618">
        <v>0.2</v>
      </c>
      <c r="Q267" s="3678"/>
      <c r="R267" s="3678"/>
      <c r="S267" s="3637"/>
      <c r="T267" s="3636"/>
    </row>
    <row r="268" spans="1:21" ht="25.5">
      <c r="A268" s="3572"/>
      <c r="B268" s="3572"/>
      <c r="C268" s="3655">
        <v>43253</v>
      </c>
      <c r="D268" s="3552">
        <v>6</v>
      </c>
      <c r="E268" s="3612">
        <v>43435</v>
      </c>
      <c r="F268" s="3612"/>
      <c r="G268" s="3654"/>
      <c r="H268" s="3563">
        <v>520</v>
      </c>
      <c r="I268" s="3563">
        <v>23977.200000000001</v>
      </c>
      <c r="J268" s="3563">
        <v>95580.345205479505</v>
      </c>
      <c r="K268" s="3552" t="s">
        <v>4132</v>
      </c>
      <c r="L268" s="3612">
        <v>43253</v>
      </c>
      <c r="M268" s="3612">
        <v>43435</v>
      </c>
      <c r="N268" s="3602">
        <v>0</v>
      </c>
      <c r="O268" s="3552"/>
      <c r="P268" s="3618">
        <v>0.2</v>
      </c>
      <c r="Q268" s="3678"/>
      <c r="R268" s="3678"/>
      <c r="S268" s="3631">
        <v>2605.7578082191799</v>
      </c>
      <c r="T268" s="3634"/>
    </row>
    <row r="269" spans="1:21" ht="25.5">
      <c r="A269" s="3572"/>
      <c r="B269" s="3572"/>
      <c r="C269" s="3655">
        <v>43436</v>
      </c>
      <c r="D269" s="3552">
        <v>3</v>
      </c>
      <c r="E269" s="3612">
        <v>43524</v>
      </c>
      <c r="F269" s="3612"/>
      <c r="G269" s="3654"/>
      <c r="H269" s="3563">
        <v>520</v>
      </c>
      <c r="I269" s="3563">
        <v>23977.200000000001</v>
      </c>
      <c r="J269" s="3563">
        <v>71603.145205479494</v>
      </c>
      <c r="K269" s="3552" t="s">
        <v>4131</v>
      </c>
      <c r="L269" s="3612">
        <v>43436</v>
      </c>
      <c r="M269" s="3612">
        <v>43524</v>
      </c>
      <c r="N269" s="3602">
        <v>0</v>
      </c>
      <c r="O269" s="3552"/>
      <c r="P269" s="3618">
        <v>0.2</v>
      </c>
      <c r="Q269" s="3676"/>
      <c r="R269" s="3676"/>
      <c r="S269" s="3631">
        <v>2605.7578082191799</v>
      </c>
      <c r="T269" s="3634" t="s">
        <v>4130</v>
      </c>
    </row>
    <row r="270" spans="1:21" ht="25.5">
      <c r="A270" s="3572"/>
      <c r="B270" s="3572"/>
      <c r="C270" s="3655">
        <v>43525</v>
      </c>
      <c r="D270" s="3552">
        <v>3</v>
      </c>
      <c r="E270" s="3612">
        <v>43746</v>
      </c>
      <c r="F270" s="3612"/>
      <c r="G270" s="3654"/>
      <c r="H270" s="3563">
        <v>520</v>
      </c>
      <c r="I270" s="3563">
        <v>23977.200000000001</v>
      </c>
      <c r="J270" s="3563">
        <v>174146.73205479499</v>
      </c>
      <c r="K270" s="3552" t="s">
        <v>4129</v>
      </c>
      <c r="L270" s="3612">
        <v>43525</v>
      </c>
      <c r="M270" s="3612">
        <v>43746</v>
      </c>
      <c r="N270" s="3602">
        <v>0</v>
      </c>
      <c r="O270" s="3552"/>
      <c r="P270" s="3618">
        <v>0.2</v>
      </c>
      <c r="Q270" s="3774"/>
      <c r="R270" s="3774"/>
      <c r="S270" s="3631"/>
      <c r="T270" s="3634"/>
    </row>
    <row r="271" spans="1:21" ht="25.5">
      <c r="A271" s="3572"/>
      <c r="B271" s="3572"/>
      <c r="C271" s="3655">
        <v>43747</v>
      </c>
      <c r="D271" s="3552" t="s">
        <v>4128</v>
      </c>
      <c r="E271" s="3612">
        <v>44255</v>
      </c>
      <c r="F271" s="3612"/>
      <c r="G271" s="3654"/>
      <c r="H271" s="3563">
        <v>800</v>
      </c>
      <c r="I271" s="3563">
        <v>36888</v>
      </c>
      <c r="J271" s="3563">
        <v>618101.39178082196</v>
      </c>
      <c r="K271" s="3552" t="s">
        <v>4127</v>
      </c>
      <c r="L271" s="3612">
        <v>43747</v>
      </c>
      <c r="M271" s="3612">
        <v>44255</v>
      </c>
      <c r="N271" s="3602">
        <v>0</v>
      </c>
      <c r="O271" s="3552"/>
      <c r="P271" s="3618">
        <v>0.2</v>
      </c>
      <c r="Q271" s="3558">
        <v>10</v>
      </c>
      <c r="R271" s="3558">
        <v>370</v>
      </c>
      <c r="S271" s="3558">
        <v>9371.6438356164399</v>
      </c>
      <c r="T271" s="3558" t="s">
        <v>4126</v>
      </c>
    </row>
    <row r="272" spans="1:21" ht="25.5">
      <c r="A272" s="3572"/>
      <c r="B272" s="3572"/>
      <c r="C272" s="3655" t="s">
        <v>4125</v>
      </c>
      <c r="D272" s="3552" t="s">
        <v>4124</v>
      </c>
      <c r="E272" s="3612" t="s">
        <v>4123</v>
      </c>
      <c r="F272" s="3612"/>
      <c r="G272" s="3654"/>
      <c r="H272" s="3563">
        <v>800</v>
      </c>
      <c r="I272" s="3563">
        <v>36888</v>
      </c>
      <c r="J272" s="3563">
        <v>147552</v>
      </c>
      <c r="K272" s="3552" t="s">
        <v>4122</v>
      </c>
      <c r="L272" s="3612">
        <v>44256</v>
      </c>
      <c r="M272" s="3612">
        <v>44377</v>
      </c>
      <c r="N272" s="3602">
        <v>0</v>
      </c>
      <c r="O272" s="3552"/>
      <c r="P272" s="3618">
        <v>0.2</v>
      </c>
      <c r="Q272" s="3573"/>
      <c r="R272" s="3573"/>
      <c r="S272" s="3573"/>
      <c r="T272" s="3573"/>
    </row>
    <row r="273" spans="1:21" ht="25.5">
      <c r="A273" s="3572"/>
      <c r="B273" s="3572"/>
      <c r="C273" s="3655" t="s">
        <v>4121</v>
      </c>
      <c r="D273" s="3552" t="s">
        <v>4118</v>
      </c>
      <c r="E273" s="3612" t="s">
        <v>4034</v>
      </c>
      <c r="F273" s="3612"/>
      <c r="G273" s="3654"/>
      <c r="H273" s="3563">
        <v>815</v>
      </c>
      <c r="I273" s="3563">
        <v>37579.65</v>
      </c>
      <c r="J273" s="3563">
        <v>450955.8</v>
      </c>
      <c r="K273" s="3552" t="s">
        <v>4120</v>
      </c>
      <c r="L273" s="3612">
        <v>44378</v>
      </c>
      <c r="M273" s="3612">
        <v>44742</v>
      </c>
      <c r="N273" s="3602">
        <v>0</v>
      </c>
      <c r="O273" s="3552"/>
      <c r="P273" s="3618">
        <v>0.2</v>
      </c>
      <c r="Q273" s="3556"/>
      <c r="R273" s="3556"/>
      <c r="S273" s="3556"/>
      <c r="T273" s="3556"/>
    </row>
    <row r="274" spans="1:21" ht="38.25">
      <c r="A274" s="3572"/>
      <c r="B274" s="3572"/>
      <c r="C274" s="3772" t="s">
        <v>4119</v>
      </c>
      <c r="D274" s="3697" t="s">
        <v>4118</v>
      </c>
      <c r="E274" s="3698" t="s">
        <v>4117</v>
      </c>
      <c r="F274" s="3698"/>
      <c r="G274" s="3771"/>
      <c r="H274" s="3699">
        <v>733.5</v>
      </c>
      <c r="I274" s="3699">
        <v>33821.684999999998</v>
      </c>
      <c r="J274" s="3699">
        <v>270573.48</v>
      </c>
      <c r="K274" s="3697" t="s">
        <v>4116</v>
      </c>
      <c r="L274" s="3698">
        <v>44743</v>
      </c>
      <c r="M274" s="3698">
        <v>44985</v>
      </c>
      <c r="N274" s="3602">
        <v>0</v>
      </c>
      <c r="O274" s="3697"/>
      <c r="P274" s="3773">
        <v>0.2</v>
      </c>
      <c r="Q274" s="3637">
        <v>10</v>
      </c>
      <c r="R274" s="3637">
        <v>2101.8000000000002</v>
      </c>
      <c r="S274" s="3637">
        <v>605318.40000000002</v>
      </c>
      <c r="T274" s="3636" t="s">
        <v>4115</v>
      </c>
    </row>
    <row r="275" spans="1:21" ht="25.5">
      <c r="A275" s="3572"/>
      <c r="B275" s="3572"/>
      <c r="C275" s="3772"/>
      <c r="D275" s="3697"/>
      <c r="E275" s="3698"/>
      <c r="F275" s="3698"/>
      <c r="G275" s="3771"/>
      <c r="H275" s="3699">
        <v>160</v>
      </c>
      <c r="I275" s="3699">
        <v>7377.6</v>
      </c>
      <c r="J275" s="3699">
        <v>22132.799999999999</v>
      </c>
      <c r="K275" s="3697" t="s">
        <v>4114</v>
      </c>
      <c r="L275" s="3698">
        <v>44986</v>
      </c>
      <c r="M275" s="3698">
        <v>45077</v>
      </c>
      <c r="N275" s="3602">
        <v>0</v>
      </c>
      <c r="O275" s="3697"/>
      <c r="P275" s="3773">
        <v>0.2</v>
      </c>
      <c r="Q275" s="3637"/>
      <c r="R275" s="3637"/>
      <c r="S275" s="3637"/>
      <c r="T275" s="3636"/>
    </row>
    <row r="276" spans="1:21" ht="25.5">
      <c r="A276" s="3572"/>
      <c r="B276" s="3572"/>
      <c r="C276" s="3772" t="s">
        <v>4113</v>
      </c>
      <c r="D276" s="3697"/>
      <c r="E276" s="3698"/>
      <c r="F276" s="3698"/>
      <c r="G276" s="3771"/>
      <c r="H276" s="3699">
        <v>160</v>
      </c>
      <c r="I276" s="3699">
        <v>7377.6</v>
      </c>
      <c r="J276" s="3699">
        <v>22132.799999999999</v>
      </c>
      <c r="K276" s="3697" t="s">
        <v>4112</v>
      </c>
      <c r="L276" s="3698">
        <v>45078</v>
      </c>
      <c r="M276" s="3698">
        <v>45169</v>
      </c>
      <c r="N276" s="3602">
        <v>0</v>
      </c>
      <c r="O276" s="3697"/>
      <c r="P276" s="3773">
        <v>0.2</v>
      </c>
      <c r="Q276" s="3637"/>
      <c r="R276" s="3637"/>
      <c r="S276" s="3637"/>
      <c r="T276" s="3636"/>
    </row>
    <row r="277" spans="1:21" ht="25.5">
      <c r="A277" s="3572"/>
      <c r="B277" s="3572"/>
      <c r="C277" s="3772">
        <v>45170</v>
      </c>
      <c r="D277" s="3697">
        <v>12</v>
      </c>
      <c r="E277" s="3698">
        <v>45535</v>
      </c>
      <c r="F277" s="3698"/>
      <c r="G277" s="3771"/>
      <c r="H277" s="3696">
        <v>200</v>
      </c>
      <c r="I277" s="3696">
        <v>9222</v>
      </c>
      <c r="J277" s="3696">
        <v>110664</v>
      </c>
      <c r="K277" s="3694" t="s">
        <v>4111</v>
      </c>
      <c r="L277" s="3695">
        <v>45170</v>
      </c>
      <c r="M277" s="3695">
        <v>45535</v>
      </c>
      <c r="N277" s="3593">
        <v>9222</v>
      </c>
      <c r="O277" s="3694" t="s">
        <v>4110</v>
      </c>
      <c r="P277" s="3693">
        <v>0.2</v>
      </c>
      <c r="Q277" s="3631">
        <v>10</v>
      </c>
      <c r="R277" s="3631">
        <v>2101.8000000000002</v>
      </c>
      <c r="S277" s="3563">
        <v>6069.3073972602697</v>
      </c>
      <c r="T277" s="3552" t="s">
        <v>4109</v>
      </c>
    </row>
    <row r="278" spans="1:21" ht="25.5">
      <c r="A278" s="3572"/>
      <c r="B278" s="3572"/>
      <c r="C278" s="3772">
        <v>45536</v>
      </c>
      <c r="D278" s="3697"/>
      <c r="E278" s="3698">
        <v>45747</v>
      </c>
      <c r="F278" s="3698"/>
      <c r="G278" s="3771"/>
      <c r="H278" s="3696">
        <v>260</v>
      </c>
      <c r="I278" s="3696">
        <v>11988.6</v>
      </c>
      <c r="J278" s="3696">
        <v>83920.2</v>
      </c>
      <c r="K278" s="3694" t="s">
        <v>4108</v>
      </c>
      <c r="L278" s="3695">
        <v>45536</v>
      </c>
      <c r="M278" s="3695">
        <v>45747</v>
      </c>
      <c r="N278" s="3593"/>
      <c r="O278" s="3694"/>
      <c r="P278" s="3693">
        <v>0.2</v>
      </c>
      <c r="Q278" s="3631">
        <v>10</v>
      </c>
      <c r="R278" s="3631">
        <v>2101.8000000000002</v>
      </c>
      <c r="S278" s="3563">
        <v>25221.599999999999</v>
      </c>
      <c r="T278" s="3552" t="s">
        <v>4107</v>
      </c>
    </row>
    <row r="279" spans="1:21" ht="25.5">
      <c r="A279" s="3561"/>
      <c r="B279" s="3561"/>
      <c r="C279" s="3772"/>
      <c r="D279" s="3697"/>
      <c r="E279" s="3698"/>
      <c r="F279" s="3698"/>
      <c r="G279" s="3771"/>
      <c r="H279" s="3696">
        <v>260</v>
      </c>
      <c r="I279" s="3696">
        <v>11988.6</v>
      </c>
      <c r="J279" s="3696">
        <v>35965.800000000003</v>
      </c>
      <c r="K279" s="3694" t="s">
        <v>4106</v>
      </c>
      <c r="L279" s="3695"/>
      <c r="M279" s="3695"/>
      <c r="N279" s="3593"/>
      <c r="O279" s="3694"/>
      <c r="P279" s="3693">
        <v>0.2</v>
      </c>
      <c r="Q279" s="3631"/>
      <c r="R279" s="3631"/>
      <c r="S279" s="3563"/>
      <c r="T279" s="3552"/>
      <c r="U279" s="3590">
        <f>I279</f>
        <v>11988.6</v>
      </c>
    </row>
    <row r="280" spans="1:21" ht="25.5">
      <c r="A280" s="3770" t="s">
        <v>4105</v>
      </c>
      <c r="B280" s="3770">
        <v>26.53</v>
      </c>
      <c r="C280" s="3600">
        <v>44740</v>
      </c>
      <c r="D280" s="3675">
        <v>24</v>
      </c>
      <c r="E280" s="3674">
        <v>45470</v>
      </c>
      <c r="F280" s="3674" t="s">
        <v>4104</v>
      </c>
      <c r="G280" s="3673" t="s">
        <v>4104</v>
      </c>
      <c r="H280" s="3563">
        <v>950</v>
      </c>
      <c r="I280" s="3563">
        <v>25203.5</v>
      </c>
      <c r="J280" s="3563">
        <v>25203.5</v>
      </c>
      <c r="K280" s="3552" t="s">
        <v>4103</v>
      </c>
      <c r="L280" s="3612">
        <v>44740</v>
      </c>
      <c r="M280" s="3612">
        <v>44800</v>
      </c>
      <c r="N280" s="3602">
        <v>0</v>
      </c>
      <c r="O280" s="3552"/>
      <c r="P280" s="3618">
        <v>0.04</v>
      </c>
      <c r="Q280" s="3563"/>
      <c r="R280" s="3563"/>
      <c r="S280" s="3554"/>
      <c r="T280" s="3563"/>
    </row>
    <row r="281" spans="1:21" ht="38.25">
      <c r="A281" s="3769"/>
      <c r="B281" s="3769"/>
      <c r="C281" s="3600"/>
      <c r="D281" s="3675"/>
      <c r="E281" s="3674"/>
      <c r="F281" s="3674"/>
      <c r="G281" s="3673"/>
      <c r="H281" s="3563">
        <v>950</v>
      </c>
      <c r="I281" s="3563">
        <v>25203.5</v>
      </c>
      <c r="J281" s="3563">
        <v>255349.432876712</v>
      </c>
      <c r="K281" s="3552" t="s">
        <v>4102</v>
      </c>
      <c r="L281" s="3612">
        <v>44801</v>
      </c>
      <c r="M281" s="3612">
        <v>45107</v>
      </c>
      <c r="N281" s="3602">
        <v>0</v>
      </c>
      <c r="O281" s="3552"/>
      <c r="P281" s="3618">
        <v>0.04</v>
      </c>
      <c r="Q281" s="3565">
        <v>10</v>
      </c>
      <c r="R281" s="3565">
        <v>3846</v>
      </c>
      <c r="S281" s="3565"/>
      <c r="T281" s="3565" t="s">
        <v>3779</v>
      </c>
    </row>
    <row r="282" spans="1:21" ht="25.5">
      <c r="A282" s="3769"/>
      <c r="B282" s="3769"/>
      <c r="C282" s="3600"/>
      <c r="D282" s="3675"/>
      <c r="E282" s="3674"/>
      <c r="F282" s="3674"/>
      <c r="G282" s="3673"/>
      <c r="H282" s="3563">
        <v>570</v>
      </c>
      <c r="I282" s="3563">
        <v>15122.1</v>
      </c>
      <c r="J282" s="3563">
        <v>45366.3</v>
      </c>
      <c r="K282" s="3552" t="s">
        <v>4101</v>
      </c>
      <c r="L282" s="3612">
        <v>45108</v>
      </c>
      <c r="M282" s="3612">
        <v>45199</v>
      </c>
      <c r="N282" s="3602">
        <v>0</v>
      </c>
      <c r="O282" s="3552"/>
      <c r="P282" s="3618">
        <v>0.04</v>
      </c>
      <c r="Q282" s="3565"/>
      <c r="R282" s="3565"/>
      <c r="S282" s="3565"/>
      <c r="T282" s="3565"/>
    </row>
    <row r="283" spans="1:21" ht="51">
      <c r="A283" s="3769"/>
      <c r="B283" s="3769"/>
      <c r="C283" s="3600"/>
      <c r="D283" s="3675"/>
      <c r="E283" s="3674"/>
      <c r="F283" s="3674"/>
      <c r="G283" s="3673"/>
      <c r="H283" s="3563">
        <v>1000</v>
      </c>
      <c r="I283" s="3563">
        <v>26530</v>
      </c>
      <c r="J283" s="3563">
        <v>265808.79452054802</v>
      </c>
      <c r="K283" s="3552" t="s">
        <v>4100</v>
      </c>
      <c r="L283" s="3612">
        <v>45200</v>
      </c>
      <c r="M283" s="3612">
        <v>45291</v>
      </c>
      <c r="N283" s="3602">
        <v>0</v>
      </c>
      <c r="O283" s="3552"/>
      <c r="P283" s="3618">
        <v>0.05</v>
      </c>
      <c r="Q283" s="3565"/>
      <c r="R283" s="3565"/>
      <c r="S283" s="3565"/>
      <c r="T283" s="3565"/>
    </row>
    <row r="284" spans="1:21" ht="25.5">
      <c r="A284" s="3769"/>
      <c r="B284" s="3769"/>
      <c r="C284" s="3655"/>
      <c r="D284" s="3552"/>
      <c r="E284" s="3612"/>
      <c r="F284" s="3612"/>
      <c r="G284" s="3654"/>
      <c r="H284" s="3595">
        <v>600</v>
      </c>
      <c r="I284" s="3595">
        <v>15918</v>
      </c>
      <c r="J284" s="3595">
        <v>93719.950684931493</v>
      </c>
      <c r="K284" s="3592" t="s">
        <v>4099</v>
      </c>
      <c r="L284" s="3594">
        <v>45292</v>
      </c>
      <c r="M284" s="3594">
        <v>45470</v>
      </c>
      <c r="N284" s="3593">
        <v>0</v>
      </c>
      <c r="O284" s="3627" t="s">
        <v>4098</v>
      </c>
      <c r="P284" s="3591">
        <v>0.05</v>
      </c>
      <c r="Q284" s="3565"/>
      <c r="R284" s="3565"/>
      <c r="S284" s="3565"/>
      <c r="T284" s="3565"/>
    </row>
    <row r="285" spans="1:21" ht="25.5">
      <c r="A285" s="3769"/>
      <c r="B285" s="3769"/>
      <c r="C285" s="3655"/>
      <c r="D285" s="3552"/>
      <c r="E285" s="3612"/>
      <c r="F285" s="3612"/>
      <c r="G285" s="3654"/>
      <c r="H285" s="3595">
        <v>600</v>
      </c>
      <c r="I285" s="3595">
        <v>15918</v>
      </c>
      <c r="J285" s="3595">
        <v>47535.945205479497</v>
      </c>
      <c r="K285" s="3592" t="s">
        <v>4097</v>
      </c>
      <c r="L285" s="3594">
        <v>45471</v>
      </c>
      <c r="M285" s="3594">
        <v>45562</v>
      </c>
      <c r="N285" s="3593">
        <v>15918</v>
      </c>
      <c r="O285" s="3627"/>
      <c r="P285" s="3591"/>
      <c r="Q285" s="3551"/>
      <c r="R285" s="3551"/>
      <c r="S285" s="3551"/>
      <c r="T285" s="3551"/>
    </row>
    <row r="286" spans="1:21" ht="25.5">
      <c r="A286" s="3769"/>
      <c r="B286" s="3769"/>
      <c r="C286" s="3655"/>
      <c r="D286" s="3552"/>
      <c r="E286" s="3612"/>
      <c r="F286" s="3612"/>
      <c r="G286" s="3654"/>
      <c r="H286" s="3595">
        <v>600</v>
      </c>
      <c r="I286" s="3595">
        <v>15918</v>
      </c>
      <c r="J286" s="3595">
        <v>95289.945205479497</v>
      </c>
      <c r="K286" s="3592" t="s">
        <v>4096</v>
      </c>
      <c r="L286" s="3594">
        <v>45563</v>
      </c>
      <c r="M286" s="3594">
        <v>45743</v>
      </c>
      <c r="N286" s="3593">
        <v>0</v>
      </c>
      <c r="O286" s="3627"/>
      <c r="P286" s="3591">
        <v>0.05</v>
      </c>
      <c r="Q286" s="3551">
        <v>10</v>
      </c>
      <c r="R286" s="3551">
        <v>3846</v>
      </c>
      <c r="S286" s="3551"/>
      <c r="T286" s="3551"/>
    </row>
    <row r="287" spans="1:21" ht="25.5">
      <c r="A287" s="3768"/>
      <c r="B287" s="3768"/>
      <c r="C287" s="3655"/>
      <c r="D287" s="3552"/>
      <c r="E287" s="3612"/>
      <c r="F287" s="3612"/>
      <c r="G287" s="3654"/>
      <c r="H287" s="3595">
        <v>600</v>
      </c>
      <c r="I287" s="3595">
        <v>15918</v>
      </c>
      <c r="J287" s="3595">
        <v>191321.27671232901</v>
      </c>
      <c r="K287" s="3592" t="s">
        <v>4095</v>
      </c>
      <c r="L287" s="3594"/>
      <c r="M287" s="3594"/>
      <c r="N287" s="3593"/>
      <c r="O287" s="3627"/>
      <c r="P287" s="3591">
        <v>0.05</v>
      </c>
      <c r="Q287" s="3551"/>
      <c r="R287" s="3551"/>
      <c r="S287" s="3551"/>
      <c r="T287" s="3551"/>
      <c r="U287" s="3590">
        <f>I287</f>
        <v>15918</v>
      </c>
    </row>
    <row r="288" spans="1:21" ht="25.5">
      <c r="A288" s="3562" t="s">
        <v>4094</v>
      </c>
      <c r="B288" s="3767">
        <v>67.8</v>
      </c>
      <c r="C288" s="3614">
        <v>45823</v>
      </c>
      <c r="D288" s="3562"/>
      <c r="E288" s="3614">
        <v>46963</v>
      </c>
      <c r="F288" s="3614">
        <v>45823</v>
      </c>
      <c r="G288" s="3614">
        <v>45823</v>
      </c>
      <c r="H288" s="3563">
        <v>342</v>
      </c>
      <c r="I288" s="3563">
        <v>23187.599999999999</v>
      </c>
      <c r="J288" s="3563">
        <v>23187.599999999999</v>
      </c>
      <c r="K288" s="3552" t="s">
        <v>4093</v>
      </c>
      <c r="L288" s="3612"/>
      <c r="M288" s="3612"/>
      <c r="N288" s="3620"/>
      <c r="O288" s="3619"/>
      <c r="P288" s="3618">
        <v>0.11</v>
      </c>
      <c r="Q288" s="3565">
        <v>10</v>
      </c>
      <c r="R288" s="3565">
        <v>2157.4</v>
      </c>
      <c r="S288" s="3565"/>
      <c r="T288" s="3565" t="s">
        <v>3779</v>
      </c>
      <c r="U288" s="3590">
        <f>I288</f>
        <v>23187.599999999999</v>
      </c>
    </row>
    <row r="289" spans="1:21" ht="25.5">
      <c r="A289" s="3572"/>
      <c r="B289" s="3766"/>
      <c r="C289" s="3572"/>
      <c r="D289" s="3572"/>
      <c r="E289" s="3572"/>
      <c r="F289" s="3572"/>
      <c r="G289" s="3572"/>
      <c r="H289" s="3563">
        <v>342</v>
      </c>
      <c r="I289" s="3563">
        <v>23187.599999999999</v>
      </c>
      <c r="J289" s="3563">
        <v>255508.29369863</v>
      </c>
      <c r="K289" s="3552" t="s">
        <v>4092</v>
      </c>
      <c r="L289" s="3612"/>
      <c r="M289" s="3612"/>
      <c r="N289" s="3620"/>
      <c r="O289" s="3619"/>
      <c r="P289" s="3618">
        <v>0.11</v>
      </c>
      <c r="Q289" s="3565"/>
      <c r="R289" s="3565"/>
      <c r="S289" s="3565"/>
      <c r="T289" s="3565"/>
    </row>
    <row r="290" spans="1:21" ht="25.5">
      <c r="A290" s="3572"/>
      <c r="B290" s="3766"/>
      <c r="C290" s="3572"/>
      <c r="D290" s="3572"/>
      <c r="E290" s="3572"/>
      <c r="F290" s="3572"/>
      <c r="G290" s="3572"/>
      <c r="H290" s="3563">
        <v>365</v>
      </c>
      <c r="I290" s="3563">
        <v>24747</v>
      </c>
      <c r="J290" s="3563">
        <v>297438.59999999998</v>
      </c>
      <c r="K290" s="3552" t="s">
        <v>4091</v>
      </c>
      <c r="L290" s="3612"/>
      <c r="M290" s="3612"/>
      <c r="N290" s="3620"/>
      <c r="O290" s="3619"/>
      <c r="P290" s="3618">
        <v>0.12</v>
      </c>
      <c r="Q290" s="3565"/>
      <c r="R290" s="3565"/>
      <c r="S290" s="3565"/>
      <c r="T290" s="3565"/>
    </row>
    <row r="291" spans="1:21" ht="25.5">
      <c r="A291" s="3561"/>
      <c r="B291" s="3765"/>
      <c r="C291" s="3561"/>
      <c r="D291" s="3561"/>
      <c r="E291" s="3561"/>
      <c r="F291" s="3561"/>
      <c r="G291" s="3561"/>
      <c r="H291" s="3563">
        <v>388</v>
      </c>
      <c r="I291" s="3563">
        <v>26306.400000000001</v>
      </c>
      <c r="J291" s="3563">
        <v>316181.30630136997</v>
      </c>
      <c r="K291" s="3552" t="s">
        <v>4090</v>
      </c>
      <c r="L291" s="3612"/>
      <c r="M291" s="3612"/>
      <c r="N291" s="3620"/>
      <c r="O291" s="3619"/>
      <c r="P291" s="3618">
        <v>0.13</v>
      </c>
      <c r="Q291" s="3565"/>
      <c r="R291" s="3565"/>
      <c r="S291" s="3565"/>
      <c r="T291" s="3565"/>
    </row>
    <row r="292" spans="1:21" ht="25.5">
      <c r="A292" s="3562" t="s">
        <v>4089</v>
      </c>
      <c r="B292" s="3767">
        <v>211.09</v>
      </c>
      <c r="C292" s="3614">
        <v>45757</v>
      </c>
      <c r="D292" s="3562"/>
      <c r="E292" s="3614">
        <v>47277</v>
      </c>
      <c r="F292" s="3614">
        <v>45757</v>
      </c>
      <c r="G292" s="3614">
        <v>45757</v>
      </c>
      <c r="H292" s="3563">
        <v>200</v>
      </c>
      <c r="I292" s="3563">
        <v>42218</v>
      </c>
      <c r="J292" s="3563">
        <v>42218</v>
      </c>
      <c r="K292" s="3552" t="s">
        <v>4088</v>
      </c>
      <c r="L292" s="3612"/>
      <c r="M292" s="3612"/>
      <c r="N292" s="3620"/>
      <c r="O292" s="3619"/>
      <c r="P292" s="3618">
        <v>0.1</v>
      </c>
      <c r="Q292" s="3565"/>
      <c r="R292" s="3565"/>
      <c r="S292" s="3565"/>
      <c r="T292" s="3565"/>
      <c r="U292" s="3590">
        <f>I292</f>
        <v>42218</v>
      </c>
    </row>
    <row r="293" spans="1:21" ht="25.5">
      <c r="A293" s="3572"/>
      <c r="B293" s="3766"/>
      <c r="C293" s="3572"/>
      <c r="D293" s="3572"/>
      <c r="E293" s="3572"/>
      <c r="F293" s="3572"/>
      <c r="G293" s="3572"/>
      <c r="H293" s="3563">
        <v>200</v>
      </c>
      <c r="I293" s="3563">
        <v>42218</v>
      </c>
      <c r="J293" s="3563">
        <v>465207.66027397302</v>
      </c>
      <c r="K293" s="3552" t="s">
        <v>4087</v>
      </c>
      <c r="L293" s="3612"/>
      <c r="M293" s="3612"/>
      <c r="N293" s="3620"/>
      <c r="O293" s="3619"/>
      <c r="P293" s="3618">
        <v>0.1</v>
      </c>
      <c r="Q293" s="3551"/>
      <c r="R293" s="3551"/>
      <c r="S293" s="3551"/>
      <c r="T293" s="3551"/>
    </row>
    <row r="294" spans="1:21" ht="25.5">
      <c r="A294" s="3572"/>
      <c r="B294" s="3766"/>
      <c r="C294" s="3572"/>
      <c r="D294" s="3572"/>
      <c r="E294" s="3572"/>
      <c r="F294" s="3572"/>
      <c r="G294" s="3572"/>
      <c r="H294" s="3563">
        <v>215</v>
      </c>
      <c r="I294" s="3563">
        <v>45384.35</v>
      </c>
      <c r="J294" s="3563">
        <v>543990.49657534203</v>
      </c>
      <c r="K294" s="3552" t="s">
        <v>4086</v>
      </c>
      <c r="L294" s="3612"/>
      <c r="M294" s="3612"/>
      <c r="N294" s="3620"/>
      <c r="O294" s="3619"/>
      <c r="P294" s="3618">
        <v>0.11</v>
      </c>
      <c r="Q294" s="3551"/>
      <c r="R294" s="3551"/>
      <c r="S294" s="3551"/>
      <c r="T294" s="3551"/>
    </row>
    <row r="295" spans="1:21" ht="25.5">
      <c r="A295" s="3572"/>
      <c r="B295" s="3766"/>
      <c r="C295" s="3572"/>
      <c r="D295" s="3572"/>
      <c r="E295" s="3572"/>
      <c r="F295" s="3572"/>
      <c r="G295" s="3572"/>
      <c r="H295" s="3563">
        <v>230</v>
      </c>
      <c r="I295" s="3563">
        <v>48550.7</v>
      </c>
      <c r="J295" s="3563">
        <v>581943.32191780803</v>
      </c>
      <c r="K295" s="3552" t="s">
        <v>4085</v>
      </c>
      <c r="L295" s="3612"/>
      <c r="M295" s="3612"/>
      <c r="N295" s="3620"/>
      <c r="O295" s="3619"/>
      <c r="P295" s="3618">
        <v>0.12</v>
      </c>
      <c r="Q295" s="3551"/>
      <c r="R295" s="3551"/>
      <c r="S295" s="3551"/>
      <c r="T295" s="3551"/>
    </row>
    <row r="296" spans="1:21" ht="25.5">
      <c r="A296" s="3561"/>
      <c r="B296" s="3765"/>
      <c r="C296" s="3561"/>
      <c r="D296" s="3561"/>
      <c r="E296" s="3561"/>
      <c r="F296" s="3561"/>
      <c r="G296" s="3561"/>
      <c r="H296" s="3563">
        <v>245</v>
      </c>
      <c r="I296" s="3563">
        <v>51717.05</v>
      </c>
      <c r="J296" s="3563">
        <v>619896.14726027404</v>
      </c>
      <c r="K296" s="3552" t="s">
        <v>4084</v>
      </c>
      <c r="L296" s="3612"/>
      <c r="M296" s="3612"/>
      <c r="N296" s="3620"/>
      <c r="O296" s="3619"/>
      <c r="P296" s="3618">
        <v>0.13</v>
      </c>
      <c r="Q296" s="3551"/>
      <c r="R296" s="3551"/>
      <c r="S296" s="3551"/>
      <c r="T296" s="3551"/>
    </row>
    <row r="297" spans="1:21" ht="25.5">
      <c r="A297" s="3562" t="s">
        <v>4083</v>
      </c>
      <c r="B297" s="3767">
        <v>195.95</v>
      </c>
      <c r="C297" s="3614">
        <v>45762</v>
      </c>
      <c r="D297" s="3562"/>
      <c r="E297" s="3614">
        <v>47647</v>
      </c>
      <c r="F297" s="3614">
        <v>45762</v>
      </c>
      <c r="G297" s="3614">
        <v>45762</v>
      </c>
      <c r="H297" s="3563">
        <v>200</v>
      </c>
      <c r="I297" s="3563">
        <v>39110</v>
      </c>
      <c r="J297" s="3563">
        <v>39110</v>
      </c>
      <c r="K297" s="3552" t="s">
        <v>4082</v>
      </c>
      <c r="L297" s="3612"/>
      <c r="M297" s="3612"/>
      <c r="N297" s="3620"/>
      <c r="O297" s="3619"/>
      <c r="P297" s="3618">
        <v>0.1</v>
      </c>
      <c r="Q297" s="3571">
        <v>10</v>
      </c>
      <c r="R297" s="3571">
        <v>461.1</v>
      </c>
      <c r="S297" s="3571"/>
      <c r="T297" s="3571" t="s">
        <v>4081</v>
      </c>
      <c r="U297" s="3590">
        <f>I297</f>
        <v>39110</v>
      </c>
    </row>
    <row r="298" spans="1:21" ht="25.5">
      <c r="A298" s="3572"/>
      <c r="B298" s="3766"/>
      <c r="C298" s="3572"/>
      <c r="D298" s="3572"/>
      <c r="E298" s="3572"/>
      <c r="F298" s="3572"/>
      <c r="G298" s="3572"/>
      <c r="H298" s="3563">
        <v>200</v>
      </c>
      <c r="I298" s="3563">
        <v>39110</v>
      </c>
      <c r="J298" s="3563">
        <v>430960.05479452101</v>
      </c>
      <c r="K298" s="3552" t="s">
        <v>4080</v>
      </c>
      <c r="L298" s="3612"/>
      <c r="M298" s="3612"/>
      <c r="N298" s="3620"/>
      <c r="O298" s="3619"/>
      <c r="P298" s="3618">
        <v>0.1</v>
      </c>
      <c r="Q298" s="3571"/>
      <c r="R298" s="3571"/>
      <c r="S298" s="3571"/>
      <c r="T298" s="3571"/>
    </row>
    <row r="299" spans="1:21" ht="25.5">
      <c r="A299" s="3572"/>
      <c r="B299" s="3766"/>
      <c r="C299" s="3572"/>
      <c r="D299" s="3572"/>
      <c r="E299" s="3572"/>
      <c r="F299" s="3572"/>
      <c r="G299" s="3572"/>
      <c r="H299" s="3563">
        <v>210</v>
      </c>
      <c r="I299" s="3563">
        <v>41065.5</v>
      </c>
      <c r="J299" s="3563">
        <v>492223.45890411001</v>
      </c>
      <c r="K299" s="3552" t="s">
        <v>4079</v>
      </c>
      <c r="L299" s="3612"/>
      <c r="M299" s="3612"/>
      <c r="N299" s="3620"/>
      <c r="O299" s="3619"/>
      <c r="P299" s="3618">
        <v>0.1</v>
      </c>
      <c r="Q299" s="3571"/>
      <c r="R299" s="3571"/>
      <c r="S299" s="3571"/>
      <c r="T299" s="3571"/>
    </row>
    <row r="300" spans="1:21" ht="25.5">
      <c r="A300" s="3572"/>
      <c r="B300" s="3766"/>
      <c r="C300" s="3572"/>
      <c r="D300" s="3572"/>
      <c r="E300" s="3572"/>
      <c r="F300" s="3572"/>
      <c r="G300" s="3572"/>
      <c r="H300" s="3563">
        <v>220</v>
      </c>
      <c r="I300" s="3563">
        <v>43021</v>
      </c>
      <c r="J300" s="3563">
        <v>515662.67123287701</v>
      </c>
      <c r="K300" s="3552" t="s">
        <v>4078</v>
      </c>
      <c r="L300" s="3612"/>
      <c r="M300" s="3612"/>
      <c r="N300" s="3620"/>
      <c r="O300" s="3619"/>
      <c r="P300" s="3618">
        <v>0.11</v>
      </c>
      <c r="Q300" s="3571"/>
      <c r="R300" s="3571"/>
      <c r="S300" s="3571"/>
      <c r="T300" s="3571"/>
    </row>
    <row r="301" spans="1:21" ht="25.5">
      <c r="A301" s="3572"/>
      <c r="B301" s="3766"/>
      <c r="C301" s="3572"/>
      <c r="D301" s="3572"/>
      <c r="E301" s="3572"/>
      <c r="F301" s="3572"/>
      <c r="G301" s="3572"/>
      <c r="H301" s="3563">
        <v>230</v>
      </c>
      <c r="I301" s="3563">
        <v>44976.5</v>
      </c>
      <c r="J301" s="3563">
        <v>539101.883561644</v>
      </c>
      <c r="K301" s="3552" t="s">
        <v>4077</v>
      </c>
      <c r="L301" s="3612"/>
      <c r="M301" s="3612"/>
      <c r="N301" s="3620"/>
      <c r="O301" s="3619"/>
      <c r="P301" s="3618">
        <v>0.11</v>
      </c>
      <c r="Q301" s="3571"/>
      <c r="R301" s="3571"/>
      <c r="S301" s="3571"/>
      <c r="T301" s="3571"/>
    </row>
    <row r="302" spans="1:21" ht="25.5">
      <c r="A302" s="3561"/>
      <c r="B302" s="3765"/>
      <c r="C302" s="3561"/>
      <c r="D302" s="3561"/>
      <c r="E302" s="3561"/>
      <c r="F302" s="3561"/>
      <c r="G302" s="3561"/>
      <c r="H302" s="3563">
        <v>240</v>
      </c>
      <c r="I302" s="3563">
        <v>46932</v>
      </c>
      <c r="J302" s="3563">
        <v>562541.09589041094</v>
      </c>
      <c r="K302" s="3552" t="s">
        <v>4076</v>
      </c>
      <c r="L302" s="3612"/>
      <c r="M302" s="3612"/>
      <c r="N302" s="3620"/>
      <c r="O302" s="3619"/>
      <c r="P302" s="3618">
        <v>0.11</v>
      </c>
      <c r="Q302" s="3571"/>
      <c r="R302" s="3571"/>
      <c r="S302" s="3571"/>
      <c r="T302" s="3571"/>
    </row>
    <row r="303" spans="1:21" ht="25.5">
      <c r="A303" s="3562" t="s">
        <v>4075</v>
      </c>
      <c r="B303" s="3562">
        <v>104.2</v>
      </c>
      <c r="C303" s="3600">
        <v>44252</v>
      </c>
      <c r="D303" s="3675">
        <v>37</v>
      </c>
      <c r="E303" s="3674">
        <v>45392</v>
      </c>
      <c r="F303" s="3674">
        <v>44297</v>
      </c>
      <c r="G303" s="3673">
        <v>44297</v>
      </c>
      <c r="H303" s="3563">
        <v>280</v>
      </c>
      <c r="I303" s="3563">
        <v>29176</v>
      </c>
      <c r="J303" s="3563">
        <v>700224</v>
      </c>
      <c r="K303" s="3552" t="s">
        <v>4074</v>
      </c>
      <c r="L303" s="3612">
        <v>44297</v>
      </c>
      <c r="M303" s="3612">
        <v>45026</v>
      </c>
      <c r="N303" s="3602">
        <v>0</v>
      </c>
      <c r="O303" s="3552"/>
      <c r="P303" s="3618">
        <v>0.14000000000000001</v>
      </c>
      <c r="Q303" s="3571"/>
      <c r="R303" s="3571"/>
      <c r="S303" s="3571"/>
      <c r="T303" s="3571"/>
    </row>
    <row r="304" spans="1:21" ht="25.5">
      <c r="A304" s="3572"/>
      <c r="B304" s="3572"/>
      <c r="C304" s="3600"/>
      <c r="D304" s="3675"/>
      <c r="E304" s="3674"/>
      <c r="F304" s="3674"/>
      <c r="G304" s="3673"/>
      <c r="H304" s="3563">
        <v>294</v>
      </c>
      <c r="I304" s="3563">
        <v>30634.799999999999</v>
      </c>
      <c r="J304" s="3563">
        <v>367617.6</v>
      </c>
      <c r="K304" s="3552" t="s">
        <v>4073</v>
      </c>
      <c r="L304" s="3612">
        <v>45027</v>
      </c>
      <c r="M304" s="3612">
        <v>45392</v>
      </c>
      <c r="N304" s="3620">
        <v>0</v>
      </c>
      <c r="O304" s="3619" t="s">
        <v>4070</v>
      </c>
      <c r="P304" s="3618">
        <v>0.14000000000000001</v>
      </c>
      <c r="Q304" s="3571"/>
      <c r="R304" s="3571"/>
      <c r="S304" s="3571"/>
      <c r="T304" s="3571"/>
    </row>
    <row r="305" spans="1:21" ht="25.5">
      <c r="A305" s="3572"/>
      <c r="B305" s="3572"/>
      <c r="C305" s="3655">
        <v>45393</v>
      </c>
      <c r="D305" s="3552">
        <v>1</v>
      </c>
      <c r="E305" s="3612">
        <v>45422</v>
      </c>
      <c r="F305" s="3612">
        <v>45393</v>
      </c>
      <c r="G305" s="3654">
        <v>45393</v>
      </c>
      <c r="H305" s="3563">
        <v>225</v>
      </c>
      <c r="I305" s="3563">
        <v>23445</v>
      </c>
      <c r="J305" s="3563">
        <v>23123.835616438399</v>
      </c>
      <c r="K305" s="3552" t="s">
        <v>4072</v>
      </c>
      <c r="L305" s="3612">
        <v>45393</v>
      </c>
      <c r="M305" s="3612">
        <v>45422</v>
      </c>
      <c r="N305" s="3620">
        <v>0</v>
      </c>
      <c r="O305" s="3619" t="s">
        <v>4070</v>
      </c>
      <c r="P305" s="3618">
        <v>0.14000000000000001</v>
      </c>
      <c r="Q305" s="3563"/>
      <c r="R305" s="3563"/>
      <c r="S305" s="3563"/>
      <c r="T305" s="3563"/>
    </row>
    <row r="306" spans="1:21" ht="25.5">
      <c r="A306" s="3572"/>
      <c r="B306" s="3572"/>
      <c r="C306" s="3596">
        <v>45423</v>
      </c>
      <c r="D306" s="3764">
        <v>3</v>
      </c>
      <c r="E306" s="3763">
        <v>45514</v>
      </c>
      <c r="F306" s="3763">
        <v>45423</v>
      </c>
      <c r="G306" s="3762">
        <v>45423</v>
      </c>
      <c r="H306" s="3595">
        <v>225</v>
      </c>
      <c r="I306" s="3595">
        <v>23445</v>
      </c>
      <c r="J306" s="3595">
        <v>70784.630136986307</v>
      </c>
      <c r="K306" s="3592" t="s">
        <v>4071</v>
      </c>
      <c r="L306" s="3594">
        <v>45423</v>
      </c>
      <c r="M306" s="3594">
        <v>45514</v>
      </c>
      <c r="N306" s="3593">
        <v>23445</v>
      </c>
      <c r="O306" s="3627" t="s">
        <v>4070</v>
      </c>
      <c r="P306" s="3591">
        <v>0.14000000000000001</v>
      </c>
      <c r="Q306" s="3699"/>
      <c r="R306" s="3699"/>
      <c r="S306" s="3699"/>
      <c r="T306" s="3699"/>
    </row>
    <row r="307" spans="1:21" ht="25.5">
      <c r="A307" s="3572"/>
      <c r="B307" s="3572"/>
      <c r="C307" s="3596"/>
      <c r="D307" s="3764"/>
      <c r="E307" s="3763"/>
      <c r="F307" s="3763"/>
      <c r="G307" s="3762"/>
      <c r="H307" s="3595">
        <v>225</v>
      </c>
      <c r="I307" s="3595">
        <v>23445</v>
      </c>
      <c r="J307" s="3595">
        <v>227191.68493150701</v>
      </c>
      <c r="K307" s="3592" t="s">
        <v>4069</v>
      </c>
      <c r="L307" s="3594">
        <v>45515</v>
      </c>
      <c r="M307" s="3594">
        <v>45716</v>
      </c>
      <c r="N307" s="3593">
        <v>0</v>
      </c>
      <c r="O307" s="3627"/>
      <c r="P307" s="3591">
        <v>0.14000000000000001</v>
      </c>
      <c r="Q307" s="3699"/>
      <c r="R307" s="3699"/>
      <c r="S307" s="3699"/>
      <c r="T307" s="3699"/>
    </row>
    <row r="308" spans="1:21">
      <c r="A308" s="3572"/>
      <c r="B308" s="3572"/>
      <c r="C308" s="3596"/>
      <c r="D308" s="3764"/>
      <c r="E308" s="3763"/>
      <c r="F308" s="3763"/>
      <c r="G308" s="3762"/>
      <c r="H308" s="3595"/>
      <c r="I308" s="3595"/>
      <c r="J308" s="3595"/>
      <c r="K308" s="3592"/>
      <c r="L308" s="3594"/>
      <c r="M308" s="3594"/>
      <c r="N308" s="3593"/>
      <c r="O308" s="3627"/>
      <c r="P308" s="3591"/>
      <c r="Q308" s="3699"/>
      <c r="R308" s="3699"/>
      <c r="S308" s="3699"/>
      <c r="T308" s="3699"/>
    </row>
    <row r="309" spans="1:21" ht="25.5">
      <c r="A309" s="3561"/>
      <c r="B309" s="3561"/>
      <c r="C309" s="3596"/>
      <c r="D309" s="3764"/>
      <c r="E309" s="3763"/>
      <c r="F309" s="3763"/>
      <c r="G309" s="3762"/>
      <c r="H309" s="3595">
        <v>230</v>
      </c>
      <c r="I309" s="3595">
        <v>23966</v>
      </c>
      <c r="J309" s="3595">
        <v>287592</v>
      </c>
      <c r="K309" s="3592" t="s">
        <v>4068</v>
      </c>
      <c r="L309" s="3594">
        <v>45717</v>
      </c>
      <c r="M309" s="3594">
        <v>46081</v>
      </c>
      <c r="N309" s="3593"/>
      <c r="O309" s="3627"/>
      <c r="P309" s="3591">
        <v>0.14000000000000001</v>
      </c>
      <c r="Q309" s="3699"/>
      <c r="R309" s="3699"/>
      <c r="S309" s="3699"/>
      <c r="T309" s="3699"/>
      <c r="U309" s="3590">
        <f>I309</f>
        <v>23966</v>
      </c>
    </row>
    <row r="310" spans="1:21" ht="25.5">
      <c r="A310" s="3604" t="s">
        <v>4067</v>
      </c>
      <c r="B310" s="3604">
        <v>107.07</v>
      </c>
      <c r="C310" s="3761">
        <v>45777</v>
      </c>
      <c r="D310" s="3604"/>
      <c r="E310" s="3761">
        <v>46902</v>
      </c>
      <c r="F310" s="3761">
        <v>45777</v>
      </c>
      <c r="G310" s="3761">
        <v>45777</v>
      </c>
      <c r="H310" s="3563">
        <v>300</v>
      </c>
      <c r="I310" s="3563">
        <v>32121</v>
      </c>
      <c r="J310" s="3563">
        <v>32121</v>
      </c>
      <c r="K310" s="3552" t="s">
        <v>4066</v>
      </c>
      <c r="L310" s="3612"/>
      <c r="M310" s="3612"/>
      <c r="N310" s="3620"/>
      <c r="O310" s="3619"/>
      <c r="P310" s="3618">
        <v>0.13</v>
      </c>
      <c r="Q310" s="3699"/>
      <c r="R310" s="3699"/>
      <c r="S310" s="3699"/>
      <c r="T310" s="3699"/>
      <c r="U310" s="3590">
        <f>I310</f>
        <v>32121</v>
      </c>
    </row>
    <row r="311" spans="1:21" ht="25.5">
      <c r="A311" s="3601"/>
      <c r="B311" s="3601"/>
      <c r="C311" s="3601"/>
      <c r="D311" s="3601"/>
      <c r="E311" s="3601"/>
      <c r="F311" s="3601"/>
      <c r="G311" s="3601"/>
      <c r="H311" s="3563">
        <v>300</v>
      </c>
      <c r="I311" s="3563">
        <v>32121</v>
      </c>
      <c r="J311" s="3563">
        <v>352890.98630137002</v>
      </c>
      <c r="K311" s="3552" t="s">
        <v>4065</v>
      </c>
      <c r="L311" s="3612"/>
      <c r="M311" s="3612"/>
      <c r="N311" s="3620"/>
      <c r="O311" s="3619"/>
      <c r="P311" s="3618">
        <v>0.13</v>
      </c>
      <c r="Q311" s="3699"/>
      <c r="R311" s="3699"/>
      <c r="S311" s="3699"/>
      <c r="T311" s="3699"/>
    </row>
    <row r="312" spans="1:21" ht="25.5">
      <c r="A312" s="3601"/>
      <c r="B312" s="3601"/>
      <c r="C312" s="3601"/>
      <c r="D312" s="3601"/>
      <c r="E312" s="3601"/>
      <c r="F312" s="3601"/>
      <c r="G312" s="3601"/>
      <c r="H312" s="3563">
        <v>305</v>
      </c>
      <c r="I312" s="3563">
        <v>32656.35</v>
      </c>
      <c r="J312" s="3563">
        <v>392502.486164384</v>
      </c>
      <c r="K312" s="3552" t="s">
        <v>4064</v>
      </c>
      <c r="L312" s="3612"/>
      <c r="M312" s="3612"/>
      <c r="N312" s="3620"/>
      <c r="O312" s="3619"/>
      <c r="P312" s="3618">
        <v>0.14000000000000001</v>
      </c>
      <c r="Q312" s="3571">
        <v>10</v>
      </c>
      <c r="R312" s="3571">
        <v>265.3</v>
      </c>
      <c r="S312" s="3563"/>
      <c r="T312" s="3563"/>
    </row>
    <row r="313" spans="1:21" ht="25.5">
      <c r="A313" s="3597"/>
      <c r="B313" s="3597"/>
      <c r="C313" s="3597"/>
      <c r="D313" s="3597"/>
      <c r="E313" s="3597"/>
      <c r="F313" s="3597"/>
      <c r="G313" s="3597"/>
      <c r="H313" s="3563">
        <v>310</v>
      </c>
      <c r="I313" s="3563">
        <v>33191.699999999997</v>
      </c>
      <c r="J313" s="3563">
        <v>398936.953150685</v>
      </c>
      <c r="K313" s="3552" t="s">
        <v>4063</v>
      </c>
      <c r="L313" s="3612"/>
      <c r="M313" s="3612"/>
      <c r="N313" s="3620"/>
      <c r="O313" s="3619"/>
      <c r="P313" s="3618">
        <v>0.15</v>
      </c>
      <c r="Q313" s="3571"/>
      <c r="R313" s="3571"/>
      <c r="S313" s="3563"/>
      <c r="T313" s="3563"/>
    </row>
    <row r="314" spans="1:21" ht="25.5">
      <c r="A314" s="3636" t="s">
        <v>4062</v>
      </c>
      <c r="B314" s="3633">
        <v>148.69</v>
      </c>
      <c r="C314" s="3711" t="s">
        <v>4061</v>
      </c>
      <c r="D314" s="3636">
        <v>36</v>
      </c>
      <c r="E314" s="3760">
        <v>44437</v>
      </c>
      <c r="F314" s="3701">
        <v>43402</v>
      </c>
      <c r="G314" s="3700">
        <v>43402</v>
      </c>
      <c r="H314" s="3631">
        <v>220</v>
      </c>
      <c r="I314" s="3631">
        <v>32711.8</v>
      </c>
      <c r="J314" s="3631">
        <v>328820.80602739699</v>
      </c>
      <c r="K314" s="3634" t="s">
        <v>4060</v>
      </c>
      <c r="L314" s="3690">
        <v>43402</v>
      </c>
      <c r="M314" s="3690">
        <v>43706</v>
      </c>
      <c r="N314" s="3602">
        <v>0</v>
      </c>
      <c r="O314" s="3634"/>
      <c r="P314" s="3710">
        <v>0.16</v>
      </c>
      <c r="Q314" s="3571"/>
      <c r="R314" s="3571"/>
      <c r="S314" s="3563"/>
      <c r="T314" s="3563"/>
    </row>
    <row r="315" spans="1:21" ht="25.5">
      <c r="A315" s="3636"/>
      <c r="B315" s="3633"/>
      <c r="C315" s="3711"/>
      <c r="D315" s="3636"/>
      <c r="E315" s="3760"/>
      <c r="F315" s="3701"/>
      <c r="G315" s="3700"/>
      <c r="H315" s="3631">
        <v>350</v>
      </c>
      <c r="I315" s="3631">
        <v>52041.5</v>
      </c>
      <c r="J315" s="3631">
        <v>625496.056164384</v>
      </c>
      <c r="K315" s="3634" t="s">
        <v>4059</v>
      </c>
      <c r="L315" s="3690">
        <v>43707</v>
      </c>
      <c r="M315" s="3690">
        <v>44072</v>
      </c>
      <c r="N315" s="3602">
        <v>0</v>
      </c>
      <c r="O315" s="3634"/>
      <c r="P315" s="3710">
        <v>0.17</v>
      </c>
      <c r="Q315" s="3571"/>
      <c r="R315" s="3571"/>
      <c r="S315" s="3563"/>
      <c r="T315" s="3563"/>
    </row>
    <row r="316" spans="1:21" ht="25.5">
      <c r="A316" s="3636"/>
      <c r="B316" s="3633"/>
      <c r="C316" s="3711"/>
      <c r="D316" s="3636"/>
      <c r="E316" s="3760"/>
      <c r="F316" s="3701"/>
      <c r="G316" s="3700"/>
      <c r="H316" s="3631">
        <v>400</v>
      </c>
      <c r="I316" s="3631">
        <v>59476</v>
      </c>
      <c r="J316" s="3631">
        <v>714852.635616438</v>
      </c>
      <c r="K316" s="3634" t="s">
        <v>4058</v>
      </c>
      <c r="L316" s="3690">
        <v>44073</v>
      </c>
      <c r="M316" s="3690">
        <v>44437</v>
      </c>
      <c r="N316" s="3602">
        <v>0</v>
      </c>
      <c r="O316" s="3634"/>
      <c r="P316" s="3710">
        <v>0.18</v>
      </c>
      <c r="Q316" s="3563"/>
      <c r="R316" s="3563"/>
      <c r="S316" s="3563"/>
      <c r="T316" s="3563"/>
    </row>
    <row r="317" spans="1:21" ht="25.5">
      <c r="A317" s="3636"/>
      <c r="B317" s="3633"/>
      <c r="C317" s="3707">
        <v>44438</v>
      </c>
      <c r="D317" s="3634">
        <v>12</v>
      </c>
      <c r="E317" s="3759">
        <v>44802</v>
      </c>
      <c r="F317" s="3690">
        <v>44438</v>
      </c>
      <c r="G317" s="3689">
        <v>44438</v>
      </c>
      <c r="H317" s="3631">
        <v>415</v>
      </c>
      <c r="I317" s="3631">
        <v>61706.35</v>
      </c>
      <c r="J317" s="3631">
        <v>741659.60945205495</v>
      </c>
      <c r="K317" s="3634" t="s">
        <v>4000</v>
      </c>
      <c r="L317" s="3690">
        <v>44438</v>
      </c>
      <c r="M317" s="3690">
        <v>44802</v>
      </c>
      <c r="N317" s="3602">
        <v>0</v>
      </c>
      <c r="O317" s="3634"/>
      <c r="P317" s="3710">
        <v>0.18</v>
      </c>
      <c r="Q317" s="3563"/>
      <c r="R317" s="3563"/>
      <c r="S317" s="3563"/>
      <c r="T317" s="3563"/>
    </row>
    <row r="318" spans="1:21" ht="25.5">
      <c r="A318" s="3636"/>
      <c r="B318" s="3633"/>
      <c r="C318" s="3707"/>
      <c r="D318" s="3634"/>
      <c r="E318" s="3759"/>
      <c r="F318" s="3690"/>
      <c r="G318" s="3689"/>
      <c r="H318" s="3631">
        <v>435</v>
      </c>
      <c r="I318" s="3631">
        <v>64680.15</v>
      </c>
      <c r="J318" s="3631">
        <v>777402.24123287702</v>
      </c>
      <c r="K318" s="3634" t="s">
        <v>4057</v>
      </c>
      <c r="L318" s="3690">
        <v>44803</v>
      </c>
      <c r="M318" s="3690">
        <v>45167</v>
      </c>
      <c r="N318" s="3602">
        <v>0</v>
      </c>
      <c r="O318" s="3634"/>
      <c r="P318" s="3710">
        <v>0.18</v>
      </c>
      <c r="Q318" s="3563"/>
      <c r="R318" s="3563"/>
      <c r="S318" s="3563"/>
      <c r="T318" s="3563"/>
    </row>
    <row r="319" spans="1:21" ht="25.5">
      <c r="A319" s="3636"/>
      <c r="B319" s="3633"/>
      <c r="C319" s="3711">
        <v>45168</v>
      </c>
      <c r="D319" s="3634"/>
      <c r="E319" s="3760">
        <v>45898</v>
      </c>
      <c r="F319" s="3701">
        <v>45168</v>
      </c>
      <c r="G319" s="3700">
        <v>45898</v>
      </c>
      <c r="H319" s="3595">
        <v>480</v>
      </c>
      <c r="I319" s="3595">
        <v>71371.199999999997</v>
      </c>
      <c r="J319" s="3595">
        <v>857823.16273972602</v>
      </c>
      <c r="K319" s="3592" t="s">
        <v>4056</v>
      </c>
      <c r="L319" s="3594">
        <v>45168</v>
      </c>
      <c r="M319" s="3594">
        <v>45533</v>
      </c>
      <c r="N319" s="3593">
        <v>71371.199999999997</v>
      </c>
      <c r="O319" s="3592" t="s">
        <v>4055</v>
      </c>
      <c r="P319" s="3591">
        <v>0.185</v>
      </c>
      <c r="Q319" s="3563"/>
      <c r="R319" s="3563"/>
      <c r="S319" s="3563"/>
      <c r="T319" s="3563"/>
    </row>
    <row r="320" spans="1:21" ht="25.5">
      <c r="A320" s="3636"/>
      <c r="B320" s="3633"/>
      <c r="C320" s="3711"/>
      <c r="D320" s="3634"/>
      <c r="E320" s="3760"/>
      <c r="F320" s="3701"/>
      <c r="G320" s="3700"/>
      <c r="H320" s="3631">
        <v>503</v>
      </c>
      <c r="I320" s="3631">
        <v>74740.77</v>
      </c>
      <c r="J320" s="3631">
        <v>898322.624630137</v>
      </c>
      <c r="K320" s="3634" t="s">
        <v>4054</v>
      </c>
      <c r="L320" s="3690">
        <v>45534</v>
      </c>
      <c r="M320" s="3690">
        <v>45898</v>
      </c>
      <c r="N320" s="3602">
        <v>0</v>
      </c>
      <c r="O320" s="3634"/>
      <c r="P320" s="3710">
        <v>0.185</v>
      </c>
      <c r="Q320" s="3554"/>
      <c r="R320" s="3554"/>
      <c r="S320" s="3554"/>
      <c r="T320" s="3611"/>
      <c r="U320" s="3590">
        <f>I320</f>
        <v>74740.77</v>
      </c>
    </row>
    <row r="321" spans="1:21" ht="25.5">
      <c r="A321" s="3636" t="s">
        <v>4053</v>
      </c>
      <c r="B321" s="3633">
        <v>149.68</v>
      </c>
      <c r="C321" s="3711" t="s">
        <v>4052</v>
      </c>
      <c r="D321" s="3636">
        <v>60</v>
      </c>
      <c r="E321" s="3760">
        <v>45985</v>
      </c>
      <c r="F321" s="3701">
        <v>44160</v>
      </c>
      <c r="G321" s="3700">
        <v>44160</v>
      </c>
      <c r="H321" s="3631">
        <v>400</v>
      </c>
      <c r="I321" s="3631">
        <v>59872</v>
      </c>
      <c r="J321" s="3631">
        <v>719612.23013698601</v>
      </c>
      <c r="K321" s="3634" t="s">
        <v>4051</v>
      </c>
      <c r="L321" s="3690">
        <v>44160</v>
      </c>
      <c r="M321" s="3690">
        <v>44524</v>
      </c>
      <c r="N321" s="3602">
        <v>0</v>
      </c>
      <c r="O321" s="3634"/>
      <c r="P321" s="3710">
        <v>0.12</v>
      </c>
      <c r="Q321" s="3554"/>
      <c r="R321" s="3554"/>
      <c r="S321" s="3554"/>
      <c r="T321" s="3611"/>
    </row>
    <row r="322" spans="1:21" ht="25.5">
      <c r="A322" s="3636"/>
      <c r="B322" s="3633"/>
      <c r="C322" s="3711"/>
      <c r="D322" s="3636"/>
      <c r="E322" s="3760"/>
      <c r="F322" s="3701"/>
      <c r="G322" s="3700"/>
      <c r="H322" s="3631">
        <v>420</v>
      </c>
      <c r="I322" s="3631">
        <v>62865.599999999999</v>
      </c>
      <c r="J322" s="3631">
        <v>1507913.22739726</v>
      </c>
      <c r="K322" s="3634" t="s">
        <v>4050</v>
      </c>
      <c r="L322" s="3690">
        <v>44525</v>
      </c>
      <c r="M322" s="3690">
        <v>45254</v>
      </c>
      <c r="N322" s="3602">
        <v>0</v>
      </c>
      <c r="O322" s="3634"/>
      <c r="P322" s="3710">
        <v>0.13</v>
      </c>
      <c r="Q322" s="3554"/>
      <c r="R322" s="3554"/>
      <c r="S322" s="3554"/>
      <c r="T322" s="3611"/>
    </row>
    <row r="323" spans="1:21" ht="38.25">
      <c r="A323" s="3636"/>
      <c r="B323" s="3633"/>
      <c r="C323" s="3711"/>
      <c r="D323" s="3636"/>
      <c r="E323" s="3760"/>
      <c r="F323" s="3701"/>
      <c r="G323" s="3700"/>
      <c r="H323" s="3595">
        <v>440</v>
      </c>
      <c r="I323" s="3595">
        <v>65859.199999999997</v>
      </c>
      <c r="J323" s="3595">
        <v>1579718.61917808</v>
      </c>
      <c r="K323" s="3592" t="s">
        <v>4049</v>
      </c>
      <c r="L323" s="3594">
        <v>45255</v>
      </c>
      <c r="M323" s="3594">
        <v>45985</v>
      </c>
      <c r="N323" s="3593">
        <v>65859.199999999997</v>
      </c>
      <c r="O323" s="3592" t="s">
        <v>4048</v>
      </c>
      <c r="P323" s="3591">
        <v>0.14000000000000001</v>
      </c>
      <c r="Q323" s="3554"/>
      <c r="R323" s="3554"/>
      <c r="S323" s="3554"/>
      <c r="T323" s="3611"/>
      <c r="U323" s="3590">
        <f>I323</f>
        <v>65859.199999999997</v>
      </c>
    </row>
    <row r="324" spans="1:21" ht="25.5">
      <c r="A324" s="3650" t="s">
        <v>4047</v>
      </c>
      <c r="B324" s="3650">
        <v>61.8</v>
      </c>
      <c r="C324" s="3711" t="s">
        <v>4046</v>
      </c>
      <c r="D324" s="3636"/>
      <c r="E324" s="3760">
        <v>45431</v>
      </c>
      <c r="F324" s="3701" t="s">
        <v>4045</v>
      </c>
      <c r="G324" s="3700">
        <v>44329</v>
      </c>
      <c r="H324" s="3631">
        <v>300</v>
      </c>
      <c r="I324" s="3631">
        <v>18540</v>
      </c>
      <c r="J324" s="3631">
        <v>222480</v>
      </c>
      <c r="K324" s="3634" t="s">
        <v>4044</v>
      </c>
      <c r="L324" s="3690">
        <v>44329</v>
      </c>
      <c r="M324" s="3690">
        <v>44693</v>
      </c>
      <c r="N324" s="3602">
        <v>0</v>
      </c>
      <c r="O324" s="3634"/>
      <c r="P324" s="3710">
        <v>0.12</v>
      </c>
      <c r="Q324" s="3554"/>
      <c r="R324" s="3554"/>
      <c r="S324" s="3554"/>
      <c r="T324" s="3611"/>
    </row>
    <row r="325" spans="1:21" ht="25.5">
      <c r="A325" s="3645"/>
      <c r="B325" s="3645"/>
      <c r="C325" s="3711"/>
      <c r="D325" s="3636"/>
      <c r="E325" s="3760"/>
      <c r="F325" s="3701"/>
      <c r="G325" s="3700"/>
      <c r="H325" s="3631">
        <v>360</v>
      </c>
      <c r="I325" s="3631">
        <v>22248</v>
      </c>
      <c r="J325" s="3631">
        <v>266976</v>
      </c>
      <c r="K325" s="3634" t="s">
        <v>4043</v>
      </c>
      <c r="L325" s="3690">
        <v>44694</v>
      </c>
      <c r="M325" s="3690">
        <v>45058</v>
      </c>
      <c r="N325" s="3602">
        <v>0</v>
      </c>
      <c r="O325" s="3634"/>
      <c r="P325" s="3710">
        <v>0.13</v>
      </c>
      <c r="Q325" s="3554"/>
      <c r="R325" s="3554"/>
      <c r="S325" s="3554"/>
      <c r="T325" s="3611"/>
    </row>
    <row r="326" spans="1:21" ht="25.5">
      <c r="A326" s="3645"/>
      <c r="B326" s="3645"/>
      <c r="C326" s="3711"/>
      <c r="D326" s="3636"/>
      <c r="E326" s="3760"/>
      <c r="F326" s="3701"/>
      <c r="G326" s="3700"/>
      <c r="H326" s="3563">
        <v>360</v>
      </c>
      <c r="I326" s="3563">
        <v>22248</v>
      </c>
      <c r="J326" s="3563">
        <v>266976</v>
      </c>
      <c r="K326" s="3552" t="s">
        <v>4042</v>
      </c>
      <c r="L326" s="3612">
        <v>45059</v>
      </c>
      <c r="M326" s="3612">
        <v>45424</v>
      </c>
      <c r="N326" s="3620">
        <v>0</v>
      </c>
      <c r="O326" s="3552" t="s">
        <v>4040</v>
      </c>
      <c r="P326" s="3618">
        <v>0.14000000000000001</v>
      </c>
      <c r="Q326" s="3554"/>
      <c r="R326" s="3554"/>
      <c r="S326" s="3554"/>
      <c r="T326" s="3611"/>
    </row>
    <row r="327" spans="1:21" ht="120">
      <c r="A327" s="3645"/>
      <c r="B327" s="3645"/>
      <c r="C327" s="3707">
        <v>45425</v>
      </c>
      <c r="D327" s="3634"/>
      <c r="E327" s="3759">
        <v>45608</v>
      </c>
      <c r="F327" s="3690">
        <v>45425</v>
      </c>
      <c r="G327" s="3689">
        <v>45425</v>
      </c>
      <c r="H327" s="3595">
        <v>400</v>
      </c>
      <c r="I327" s="3595">
        <v>24720</v>
      </c>
      <c r="J327" s="3595">
        <v>148794.082191781</v>
      </c>
      <c r="K327" s="3592" t="s">
        <v>3985</v>
      </c>
      <c r="L327" s="3594">
        <v>45425</v>
      </c>
      <c r="M327" s="3594">
        <v>45608</v>
      </c>
      <c r="N327" s="3593">
        <v>24720</v>
      </c>
      <c r="O327" s="3592" t="s">
        <v>4040</v>
      </c>
      <c r="P327" s="3758" t="s">
        <v>4039</v>
      </c>
      <c r="Q327" s="3554"/>
      <c r="R327" s="3554"/>
      <c r="S327" s="3554"/>
      <c r="T327" s="3611"/>
    </row>
    <row r="328" spans="1:21" ht="120">
      <c r="A328" s="3639"/>
      <c r="B328" s="3639"/>
      <c r="C328" s="3759">
        <v>45609</v>
      </c>
      <c r="D328" s="3634"/>
      <c r="E328" s="3759">
        <v>45973</v>
      </c>
      <c r="F328" s="3759">
        <v>45609</v>
      </c>
      <c r="G328" s="3759">
        <v>45609</v>
      </c>
      <c r="H328" s="3595">
        <v>420</v>
      </c>
      <c r="I328" s="3595">
        <v>25956</v>
      </c>
      <c r="J328" s="3595">
        <v>311116.43835616403</v>
      </c>
      <c r="K328" s="3592" t="s">
        <v>4041</v>
      </c>
      <c r="L328" s="3594">
        <v>45609</v>
      </c>
      <c r="M328" s="3594">
        <v>45973</v>
      </c>
      <c r="N328" s="3593">
        <v>0</v>
      </c>
      <c r="O328" s="3592" t="s">
        <v>4040</v>
      </c>
      <c r="P328" s="3758" t="s">
        <v>4039</v>
      </c>
      <c r="Q328" s="3554"/>
      <c r="R328" s="3554"/>
      <c r="S328" s="3554"/>
      <c r="T328" s="3611"/>
      <c r="U328" s="3590">
        <f>I328</f>
        <v>25956</v>
      </c>
    </row>
    <row r="329" spans="1:21" ht="25.5">
      <c r="A329" s="3611" t="s">
        <v>4038</v>
      </c>
      <c r="B329" s="3685">
        <v>80.3</v>
      </c>
      <c r="C329" s="3607">
        <v>45807</v>
      </c>
      <c r="D329" s="3611"/>
      <c r="E329" s="3606">
        <v>45898</v>
      </c>
      <c r="F329" s="3607">
        <v>45807</v>
      </c>
      <c r="G329" s="3607">
        <v>45807</v>
      </c>
      <c r="H329" s="3757"/>
      <c r="I329" s="3757"/>
      <c r="J329" s="3756"/>
      <c r="K329" s="3552" t="s">
        <v>4037</v>
      </c>
      <c r="L329" s="3612"/>
      <c r="M329" s="3612"/>
      <c r="N329" s="3620"/>
      <c r="O329" s="3552"/>
      <c r="P329" s="3618">
        <v>0.18</v>
      </c>
      <c r="Q329" s="3554"/>
      <c r="R329" s="3554"/>
      <c r="S329" s="3554"/>
      <c r="T329" s="3611"/>
      <c r="U329" s="3590"/>
    </row>
    <row r="330" spans="1:21" ht="25.5">
      <c r="A330" s="3675" t="s">
        <v>4036</v>
      </c>
      <c r="B330" s="3633">
        <v>170.1</v>
      </c>
      <c r="C330" s="3600">
        <v>44697</v>
      </c>
      <c r="D330" s="3675">
        <v>36</v>
      </c>
      <c r="E330" s="3674" t="s">
        <v>4035</v>
      </c>
      <c r="F330" s="3674" t="s">
        <v>4034</v>
      </c>
      <c r="G330" s="3673" t="s">
        <v>4034</v>
      </c>
      <c r="H330" s="3620">
        <v>330</v>
      </c>
      <c r="I330" s="3563">
        <v>56133</v>
      </c>
      <c r="J330" s="3563">
        <v>56133</v>
      </c>
      <c r="K330" s="3552" t="s">
        <v>4033</v>
      </c>
      <c r="L330" s="3612">
        <v>44697</v>
      </c>
      <c r="M330" s="3612">
        <v>44771</v>
      </c>
      <c r="N330" s="3602">
        <v>0</v>
      </c>
      <c r="O330" s="3552"/>
      <c r="P330" s="3618">
        <v>0.14000000000000001</v>
      </c>
      <c r="Q330" s="3554"/>
      <c r="R330" s="3554"/>
      <c r="S330" s="3554"/>
      <c r="T330" s="3611"/>
    </row>
    <row r="331" spans="1:21" ht="25.5">
      <c r="A331" s="3675"/>
      <c r="B331" s="3633"/>
      <c r="C331" s="3600"/>
      <c r="D331" s="3675"/>
      <c r="E331" s="3674"/>
      <c r="F331" s="3674"/>
      <c r="G331" s="3673"/>
      <c r="H331" s="3620">
        <v>330</v>
      </c>
      <c r="I331" s="3563">
        <v>56133</v>
      </c>
      <c r="J331" s="3563">
        <v>618539.52328767104</v>
      </c>
      <c r="K331" s="3552" t="s">
        <v>4032</v>
      </c>
      <c r="L331" s="3612">
        <v>44772</v>
      </c>
      <c r="M331" s="3612">
        <v>45106</v>
      </c>
      <c r="N331" s="3602">
        <v>0</v>
      </c>
      <c r="O331" s="3552"/>
      <c r="P331" s="3618">
        <v>0.14000000000000001</v>
      </c>
      <c r="Q331" s="3554"/>
      <c r="R331" s="3554"/>
      <c r="S331" s="3554"/>
      <c r="T331" s="3611"/>
    </row>
    <row r="332" spans="1:21" ht="48">
      <c r="A332" s="3675"/>
      <c r="B332" s="3633"/>
      <c r="C332" s="3600"/>
      <c r="D332" s="3675"/>
      <c r="E332" s="3674"/>
      <c r="F332" s="3674"/>
      <c r="G332" s="3673"/>
      <c r="H332" s="3620">
        <v>380</v>
      </c>
      <c r="I332" s="3563">
        <v>64638</v>
      </c>
      <c r="J332" s="3563">
        <v>774770.54794520501</v>
      </c>
      <c r="K332" s="3552" t="s">
        <v>4031</v>
      </c>
      <c r="L332" s="3612">
        <v>45107</v>
      </c>
      <c r="M332" s="3612">
        <v>45472</v>
      </c>
      <c r="N332" s="3620">
        <v>0</v>
      </c>
      <c r="O332" s="3619" t="s">
        <v>4029</v>
      </c>
      <c r="P332" s="3618">
        <v>0.15</v>
      </c>
      <c r="Q332" s="3554"/>
      <c r="R332" s="3554"/>
      <c r="S332" s="3554"/>
      <c r="T332" s="3611"/>
    </row>
    <row r="333" spans="1:21" ht="51">
      <c r="A333" s="3675"/>
      <c r="B333" s="3633"/>
      <c r="C333" s="3600"/>
      <c r="D333" s="3675"/>
      <c r="E333" s="3674"/>
      <c r="F333" s="3674"/>
      <c r="G333" s="3673"/>
      <c r="H333" s="3593">
        <v>430</v>
      </c>
      <c r="I333" s="3595">
        <v>73143</v>
      </c>
      <c r="J333" s="3595">
        <v>769905.22191780806</v>
      </c>
      <c r="K333" s="3592" t="s">
        <v>4030</v>
      </c>
      <c r="L333" s="3594">
        <v>45473</v>
      </c>
      <c r="M333" s="3594">
        <v>45792</v>
      </c>
      <c r="N333" s="3593">
        <v>73143</v>
      </c>
      <c r="O333" s="3592" t="s">
        <v>4029</v>
      </c>
      <c r="P333" s="3591">
        <v>0.16</v>
      </c>
      <c r="Q333" s="3554"/>
      <c r="R333" s="3554"/>
      <c r="S333" s="3554"/>
      <c r="T333" s="3611"/>
      <c r="U333" s="3590">
        <f>I333</f>
        <v>73143</v>
      </c>
    </row>
    <row r="334" spans="1:21" ht="51">
      <c r="A334" s="3650" t="s">
        <v>4028</v>
      </c>
      <c r="B334" s="3755">
        <v>258.63</v>
      </c>
      <c r="C334" s="3753" t="s">
        <v>4027</v>
      </c>
      <c r="D334" s="3754">
        <v>63</v>
      </c>
      <c r="E334" s="3753" t="s">
        <v>4026</v>
      </c>
      <c r="F334" s="3752" t="s">
        <v>4025</v>
      </c>
      <c r="G334" s="3752" t="s">
        <v>4025</v>
      </c>
      <c r="H334" s="3595">
        <v>430</v>
      </c>
      <c r="I334" s="3595">
        <v>111210.9</v>
      </c>
      <c r="J334" s="3595">
        <v>111210.9</v>
      </c>
      <c r="K334" s="3592" t="s">
        <v>4024</v>
      </c>
      <c r="L334" s="3594">
        <v>45444</v>
      </c>
      <c r="M334" s="3594">
        <v>45564</v>
      </c>
      <c r="N334" s="3751" t="s">
        <v>3806</v>
      </c>
      <c r="O334" s="3627" t="s">
        <v>4018</v>
      </c>
      <c r="P334" s="3591">
        <v>0.08</v>
      </c>
      <c r="Q334" s="3554"/>
      <c r="R334" s="3554"/>
      <c r="S334" s="3554"/>
      <c r="T334" s="3611"/>
    </row>
    <row r="335" spans="1:21" ht="51">
      <c r="A335" s="3645"/>
      <c r="B335" s="3750"/>
      <c r="C335" s="3748"/>
      <c r="D335" s="3749"/>
      <c r="E335" s="3748"/>
      <c r="F335" s="3747"/>
      <c r="G335" s="3747"/>
      <c r="H335" s="3563">
        <v>430</v>
      </c>
      <c r="I335" s="3563">
        <v>111210.9</v>
      </c>
      <c r="J335" s="3563">
        <v>1221796.4630137</v>
      </c>
      <c r="K335" s="3552" t="s">
        <v>4023</v>
      </c>
      <c r="L335" s="3612">
        <v>45565</v>
      </c>
      <c r="M335" s="3612">
        <v>45898</v>
      </c>
      <c r="N335" s="3620">
        <v>0</v>
      </c>
      <c r="O335" s="3619" t="s">
        <v>4018</v>
      </c>
      <c r="P335" s="3618">
        <v>0.08</v>
      </c>
      <c r="Q335" s="3571">
        <v>10</v>
      </c>
      <c r="R335" s="3571">
        <v>1042</v>
      </c>
      <c r="S335" s="3571"/>
      <c r="T335" s="3571"/>
      <c r="U335" s="3590">
        <f>I335</f>
        <v>111210.9</v>
      </c>
    </row>
    <row r="336" spans="1:21" ht="51">
      <c r="A336" s="3645"/>
      <c r="B336" s="3750"/>
      <c r="C336" s="3748"/>
      <c r="D336" s="3749"/>
      <c r="E336" s="3748"/>
      <c r="F336" s="3747"/>
      <c r="G336" s="3747"/>
      <c r="H336" s="3563">
        <v>440</v>
      </c>
      <c r="I336" s="3563">
        <v>113797.2</v>
      </c>
      <c r="J336" s="3563">
        <v>1367748.8120547901</v>
      </c>
      <c r="K336" s="3552" t="s">
        <v>4022</v>
      </c>
      <c r="L336" s="3612">
        <v>45899</v>
      </c>
      <c r="M336" s="3612">
        <v>46263</v>
      </c>
      <c r="N336" s="3620">
        <v>0</v>
      </c>
      <c r="O336" s="3619" t="s">
        <v>4018</v>
      </c>
      <c r="P336" s="3618">
        <v>0.08</v>
      </c>
      <c r="Q336" s="3571"/>
      <c r="R336" s="3571"/>
      <c r="S336" s="3571"/>
      <c r="T336" s="3571"/>
    </row>
    <row r="337" spans="1:21" ht="51">
      <c r="A337" s="3645"/>
      <c r="B337" s="3750"/>
      <c r="C337" s="3748"/>
      <c r="D337" s="3749"/>
      <c r="E337" s="3748"/>
      <c r="F337" s="3747"/>
      <c r="G337" s="3747"/>
      <c r="H337" s="3563">
        <v>450</v>
      </c>
      <c r="I337" s="3563">
        <v>116383.5</v>
      </c>
      <c r="J337" s="3563">
        <v>1398834.01232877</v>
      </c>
      <c r="K337" s="3552" t="s">
        <v>4021</v>
      </c>
      <c r="L337" s="3612">
        <v>46264</v>
      </c>
      <c r="M337" s="3612">
        <v>46628</v>
      </c>
      <c r="N337" s="3620">
        <v>0</v>
      </c>
      <c r="O337" s="3619" t="s">
        <v>4018</v>
      </c>
      <c r="P337" s="3618">
        <v>0.09</v>
      </c>
      <c r="Q337" s="3563">
        <v>10</v>
      </c>
      <c r="R337" s="3563">
        <v>1042</v>
      </c>
      <c r="S337" s="3563"/>
      <c r="T337" s="3563"/>
    </row>
    <row r="338" spans="1:21" ht="51">
      <c r="A338" s="3645"/>
      <c r="B338" s="3750"/>
      <c r="C338" s="3748"/>
      <c r="D338" s="3749"/>
      <c r="E338" s="3748"/>
      <c r="F338" s="3747"/>
      <c r="G338" s="3747"/>
      <c r="H338" s="3563">
        <v>460</v>
      </c>
      <c r="I338" s="3563">
        <v>118969.8</v>
      </c>
      <c r="J338" s="3563">
        <v>1429919.2126027399</v>
      </c>
      <c r="K338" s="3552" t="s">
        <v>4020</v>
      </c>
      <c r="L338" s="3612">
        <v>46629</v>
      </c>
      <c r="M338" s="3612">
        <v>46994</v>
      </c>
      <c r="N338" s="3620">
        <v>0</v>
      </c>
      <c r="O338" s="3619" t="s">
        <v>4018</v>
      </c>
      <c r="P338" s="3618">
        <v>0.09</v>
      </c>
      <c r="Q338" s="3742">
        <v>10</v>
      </c>
      <c r="R338" s="3563">
        <v>1042</v>
      </c>
      <c r="S338" s="3742"/>
      <c r="T338" s="3742"/>
    </row>
    <row r="339" spans="1:21" ht="51">
      <c r="A339" s="3639"/>
      <c r="B339" s="3746"/>
      <c r="C339" s="3744"/>
      <c r="D339" s="3745"/>
      <c r="E339" s="3744"/>
      <c r="F339" s="3743"/>
      <c r="G339" s="3743"/>
      <c r="H339" s="3563">
        <v>470</v>
      </c>
      <c r="I339" s="3563">
        <v>121556.1</v>
      </c>
      <c r="J339" s="3563">
        <v>1461004.4128767101</v>
      </c>
      <c r="K339" s="3552" t="s">
        <v>4019</v>
      </c>
      <c r="L339" s="3612">
        <v>46995</v>
      </c>
      <c r="M339" s="3612">
        <v>47359</v>
      </c>
      <c r="N339" s="3620">
        <v>0</v>
      </c>
      <c r="O339" s="3619" t="s">
        <v>4018</v>
      </c>
      <c r="P339" s="3618">
        <v>0.1</v>
      </c>
      <c r="Q339" s="3742"/>
      <c r="R339" s="3742"/>
      <c r="S339" s="3742"/>
      <c r="T339" s="3742"/>
    </row>
    <row r="340" spans="1:21" ht="25.5">
      <c r="A340" s="3562" t="s">
        <v>4017</v>
      </c>
      <c r="B340" s="3562">
        <v>117.38</v>
      </c>
      <c r="C340" s="3614">
        <v>45802</v>
      </c>
      <c r="D340" s="3562"/>
      <c r="E340" s="3614">
        <v>47307</v>
      </c>
      <c r="F340" s="3562"/>
      <c r="G340" s="3614">
        <v>45802</v>
      </c>
      <c r="H340" s="3595">
        <v>360</v>
      </c>
      <c r="I340" s="3595">
        <v>35712</v>
      </c>
      <c r="J340" s="3595">
        <v>35712</v>
      </c>
      <c r="K340" s="3592" t="s">
        <v>4016</v>
      </c>
      <c r="L340" s="3594"/>
      <c r="M340" s="3594"/>
      <c r="N340" s="3593"/>
      <c r="O340" s="3592"/>
      <c r="P340" s="3591">
        <v>0.1</v>
      </c>
      <c r="Q340" s="3742"/>
      <c r="R340" s="3742"/>
      <c r="S340" s="3742"/>
      <c r="T340" s="3742"/>
      <c r="U340" s="3590">
        <f>I340</f>
        <v>35712</v>
      </c>
    </row>
    <row r="341" spans="1:21" ht="25.5">
      <c r="A341" s="3572"/>
      <c r="B341" s="3572"/>
      <c r="C341" s="3572"/>
      <c r="D341" s="3572"/>
      <c r="E341" s="3572"/>
      <c r="F341" s="3572"/>
      <c r="G341" s="3572"/>
      <c r="H341" s="3595">
        <v>360</v>
      </c>
      <c r="I341" s="3595">
        <v>35712</v>
      </c>
      <c r="J341" s="3595">
        <v>393516.88767123298</v>
      </c>
      <c r="K341" s="3592" t="s">
        <v>4015</v>
      </c>
      <c r="L341" s="3594"/>
      <c r="M341" s="3594"/>
      <c r="N341" s="3593"/>
      <c r="O341" s="3592"/>
      <c r="P341" s="3591">
        <v>0.1</v>
      </c>
      <c r="Q341" s="3742"/>
      <c r="R341" s="3742"/>
      <c r="S341" s="3742"/>
      <c r="T341" s="3742"/>
    </row>
    <row r="342" spans="1:21" ht="25.5">
      <c r="A342" s="3572"/>
      <c r="B342" s="3572"/>
      <c r="C342" s="3572"/>
      <c r="D342" s="3572"/>
      <c r="E342" s="3572"/>
      <c r="F342" s="3572"/>
      <c r="G342" s="3572"/>
      <c r="H342" s="3595">
        <v>378</v>
      </c>
      <c r="I342" s="3595">
        <v>37497.599999999999</v>
      </c>
      <c r="J342" s="3595">
        <v>450690.33205479401</v>
      </c>
      <c r="K342" s="3592" t="s">
        <v>4014</v>
      </c>
      <c r="L342" s="3594"/>
      <c r="M342" s="3594"/>
      <c r="N342" s="3593"/>
      <c r="O342" s="3592"/>
      <c r="P342" s="3591">
        <v>0.105</v>
      </c>
      <c r="Q342" s="3554"/>
      <c r="R342" s="3554"/>
      <c r="S342" s="3554"/>
      <c r="T342" s="3554"/>
    </row>
    <row r="343" spans="1:21" ht="25.5">
      <c r="A343" s="3572"/>
      <c r="B343" s="3572"/>
      <c r="C343" s="3572"/>
      <c r="D343" s="3572"/>
      <c r="E343" s="3572"/>
      <c r="F343" s="3572"/>
      <c r="G343" s="3572"/>
      <c r="H343" s="3595">
        <v>397</v>
      </c>
      <c r="I343" s="3595">
        <v>39382.400000000001</v>
      </c>
      <c r="J343" s="3595">
        <v>473344.07890411001</v>
      </c>
      <c r="K343" s="3592" t="s">
        <v>4013</v>
      </c>
      <c r="L343" s="3594"/>
      <c r="M343" s="3594"/>
      <c r="N343" s="3593"/>
      <c r="O343" s="3592"/>
      <c r="P343" s="3591">
        <v>0.11</v>
      </c>
      <c r="Q343" s="3554"/>
      <c r="R343" s="3554"/>
      <c r="S343" s="3554"/>
      <c r="T343" s="3554"/>
    </row>
    <row r="344" spans="1:21" ht="25.5">
      <c r="A344" s="3572"/>
      <c r="B344" s="3572"/>
      <c r="C344" s="3572"/>
      <c r="D344" s="3572"/>
      <c r="E344" s="3572"/>
      <c r="F344" s="3572"/>
      <c r="G344" s="3572"/>
      <c r="H344" s="3595">
        <v>417</v>
      </c>
      <c r="I344" s="3595">
        <v>41366.400000000001</v>
      </c>
      <c r="J344" s="3595">
        <v>497190.128219178</v>
      </c>
      <c r="K344" s="3592" t="s">
        <v>4012</v>
      </c>
      <c r="L344" s="3594"/>
      <c r="M344" s="3594"/>
      <c r="N344" s="3593"/>
      <c r="O344" s="3592"/>
      <c r="P344" s="3591">
        <v>0.115</v>
      </c>
      <c r="Q344" s="3554"/>
      <c r="R344" s="3554"/>
      <c r="S344" s="3554"/>
      <c r="T344" s="3554"/>
    </row>
    <row r="345" spans="1:21" ht="25.5">
      <c r="A345" s="3604" t="s">
        <v>4011</v>
      </c>
      <c r="B345" s="3604">
        <v>15.1</v>
      </c>
      <c r="C345" s="3615">
        <v>45524</v>
      </c>
      <c r="D345" s="3615"/>
      <c r="E345" s="3615">
        <v>46099</v>
      </c>
      <c r="F345" s="3615">
        <v>45524</v>
      </c>
      <c r="G345" s="3615">
        <v>45524</v>
      </c>
      <c r="H345" s="3563">
        <v>1500</v>
      </c>
      <c r="I345" s="3551">
        <v>22650</v>
      </c>
      <c r="J345" s="3563">
        <v>22650</v>
      </c>
      <c r="K345" s="3563" t="s">
        <v>4010</v>
      </c>
      <c r="L345" s="3612">
        <v>45524</v>
      </c>
      <c r="M345" s="3612">
        <v>45583</v>
      </c>
      <c r="N345" s="3620">
        <v>0</v>
      </c>
      <c r="O345" s="3563"/>
      <c r="P345" s="3738">
        <v>0.16</v>
      </c>
      <c r="Q345" s="3554"/>
      <c r="R345" s="3554"/>
      <c r="S345" s="3554"/>
      <c r="T345" s="3554"/>
    </row>
    <row r="346" spans="1:21" ht="25.5">
      <c r="A346" s="3597"/>
      <c r="B346" s="3597"/>
      <c r="C346" s="3610"/>
      <c r="D346" s="3610"/>
      <c r="E346" s="3610"/>
      <c r="F346" s="3610"/>
      <c r="G346" s="3610"/>
      <c r="H346" s="3563">
        <v>1500</v>
      </c>
      <c r="I346" s="3551">
        <v>22650</v>
      </c>
      <c r="J346" s="3563">
        <v>392186.30136986298</v>
      </c>
      <c r="K346" s="3563" t="s">
        <v>4009</v>
      </c>
      <c r="L346" s="3612">
        <v>45584</v>
      </c>
      <c r="M346" s="3612">
        <v>46099</v>
      </c>
      <c r="N346" s="3620">
        <v>0</v>
      </c>
      <c r="O346" s="3563"/>
      <c r="P346" s="3738">
        <v>0.16</v>
      </c>
      <c r="Q346" s="3554"/>
      <c r="R346" s="3554"/>
      <c r="S346" s="3554"/>
      <c r="T346" s="3554"/>
      <c r="U346" s="3590">
        <f>I346</f>
        <v>22650</v>
      </c>
    </row>
    <row r="347" spans="1:21" ht="25.5">
      <c r="A347" s="3562" t="s">
        <v>4008</v>
      </c>
      <c r="B347" s="3741">
        <v>33</v>
      </c>
      <c r="C347" s="3600">
        <v>44301</v>
      </c>
      <c r="D347" s="3675">
        <v>12</v>
      </c>
      <c r="E347" s="3674">
        <v>44695</v>
      </c>
      <c r="F347" s="3674">
        <v>44331</v>
      </c>
      <c r="G347" s="3673">
        <v>44331</v>
      </c>
      <c r="H347" s="3563">
        <v>1500</v>
      </c>
      <c r="I347" s="3563">
        <v>49500</v>
      </c>
      <c r="J347" s="3563">
        <v>594000</v>
      </c>
      <c r="K347" s="3563" t="s">
        <v>4007</v>
      </c>
      <c r="L347" s="3612">
        <v>44331</v>
      </c>
      <c r="M347" s="3612">
        <v>44695</v>
      </c>
      <c r="N347" s="3602">
        <v>0</v>
      </c>
      <c r="O347" s="3563"/>
      <c r="P347" s="3738">
        <v>0.13</v>
      </c>
      <c r="Q347" s="3554"/>
      <c r="R347" s="3554"/>
      <c r="S347" s="3554"/>
      <c r="T347" s="3554"/>
    </row>
    <row r="348" spans="1:21">
      <c r="A348" s="3572"/>
      <c r="B348" s="3740"/>
      <c r="C348" s="3600"/>
      <c r="D348" s="3675"/>
      <c r="E348" s="3674"/>
      <c r="F348" s="3674"/>
      <c r="G348" s="3673"/>
      <c r="H348" s="3563"/>
      <c r="I348" s="3563">
        <v>0</v>
      </c>
      <c r="J348" s="3563">
        <v>0</v>
      </c>
      <c r="K348" s="3563"/>
      <c r="L348" s="3612"/>
      <c r="M348" s="3612"/>
      <c r="N348" s="3602">
        <v>0</v>
      </c>
      <c r="O348" s="3563"/>
      <c r="P348" s="3738"/>
      <c r="Q348" s="3554"/>
      <c r="R348" s="3554"/>
      <c r="S348" s="3554"/>
      <c r="T348" s="3554"/>
    </row>
    <row r="349" spans="1:21" ht="25.5">
      <c r="A349" s="3572"/>
      <c r="B349" s="3740"/>
      <c r="C349" s="3655">
        <v>44696</v>
      </c>
      <c r="D349" s="3552"/>
      <c r="E349" s="3612">
        <v>45060</v>
      </c>
      <c r="F349" s="3612"/>
      <c r="G349" s="3654"/>
      <c r="H349" s="3563">
        <v>1545</v>
      </c>
      <c r="I349" s="3563">
        <v>50985</v>
      </c>
      <c r="J349" s="3563">
        <v>612797.79452054796</v>
      </c>
      <c r="K349" s="3563" t="s">
        <v>4006</v>
      </c>
      <c r="L349" s="3612">
        <v>44696</v>
      </c>
      <c r="M349" s="3612">
        <v>45060</v>
      </c>
      <c r="N349" s="3602">
        <v>0</v>
      </c>
      <c r="O349" s="3563"/>
      <c r="P349" s="3738">
        <v>0.13500000000000001</v>
      </c>
      <c r="Q349" s="3637"/>
      <c r="R349" s="3637"/>
      <c r="S349" s="3637"/>
      <c r="T349" s="3637"/>
    </row>
    <row r="350" spans="1:21" ht="48">
      <c r="A350" s="3572"/>
      <c r="B350" s="3740"/>
      <c r="C350" s="3655">
        <v>45061</v>
      </c>
      <c r="D350" s="3552"/>
      <c r="E350" s="3612">
        <v>45426</v>
      </c>
      <c r="F350" s="3612">
        <v>45061</v>
      </c>
      <c r="G350" s="3654">
        <v>45061</v>
      </c>
      <c r="H350" s="3563">
        <v>1635</v>
      </c>
      <c r="I350" s="3563">
        <v>53955</v>
      </c>
      <c r="J350" s="3563">
        <v>648494.75342465797</v>
      </c>
      <c r="K350" s="3563" t="s">
        <v>4005</v>
      </c>
      <c r="L350" s="3612">
        <v>45061</v>
      </c>
      <c r="M350" s="3612">
        <v>45426</v>
      </c>
      <c r="N350" s="3620">
        <v>0</v>
      </c>
      <c r="O350" s="3739" t="s">
        <v>4003</v>
      </c>
      <c r="P350" s="3738">
        <v>0.13500000000000001</v>
      </c>
      <c r="Q350" s="3637"/>
      <c r="R350" s="3637"/>
      <c r="S350" s="3637"/>
      <c r="T350" s="3637"/>
    </row>
    <row r="351" spans="1:21" ht="48">
      <c r="A351" s="3561"/>
      <c r="B351" s="3737"/>
      <c r="C351" s="3655">
        <v>45427</v>
      </c>
      <c r="D351" s="3552"/>
      <c r="E351" s="3612">
        <v>45791</v>
      </c>
      <c r="F351" s="3612">
        <v>45427</v>
      </c>
      <c r="G351" s="3654">
        <v>45427</v>
      </c>
      <c r="H351" s="3595">
        <v>1655</v>
      </c>
      <c r="I351" s="3595">
        <v>54615</v>
      </c>
      <c r="J351" s="3595">
        <v>656427.41095890396</v>
      </c>
      <c r="K351" s="3595" t="s">
        <v>4004</v>
      </c>
      <c r="L351" s="3594">
        <v>45427</v>
      </c>
      <c r="M351" s="3594">
        <v>45791</v>
      </c>
      <c r="N351" s="3593">
        <v>54615</v>
      </c>
      <c r="O351" s="3736" t="s">
        <v>4003</v>
      </c>
      <c r="P351" s="3735">
        <v>0.13500000000000001</v>
      </c>
      <c r="Q351" s="3637"/>
      <c r="R351" s="3637"/>
      <c r="S351" s="3637"/>
      <c r="T351" s="3637"/>
      <c r="U351" s="3590">
        <f>I351</f>
        <v>54615</v>
      </c>
    </row>
    <row r="352" spans="1:21" ht="25.5">
      <c r="A352" s="3562" t="s">
        <v>4002</v>
      </c>
      <c r="B352" s="3562">
        <v>83.03</v>
      </c>
      <c r="C352" s="3600">
        <v>44650</v>
      </c>
      <c r="D352" s="3675">
        <v>37</v>
      </c>
      <c r="E352" s="3674">
        <v>45790</v>
      </c>
      <c r="F352" s="3674">
        <v>44695</v>
      </c>
      <c r="G352" s="3673">
        <v>44695</v>
      </c>
      <c r="H352" s="3563">
        <v>631</v>
      </c>
      <c r="I352" s="3563">
        <v>52391.93</v>
      </c>
      <c r="J352" s="3563">
        <v>52391.93</v>
      </c>
      <c r="K352" s="3552" t="s">
        <v>4001</v>
      </c>
      <c r="L352" s="3612">
        <v>44650</v>
      </c>
      <c r="M352" s="3612">
        <v>44725</v>
      </c>
      <c r="N352" s="3602">
        <v>0</v>
      </c>
      <c r="O352" s="3552"/>
      <c r="P352" s="3618">
        <v>0.14000000000000001</v>
      </c>
      <c r="Q352" s="3631">
        <v>10</v>
      </c>
      <c r="R352" s="3631">
        <v>1486.9</v>
      </c>
      <c r="S352" s="3631"/>
      <c r="T352" s="3634" t="s">
        <v>4000</v>
      </c>
    </row>
    <row r="353" spans="1:21" ht="25.5">
      <c r="A353" s="3572"/>
      <c r="B353" s="3572"/>
      <c r="C353" s="3734"/>
      <c r="D353" s="3675"/>
      <c r="E353" s="3675"/>
      <c r="F353" s="3675"/>
      <c r="G353" s="3729"/>
      <c r="H353" s="3563">
        <v>631</v>
      </c>
      <c r="I353" s="3563">
        <v>52391.93</v>
      </c>
      <c r="J353" s="3563">
        <v>575593.532328767</v>
      </c>
      <c r="K353" s="3552" t="s">
        <v>3999</v>
      </c>
      <c r="L353" s="3612">
        <v>44726</v>
      </c>
      <c r="M353" s="3612">
        <v>45059</v>
      </c>
      <c r="N353" s="3602">
        <v>0</v>
      </c>
      <c r="O353" s="3552"/>
      <c r="P353" s="3618">
        <v>0.14000000000000001</v>
      </c>
      <c r="Q353" s="3631"/>
      <c r="R353" s="3631"/>
      <c r="S353" s="3631"/>
      <c r="T353" s="3634"/>
    </row>
    <row r="354" spans="1:21" ht="36">
      <c r="A354" s="3572"/>
      <c r="B354" s="3572"/>
      <c r="C354" s="3734"/>
      <c r="D354" s="3675"/>
      <c r="E354" s="3675"/>
      <c r="F354" s="3675"/>
      <c r="G354" s="3729"/>
      <c r="H354" s="3563">
        <v>668</v>
      </c>
      <c r="I354" s="3563">
        <v>55464.04</v>
      </c>
      <c r="J354" s="3563">
        <v>666632.17391780799</v>
      </c>
      <c r="K354" s="3552" t="s">
        <v>3998</v>
      </c>
      <c r="L354" s="3612">
        <v>45060</v>
      </c>
      <c r="M354" s="3612">
        <v>45425</v>
      </c>
      <c r="N354" s="3620">
        <v>0</v>
      </c>
      <c r="O354" s="3619" t="s">
        <v>3996</v>
      </c>
      <c r="P354" s="3618">
        <v>0.14000000000000001</v>
      </c>
      <c r="Q354" s="3631"/>
      <c r="R354" s="3631"/>
      <c r="S354" s="3631"/>
      <c r="T354" s="3634"/>
    </row>
    <row r="355" spans="1:21" ht="36">
      <c r="A355" s="3572"/>
      <c r="B355" s="3572"/>
      <c r="C355" s="3734"/>
      <c r="D355" s="3675"/>
      <c r="E355" s="3675"/>
      <c r="F355" s="3675"/>
      <c r="G355" s="3729"/>
      <c r="H355" s="3595">
        <v>705</v>
      </c>
      <c r="I355" s="3595">
        <v>58536.15</v>
      </c>
      <c r="J355" s="3595">
        <v>703556.41109588998</v>
      </c>
      <c r="K355" s="3592" t="s">
        <v>3997</v>
      </c>
      <c r="L355" s="3594">
        <v>45426</v>
      </c>
      <c r="M355" s="3594">
        <v>45790</v>
      </c>
      <c r="N355" s="3593">
        <v>58536.15</v>
      </c>
      <c r="O355" s="3627" t="s">
        <v>3996</v>
      </c>
      <c r="P355" s="3591">
        <v>0.15</v>
      </c>
      <c r="Q355" s="3631"/>
      <c r="R355" s="3631"/>
      <c r="S355" s="3631"/>
      <c r="T355" s="3634"/>
    </row>
    <row r="356" spans="1:21" ht="25.5">
      <c r="A356" s="3561"/>
      <c r="B356" s="3561"/>
      <c r="C356" s="3655">
        <v>45791</v>
      </c>
      <c r="D356" s="3552"/>
      <c r="E356" s="3612">
        <v>46155</v>
      </c>
      <c r="F356" s="3552"/>
      <c r="G356" s="3728"/>
      <c r="H356" s="3595">
        <v>705</v>
      </c>
      <c r="I356" s="3595">
        <v>58536.15</v>
      </c>
      <c r="J356" s="3595">
        <v>703556.41109588998</v>
      </c>
      <c r="K356" s="3592" t="s">
        <v>3995</v>
      </c>
      <c r="L356" s="3594"/>
      <c r="M356" s="3594"/>
      <c r="N356" s="3593"/>
      <c r="O356" s="3627"/>
      <c r="P356" s="3591">
        <v>0.15</v>
      </c>
      <c r="Q356" s="3637">
        <v>10</v>
      </c>
      <c r="R356" s="3637">
        <v>1496.8</v>
      </c>
      <c r="S356" s="3637"/>
      <c r="T356" s="3637" t="s">
        <v>3994</v>
      </c>
      <c r="U356" s="3590">
        <f>I356</f>
        <v>58536.15</v>
      </c>
    </row>
    <row r="357" spans="1:21" ht="25.5">
      <c r="A357" s="3733" t="s">
        <v>3993</v>
      </c>
      <c r="B357" s="3733">
        <v>36.6</v>
      </c>
      <c r="C357" s="3732">
        <v>45789</v>
      </c>
      <c r="D357" s="3733"/>
      <c r="E357" s="3732">
        <v>46548</v>
      </c>
      <c r="F357" s="3732">
        <v>45789</v>
      </c>
      <c r="G357" s="3732">
        <v>45789</v>
      </c>
      <c r="H357" s="3563">
        <v>515</v>
      </c>
      <c r="I357" s="3563">
        <v>18849</v>
      </c>
      <c r="J357" s="3563">
        <v>18849</v>
      </c>
      <c r="K357" s="3552" t="s">
        <v>3992</v>
      </c>
      <c r="L357" s="3612"/>
      <c r="M357" s="3612"/>
      <c r="N357" s="3620"/>
      <c r="O357" s="3619"/>
      <c r="P357" s="3618">
        <v>0.1</v>
      </c>
      <c r="Q357" s="3637"/>
      <c r="R357" s="3637"/>
      <c r="S357" s="3637"/>
      <c r="T357" s="3637"/>
    </row>
    <row r="358" spans="1:21" ht="25.5">
      <c r="A358" s="3731"/>
      <c r="B358" s="3731"/>
      <c r="C358" s="3731"/>
      <c r="D358" s="3731"/>
      <c r="E358" s="3731"/>
      <c r="F358" s="3731"/>
      <c r="G358" s="3731"/>
      <c r="H358" s="3563">
        <v>515</v>
      </c>
      <c r="I358" s="3563">
        <v>18849</v>
      </c>
      <c r="J358" s="3563">
        <v>207700.48767123299</v>
      </c>
      <c r="K358" s="3552" t="s">
        <v>3991</v>
      </c>
      <c r="L358" s="3612"/>
      <c r="M358" s="3612"/>
      <c r="N358" s="3620"/>
      <c r="O358" s="3619"/>
      <c r="P358" s="3618">
        <v>0.1</v>
      </c>
      <c r="Q358" s="3637"/>
      <c r="R358" s="3637"/>
      <c r="S358" s="3637"/>
      <c r="T358" s="3637"/>
      <c r="U358" s="3590">
        <f>I358</f>
        <v>18849</v>
      </c>
    </row>
    <row r="359" spans="1:21" ht="25.5">
      <c r="A359" s="3730"/>
      <c r="B359" s="3730"/>
      <c r="C359" s="3730"/>
      <c r="D359" s="3730"/>
      <c r="E359" s="3730"/>
      <c r="F359" s="3730"/>
      <c r="G359" s="3730"/>
      <c r="H359" s="3563">
        <v>533</v>
      </c>
      <c r="I359" s="3563">
        <v>19507.8</v>
      </c>
      <c r="J359" s="3563">
        <v>233826.369863014</v>
      </c>
      <c r="K359" s="3552" t="s">
        <v>3990</v>
      </c>
      <c r="L359" s="3612"/>
      <c r="M359" s="3612"/>
      <c r="N359" s="3620"/>
      <c r="O359" s="3619"/>
      <c r="P359" s="3618">
        <v>0.1</v>
      </c>
      <c r="Q359" s="3637">
        <v>10</v>
      </c>
      <c r="R359" s="3637">
        <v>618</v>
      </c>
      <c r="S359" s="3637"/>
      <c r="T359" s="3637"/>
    </row>
    <row r="360" spans="1:21" ht="25.5">
      <c r="A360" s="3562" t="s">
        <v>3989</v>
      </c>
      <c r="B360" s="3562">
        <v>30.8</v>
      </c>
      <c r="C360" s="3600">
        <v>44650</v>
      </c>
      <c r="D360" s="3675">
        <v>23</v>
      </c>
      <c r="E360" s="3674">
        <v>45380</v>
      </c>
      <c r="F360" s="3674">
        <v>44680</v>
      </c>
      <c r="G360" s="3673">
        <v>44680</v>
      </c>
      <c r="H360" s="3563">
        <v>1100</v>
      </c>
      <c r="I360" s="3563">
        <v>33880</v>
      </c>
      <c r="J360" s="3563">
        <v>33880</v>
      </c>
      <c r="K360" s="3552" t="s">
        <v>3988</v>
      </c>
      <c r="L360" s="3612">
        <v>44650</v>
      </c>
      <c r="M360" s="3612">
        <v>44709</v>
      </c>
      <c r="N360" s="3602">
        <v>0</v>
      </c>
      <c r="O360" s="3552"/>
      <c r="P360" s="3618">
        <v>0.15</v>
      </c>
      <c r="Q360" s="3637"/>
      <c r="R360" s="3637"/>
      <c r="S360" s="3637"/>
      <c r="T360" s="3637"/>
    </row>
    <row r="361" spans="1:21" ht="25.5">
      <c r="A361" s="3572"/>
      <c r="B361" s="3572"/>
      <c r="C361" s="3600"/>
      <c r="D361" s="3675"/>
      <c r="E361" s="3675"/>
      <c r="F361" s="3675"/>
      <c r="G361" s="3673"/>
      <c r="H361" s="3563">
        <v>1100</v>
      </c>
      <c r="I361" s="3563">
        <v>33880</v>
      </c>
      <c r="J361" s="3563">
        <v>340563.616438356</v>
      </c>
      <c r="K361" s="3552" t="s">
        <v>3987</v>
      </c>
      <c r="L361" s="3612">
        <v>44710</v>
      </c>
      <c r="M361" s="3612">
        <v>45014</v>
      </c>
      <c r="N361" s="3602">
        <v>0</v>
      </c>
      <c r="O361" s="3552"/>
      <c r="P361" s="3618">
        <v>0.15</v>
      </c>
      <c r="Q361" s="3637"/>
      <c r="R361" s="3637"/>
      <c r="S361" s="3637"/>
      <c r="T361" s="3637"/>
    </row>
    <row r="362" spans="1:21" ht="25.5">
      <c r="A362" s="3572"/>
      <c r="B362" s="3572"/>
      <c r="C362" s="3600"/>
      <c r="D362" s="3675"/>
      <c r="E362" s="3675"/>
      <c r="F362" s="3675"/>
      <c r="G362" s="3673"/>
      <c r="H362" s="3563">
        <v>1150</v>
      </c>
      <c r="I362" s="3563">
        <v>35420</v>
      </c>
      <c r="J362" s="3563">
        <v>425719.287671233</v>
      </c>
      <c r="K362" s="3552" t="s">
        <v>3986</v>
      </c>
      <c r="L362" s="3612">
        <v>45015</v>
      </c>
      <c r="M362" s="3612">
        <v>45380</v>
      </c>
      <c r="N362" s="3620">
        <v>0</v>
      </c>
      <c r="O362" s="3552" t="s">
        <v>3984</v>
      </c>
      <c r="P362" s="3618">
        <v>0.15</v>
      </c>
      <c r="Q362" s="3631">
        <v>10</v>
      </c>
      <c r="R362" s="3631">
        <v>618</v>
      </c>
      <c r="S362" s="3631"/>
      <c r="T362" s="3631" t="s">
        <v>3985</v>
      </c>
    </row>
    <row r="363" spans="1:21" ht="25.5">
      <c r="A363" s="3572"/>
      <c r="B363" s="3572"/>
      <c r="C363" s="3655">
        <v>45381</v>
      </c>
      <c r="D363" s="3634">
        <v>12</v>
      </c>
      <c r="E363" s="3612">
        <v>45745</v>
      </c>
      <c r="F363" s="3552"/>
      <c r="G363" s="3654"/>
      <c r="H363" s="3595">
        <v>1300</v>
      </c>
      <c r="I363" s="3595">
        <v>40040</v>
      </c>
      <c r="J363" s="3595">
        <v>481247.89041095902</v>
      </c>
      <c r="K363" s="3592" t="s">
        <v>3918</v>
      </c>
      <c r="L363" s="3594">
        <v>45381</v>
      </c>
      <c r="M363" s="3594">
        <v>45745</v>
      </c>
      <c r="N363" s="3593">
        <v>40040</v>
      </c>
      <c r="O363" s="3592" t="s">
        <v>3984</v>
      </c>
      <c r="P363" s="3591">
        <v>0.15</v>
      </c>
      <c r="Q363" s="3631"/>
      <c r="R363" s="3631"/>
      <c r="S363" s="3631"/>
      <c r="T363" s="3631"/>
    </row>
    <row r="364" spans="1:21" ht="25.5">
      <c r="A364" s="3561"/>
      <c r="B364" s="3561"/>
      <c r="C364" s="3655"/>
      <c r="D364" s="3634"/>
      <c r="E364" s="3612"/>
      <c r="F364" s="3552"/>
      <c r="G364" s="3654"/>
      <c r="H364" s="3595">
        <v>1350</v>
      </c>
      <c r="I364" s="3595">
        <v>41580</v>
      </c>
      <c r="J364" s="3595">
        <v>501694.02739726001</v>
      </c>
      <c r="K364" s="3592" t="s">
        <v>3983</v>
      </c>
      <c r="L364" s="3594"/>
      <c r="M364" s="3594"/>
      <c r="N364" s="3593"/>
      <c r="O364" s="3592"/>
      <c r="P364" s="3591">
        <v>0.15</v>
      </c>
      <c r="Q364" s="3554"/>
      <c r="R364" s="3554"/>
      <c r="S364" s="3563"/>
      <c r="T364" s="3552"/>
      <c r="U364" s="3590">
        <f>I364</f>
        <v>41580</v>
      </c>
    </row>
    <row r="365" spans="1:21" ht="25.5">
      <c r="A365" s="3562" t="s">
        <v>3982</v>
      </c>
      <c r="B365" s="3562">
        <v>154.9</v>
      </c>
      <c r="C365" s="3600">
        <v>44439</v>
      </c>
      <c r="D365" s="3675">
        <v>37</v>
      </c>
      <c r="E365" s="3674">
        <v>45594</v>
      </c>
      <c r="F365" s="3674">
        <v>44499</v>
      </c>
      <c r="G365" s="3673">
        <v>44499</v>
      </c>
      <c r="H365" s="3563">
        <v>380</v>
      </c>
      <c r="I365" s="3563">
        <v>58862</v>
      </c>
      <c r="J365" s="3563">
        <v>58862</v>
      </c>
      <c r="K365" s="3552" t="s">
        <v>3902</v>
      </c>
      <c r="L365" s="3612">
        <v>44439</v>
      </c>
      <c r="M365" s="3612">
        <v>44529</v>
      </c>
      <c r="N365" s="3602">
        <v>0</v>
      </c>
      <c r="O365" s="3552"/>
      <c r="P365" s="3618">
        <v>0.14000000000000001</v>
      </c>
      <c r="Q365" s="3571">
        <v>10</v>
      </c>
      <c r="R365" s="3571">
        <v>1701</v>
      </c>
      <c r="S365" s="3571"/>
      <c r="T365" s="3675" t="s">
        <v>3779</v>
      </c>
    </row>
    <row r="366" spans="1:21" ht="25.5">
      <c r="A366" s="3572"/>
      <c r="B366" s="3572"/>
      <c r="C366" s="3600"/>
      <c r="D366" s="3675"/>
      <c r="E366" s="3674"/>
      <c r="F366" s="3674"/>
      <c r="G366" s="3673"/>
      <c r="H366" s="3563">
        <v>380</v>
      </c>
      <c r="I366" s="3563">
        <v>58862</v>
      </c>
      <c r="J366" s="3563">
        <v>646675.67123287695</v>
      </c>
      <c r="K366" s="3552" t="s">
        <v>3901</v>
      </c>
      <c r="L366" s="3612">
        <v>44530</v>
      </c>
      <c r="M366" s="3612">
        <v>44863</v>
      </c>
      <c r="N366" s="3602">
        <v>0</v>
      </c>
      <c r="O366" s="3552"/>
      <c r="P366" s="3618">
        <v>0.14000000000000001</v>
      </c>
      <c r="Q366" s="3571"/>
      <c r="R366" s="3571"/>
      <c r="S366" s="3571"/>
      <c r="T366" s="3675"/>
    </row>
    <row r="367" spans="1:21" ht="25.5">
      <c r="A367" s="3572"/>
      <c r="B367" s="3572"/>
      <c r="C367" s="3600"/>
      <c r="D367" s="3675"/>
      <c r="E367" s="3674"/>
      <c r="F367" s="3674"/>
      <c r="G367" s="3673"/>
      <c r="H367" s="3563">
        <v>400</v>
      </c>
      <c r="I367" s="3563">
        <v>61960</v>
      </c>
      <c r="J367" s="3563">
        <v>744708.27397260303</v>
      </c>
      <c r="K367" s="3552" t="s">
        <v>3900</v>
      </c>
      <c r="L367" s="3612">
        <v>44864</v>
      </c>
      <c r="M367" s="3612">
        <v>45228</v>
      </c>
      <c r="N367" s="3602">
        <v>0</v>
      </c>
      <c r="O367" s="3552"/>
      <c r="P367" s="3618">
        <v>0.15</v>
      </c>
      <c r="Q367" s="3571"/>
      <c r="R367" s="3571"/>
      <c r="S367" s="3571"/>
      <c r="T367" s="3675"/>
    </row>
    <row r="368" spans="1:21" ht="36">
      <c r="A368" s="3572"/>
      <c r="B368" s="3572"/>
      <c r="C368" s="3600"/>
      <c r="D368" s="3675"/>
      <c r="E368" s="3674"/>
      <c r="F368" s="3674"/>
      <c r="G368" s="3673"/>
      <c r="H368" s="3595">
        <v>430</v>
      </c>
      <c r="I368" s="3595">
        <v>66607</v>
      </c>
      <c r="J368" s="3595">
        <v>800561.39452054806</v>
      </c>
      <c r="K368" s="3592" t="s">
        <v>3899</v>
      </c>
      <c r="L368" s="3594">
        <v>45229</v>
      </c>
      <c r="M368" s="3594">
        <v>45594</v>
      </c>
      <c r="N368" s="3593">
        <v>66607</v>
      </c>
      <c r="O368" s="3627" t="s">
        <v>3981</v>
      </c>
      <c r="P368" s="3591">
        <v>0.15</v>
      </c>
      <c r="Q368" s="3571"/>
      <c r="R368" s="3571"/>
      <c r="S368" s="3571"/>
      <c r="T368" s="3675"/>
    </row>
    <row r="369" spans="1:21" ht="25.5">
      <c r="A369" s="3561"/>
      <c r="B369" s="3561"/>
      <c r="C369" s="3655"/>
      <c r="D369" s="3552"/>
      <c r="E369" s="3612"/>
      <c r="F369" s="3612"/>
      <c r="G369" s="3654"/>
      <c r="H369" s="3595">
        <v>430</v>
      </c>
      <c r="I369" s="3595">
        <v>66607</v>
      </c>
      <c r="J369" s="3595">
        <v>800561.39452054806</v>
      </c>
      <c r="K369" s="3592" t="s">
        <v>3980</v>
      </c>
      <c r="L369" s="3594">
        <v>45595</v>
      </c>
      <c r="M369" s="3594">
        <v>45959</v>
      </c>
      <c r="N369" s="3593">
        <v>0</v>
      </c>
      <c r="O369" s="3627"/>
      <c r="P369" s="3591">
        <v>0.15</v>
      </c>
      <c r="Q369" s="3563"/>
      <c r="R369" s="3563"/>
      <c r="S369" s="3563"/>
      <c r="T369" s="3552"/>
      <c r="U369" s="3590">
        <f>I369</f>
        <v>66607</v>
      </c>
    </row>
    <row r="370" spans="1:21" ht="25.5">
      <c r="A370" s="3562" t="s">
        <v>3979</v>
      </c>
      <c r="B370" s="3664">
        <v>90</v>
      </c>
      <c r="C370" s="3600" t="s">
        <v>3978</v>
      </c>
      <c r="D370" s="3675">
        <v>37.5</v>
      </c>
      <c r="E370" s="3674">
        <v>43583</v>
      </c>
      <c r="F370" s="3674">
        <v>42490</v>
      </c>
      <c r="G370" s="3673">
        <v>42490</v>
      </c>
      <c r="H370" s="3563">
        <v>350</v>
      </c>
      <c r="I370" s="3563">
        <v>31500</v>
      </c>
      <c r="J370" s="3563">
        <v>377568.49</v>
      </c>
      <c r="K370" s="3552" t="s">
        <v>3977</v>
      </c>
      <c r="L370" s="3612">
        <v>42490</v>
      </c>
      <c r="M370" s="3612">
        <v>42853</v>
      </c>
      <c r="N370" s="3602">
        <v>0</v>
      </c>
      <c r="O370" s="3552"/>
      <c r="P370" s="3618">
        <v>0.11</v>
      </c>
      <c r="Q370" s="3683">
        <v>10</v>
      </c>
      <c r="R370" s="3683">
        <v>2586.3000000000002</v>
      </c>
      <c r="S370" s="3683"/>
      <c r="T370" s="3683" t="s">
        <v>3976</v>
      </c>
    </row>
    <row r="371" spans="1:21" ht="25.5">
      <c r="A371" s="3572"/>
      <c r="B371" s="3662"/>
      <c r="C371" s="3600"/>
      <c r="D371" s="3675"/>
      <c r="E371" s="3675"/>
      <c r="F371" s="3675"/>
      <c r="G371" s="3729"/>
      <c r="H371" s="3563">
        <v>360</v>
      </c>
      <c r="I371" s="3563">
        <v>32400</v>
      </c>
      <c r="J371" s="3563">
        <v>388356.16</v>
      </c>
      <c r="K371" s="3552" t="s">
        <v>3975</v>
      </c>
      <c r="L371" s="3612">
        <v>42854</v>
      </c>
      <c r="M371" s="3612">
        <v>43218</v>
      </c>
      <c r="N371" s="3602">
        <v>0</v>
      </c>
      <c r="O371" s="3552"/>
      <c r="P371" s="3618">
        <v>0.12</v>
      </c>
      <c r="Q371" s="3678"/>
      <c r="R371" s="3678"/>
      <c r="S371" s="3678"/>
      <c r="T371" s="3678"/>
    </row>
    <row r="372" spans="1:21" ht="25.5">
      <c r="A372" s="3572"/>
      <c r="B372" s="3662"/>
      <c r="C372" s="3600"/>
      <c r="D372" s="3675"/>
      <c r="E372" s="3675"/>
      <c r="F372" s="3675"/>
      <c r="G372" s="3729"/>
      <c r="H372" s="3563">
        <v>370</v>
      </c>
      <c r="I372" s="3563">
        <v>33300</v>
      </c>
      <c r="J372" s="3563">
        <v>399143.84</v>
      </c>
      <c r="K372" s="3552" t="s">
        <v>3974</v>
      </c>
      <c r="L372" s="3612">
        <v>43219</v>
      </c>
      <c r="M372" s="3612">
        <v>43583</v>
      </c>
      <c r="N372" s="3602">
        <v>0</v>
      </c>
      <c r="O372" s="3552"/>
      <c r="P372" s="3618">
        <v>0.13</v>
      </c>
      <c r="Q372" s="3678"/>
      <c r="R372" s="3678"/>
      <c r="S372" s="3678"/>
      <c r="T372" s="3678"/>
    </row>
    <row r="373" spans="1:21" ht="25.5">
      <c r="A373" s="3572"/>
      <c r="B373" s="3662"/>
      <c r="C373" s="3600">
        <v>43584</v>
      </c>
      <c r="D373" s="3675">
        <v>24</v>
      </c>
      <c r="E373" s="3674">
        <v>44314</v>
      </c>
      <c r="F373" s="3674">
        <v>43584</v>
      </c>
      <c r="G373" s="3673">
        <v>43584</v>
      </c>
      <c r="H373" s="3563">
        <v>500</v>
      </c>
      <c r="I373" s="3563">
        <v>45000</v>
      </c>
      <c r="J373" s="3563">
        <v>539383.56164383597</v>
      </c>
      <c r="K373" s="3552" t="s">
        <v>3973</v>
      </c>
      <c r="L373" s="3612">
        <v>43584</v>
      </c>
      <c r="M373" s="3612">
        <v>43949</v>
      </c>
      <c r="N373" s="3602">
        <v>0</v>
      </c>
      <c r="O373" s="3552"/>
      <c r="P373" s="3618">
        <v>0.13500000000000001</v>
      </c>
      <c r="Q373" s="3678"/>
      <c r="R373" s="3678"/>
      <c r="S373" s="3678"/>
      <c r="T373" s="3678"/>
    </row>
    <row r="374" spans="1:21" ht="25.5">
      <c r="A374" s="3572"/>
      <c r="B374" s="3662"/>
      <c r="C374" s="3600"/>
      <c r="D374" s="3675"/>
      <c r="E374" s="3675"/>
      <c r="F374" s="3675"/>
      <c r="G374" s="3729"/>
      <c r="H374" s="3563">
        <v>530</v>
      </c>
      <c r="I374" s="3563">
        <v>47700</v>
      </c>
      <c r="J374" s="3563">
        <v>571746.57534246601</v>
      </c>
      <c r="K374" s="3552" t="s">
        <v>3972</v>
      </c>
      <c r="L374" s="3612">
        <v>43950</v>
      </c>
      <c r="M374" s="3612">
        <v>44314</v>
      </c>
      <c r="N374" s="3602">
        <v>0</v>
      </c>
      <c r="O374" s="3552"/>
      <c r="P374" s="3618">
        <v>0.13500000000000001</v>
      </c>
      <c r="Q374" s="3678"/>
      <c r="R374" s="3678"/>
      <c r="S374" s="3678"/>
      <c r="T374" s="3678"/>
    </row>
    <row r="375" spans="1:21" ht="25.5">
      <c r="A375" s="3572"/>
      <c r="B375" s="3662"/>
      <c r="C375" s="3655"/>
      <c r="D375" s="3552"/>
      <c r="E375" s="3552"/>
      <c r="F375" s="3552"/>
      <c r="G375" s="3728"/>
      <c r="H375" s="3563">
        <v>530</v>
      </c>
      <c r="I375" s="3563">
        <v>47700</v>
      </c>
      <c r="J375" s="3563">
        <v>572400</v>
      </c>
      <c r="K375" s="3552" t="s">
        <v>3971</v>
      </c>
      <c r="L375" s="3612">
        <v>44315</v>
      </c>
      <c r="M375" s="3612">
        <v>44679</v>
      </c>
      <c r="N375" s="3602">
        <v>0</v>
      </c>
      <c r="O375" s="3552"/>
      <c r="P375" s="3618">
        <v>0.13500000000000001</v>
      </c>
      <c r="Q375" s="3676"/>
      <c r="R375" s="3676"/>
      <c r="S375" s="3676"/>
      <c r="T375" s="3676"/>
    </row>
    <row r="376" spans="1:21" ht="25.5">
      <c r="A376" s="3572"/>
      <c r="B376" s="3662"/>
      <c r="C376" s="3655">
        <v>44680</v>
      </c>
      <c r="D376" s="3552">
        <v>12</v>
      </c>
      <c r="E376" s="3612">
        <v>45044</v>
      </c>
      <c r="F376" s="3552"/>
      <c r="G376" s="3728"/>
      <c r="H376" s="3563">
        <v>556</v>
      </c>
      <c r="I376" s="3563">
        <v>50040</v>
      </c>
      <c r="J376" s="3563">
        <v>599794.52054794505</v>
      </c>
      <c r="K376" s="3552" t="s">
        <v>3970</v>
      </c>
      <c r="L376" s="3612">
        <v>44680</v>
      </c>
      <c r="M376" s="3612">
        <v>45044</v>
      </c>
      <c r="N376" s="3602">
        <v>0</v>
      </c>
      <c r="O376" s="3552"/>
      <c r="P376" s="3618">
        <v>0.13500000000000001</v>
      </c>
      <c r="Q376" s="3571">
        <v>10</v>
      </c>
      <c r="R376" s="3571">
        <v>3328.4</v>
      </c>
      <c r="S376" s="3571"/>
      <c r="T376" s="3675" t="s">
        <v>3969</v>
      </c>
    </row>
    <row r="377" spans="1:21" ht="25.5">
      <c r="A377" s="3572"/>
      <c r="B377" s="3662"/>
      <c r="C377" s="3655">
        <v>45045</v>
      </c>
      <c r="D377" s="3552"/>
      <c r="E377" s="3612">
        <v>45135</v>
      </c>
      <c r="F377" s="3612">
        <v>45045</v>
      </c>
      <c r="G377" s="3654">
        <v>45045</v>
      </c>
      <c r="H377" s="3563">
        <v>389.2</v>
      </c>
      <c r="I377" s="3563">
        <v>35028</v>
      </c>
      <c r="J377" s="3563">
        <v>104604.16438356201</v>
      </c>
      <c r="K377" s="3552" t="s">
        <v>3968</v>
      </c>
      <c r="L377" s="3612">
        <v>45045</v>
      </c>
      <c r="M377" s="3612">
        <v>45135</v>
      </c>
      <c r="N377" s="3602">
        <v>0</v>
      </c>
      <c r="O377" s="3552"/>
      <c r="P377" s="3618">
        <v>0.13500000000000001</v>
      </c>
      <c r="Q377" s="3571"/>
      <c r="R377" s="3571"/>
      <c r="S377" s="3571"/>
      <c r="T377" s="3675"/>
    </row>
    <row r="378" spans="1:21" ht="25.5">
      <c r="A378" s="3572"/>
      <c r="B378" s="3662"/>
      <c r="C378" s="3655">
        <v>45136</v>
      </c>
      <c r="D378" s="3552"/>
      <c r="E378" s="3612">
        <v>45227</v>
      </c>
      <c r="F378" s="3612">
        <v>45136</v>
      </c>
      <c r="G378" s="3654">
        <v>45136</v>
      </c>
      <c r="H378" s="3563">
        <v>389.2</v>
      </c>
      <c r="I378" s="3563">
        <v>35028</v>
      </c>
      <c r="J378" s="3563">
        <v>526091.76986301399</v>
      </c>
      <c r="K378" s="3552" t="s">
        <v>3967</v>
      </c>
      <c r="L378" s="3612">
        <v>45136</v>
      </c>
      <c r="M378" s="3612">
        <v>45227</v>
      </c>
      <c r="N378" s="3602">
        <v>0</v>
      </c>
      <c r="O378" s="3552"/>
      <c r="P378" s="3618">
        <v>0.13500000000000001</v>
      </c>
      <c r="Q378" s="3571"/>
      <c r="R378" s="3571"/>
      <c r="S378" s="3571"/>
      <c r="T378" s="3675"/>
    </row>
    <row r="379" spans="1:21" ht="36">
      <c r="A379" s="3561"/>
      <c r="B379" s="3659"/>
      <c r="C379" s="3655">
        <v>45228</v>
      </c>
      <c r="D379" s="3552"/>
      <c r="E379" s="3612">
        <v>45593</v>
      </c>
      <c r="F379" s="3612">
        <v>45228</v>
      </c>
      <c r="G379" s="3654">
        <v>45228</v>
      </c>
      <c r="H379" s="3595">
        <v>395</v>
      </c>
      <c r="I379" s="3595">
        <v>35550</v>
      </c>
      <c r="J379" s="3595">
        <v>427281.78082191799</v>
      </c>
      <c r="K379" s="3592" t="s">
        <v>3966</v>
      </c>
      <c r="L379" s="3594">
        <v>45228</v>
      </c>
      <c r="M379" s="3594">
        <v>45593</v>
      </c>
      <c r="N379" s="3593">
        <v>35550</v>
      </c>
      <c r="O379" s="3627" t="s">
        <v>3965</v>
      </c>
      <c r="P379" s="3591">
        <v>0.13500000000000001</v>
      </c>
      <c r="Q379" s="3571"/>
      <c r="R379" s="3571"/>
      <c r="S379" s="3571"/>
      <c r="T379" s="3675"/>
      <c r="U379" s="3590">
        <f>I379</f>
        <v>35550</v>
      </c>
    </row>
    <row r="380" spans="1:21" ht="25.5">
      <c r="A380" s="3564" t="s">
        <v>3964</v>
      </c>
      <c r="B380" s="3625">
        <v>46.72</v>
      </c>
      <c r="C380" s="3624">
        <v>45110</v>
      </c>
      <c r="D380" s="3550"/>
      <c r="E380" s="3599">
        <v>46225</v>
      </c>
      <c r="F380" s="3599">
        <v>45130</v>
      </c>
      <c r="G380" s="3598">
        <v>45130</v>
      </c>
      <c r="H380" s="3551">
        <v>800</v>
      </c>
      <c r="I380" s="3551">
        <v>37376</v>
      </c>
      <c r="J380" s="3551">
        <v>37376</v>
      </c>
      <c r="K380" s="3550" t="s">
        <v>3963</v>
      </c>
      <c r="L380" s="3603">
        <v>45110</v>
      </c>
      <c r="M380" s="3603">
        <v>45160</v>
      </c>
      <c r="N380" s="3602">
        <v>0</v>
      </c>
      <c r="O380" s="3550"/>
      <c r="P380" s="3585">
        <v>0.11</v>
      </c>
      <c r="Q380" s="3571"/>
      <c r="R380" s="3571"/>
      <c r="S380" s="3571"/>
      <c r="T380" s="3675"/>
    </row>
    <row r="381" spans="1:21" ht="48">
      <c r="A381" s="3564"/>
      <c r="B381" s="3625"/>
      <c r="C381" s="3624"/>
      <c r="D381" s="3550"/>
      <c r="E381" s="3599"/>
      <c r="F381" s="3599"/>
      <c r="G381" s="3598"/>
      <c r="H381" s="3563">
        <v>800</v>
      </c>
      <c r="I381" s="3563">
        <v>37376</v>
      </c>
      <c r="J381" s="3563">
        <v>411852.79999999999</v>
      </c>
      <c r="K381" s="3552" t="s">
        <v>3962</v>
      </c>
      <c r="L381" s="3612">
        <v>45161</v>
      </c>
      <c r="M381" s="3612">
        <v>45495</v>
      </c>
      <c r="N381" s="3620">
        <v>27033.599999999999</v>
      </c>
      <c r="O381" s="3619" t="s">
        <v>3960</v>
      </c>
      <c r="P381" s="3618">
        <v>0.11</v>
      </c>
      <c r="Q381" s="3571"/>
      <c r="R381" s="3571"/>
      <c r="S381" s="3571"/>
      <c r="T381" s="3675"/>
    </row>
    <row r="382" spans="1:21" ht="51">
      <c r="A382" s="3564"/>
      <c r="B382" s="3625"/>
      <c r="C382" s="3624"/>
      <c r="D382" s="3550"/>
      <c r="E382" s="3599"/>
      <c r="F382" s="3599"/>
      <c r="G382" s="3598"/>
      <c r="H382" s="3595">
        <v>850</v>
      </c>
      <c r="I382" s="3595">
        <v>39712</v>
      </c>
      <c r="J382" s="3595">
        <v>477305.59999999998</v>
      </c>
      <c r="K382" s="3592" t="s">
        <v>3961</v>
      </c>
      <c r="L382" s="3594">
        <v>45496</v>
      </c>
      <c r="M382" s="3594">
        <v>45860</v>
      </c>
      <c r="N382" s="3593">
        <v>11750.4</v>
      </c>
      <c r="O382" s="3592" t="s">
        <v>3960</v>
      </c>
      <c r="P382" s="3591">
        <v>0.12</v>
      </c>
      <c r="Q382" s="3571">
        <v>10</v>
      </c>
      <c r="R382" s="3571">
        <v>0</v>
      </c>
      <c r="S382" s="3571"/>
      <c r="T382" s="3571" t="s">
        <v>3779</v>
      </c>
    </row>
    <row r="383" spans="1:21" ht="25.5">
      <c r="A383" s="3564"/>
      <c r="B383" s="3625"/>
      <c r="C383" s="3624"/>
      <c r="D383" s="3550"/>
      <c r="E383" s="3599"/>
      <c r="F383" s="3599"/>
      <c r="G383" s="3598"/>
      <c r="H383" s="3551">
        <v>900</v>
      </c>
      <c r="I383" s="3551">
        <v>42048</v>
      </c>
      <c r="J383" s="3551">
        <v>505382.40000000002</v>
      </c>
      <c r="K383" s="3550" t="s">
        <v>3959</v>
      </c>
      <c r="L383" s="3603">
        <v>45861</v>
      </c>
      <c r="M383" s="3603">
        <v>46225</v>
      </c>
      <c r="N383" s="3602">
        <v>0</v>
      </c>
      <c r="O383" s="3550"/>
      <c r="P383" s="3585">
        <v>0.13</v>
      </c>
      <c r="Q383" s="3571"/>
      <c r="R383" s="3571"/>
      <c r="S383" s="3571"/>
      <c r="T383" s="3571"/>
      <c r="U383" s="3590">
        <f>I383</f>
        <v>42048</v>
      </c>
    </row>
    <row r="384" spans="1:21" ht="25.5">
      <c r="A384" s="3564" t="s">
        <v>3958</v>
      </c>
      <c r="B384" s="3625">
        <v>43.64</v>
      </c>
      <c r="C384" s="3632">
        <v>45658</v>
      </c>
      <c r="D384" s="3570"/>
      <c r="E384" s="3632">
        <v>46407</v>
      </c>
      <c r="F384" s="3632">
        <v>45658</v>
      </c>
      <c r="G384" s="3632">
        <v>45658</v>
      </c>
      <c r="H384" s="3595">
        <v>580</v>
      </c>
      <c r="I384" s="3595">
        <v>25311.200000000001</v>
      </c>
      <c r="J384" s="3595">
        <v>25311.200000000001</v>
      </c>
      <c r="K384" s="3592" t="s">
        <v>3957</v>
      </c>
      <c r="L384" s="3594">
        <v>45658</v>
      </c>
      <c r="M384" s="3594">
        <v>45708</v>
      </c>
      <c r="N384" s="3593"/>
      <c r="O384" s="3592"/>
      <c r="P384" s="3591">
        <v>0.15</v>
      </c>
      <c r="Q384" s="3571"/>
      <c r="R384" s="3571"/>
      <c r="S384" s="3571"/>
      <c r="T384" s="3571"/>
    </row>
    <row r="385" spans="1:21" ht="25.5">
      <c r="A385" s="3564"/>
      <c r="B385" s="3625"/>
      <c r="C385" s="3568"/>
      <c r="D385" s="3568"/>
      <c r="E385" s="3568"/>
      <c r="F385" s="3568"/>
      <c r="G385" s="3568"/>
      <c r="H385" s="3595">
        <v>580</v>
      </c>
      <c r="I385" s="3595">
        <v>25311.200000000001</v>
      </c>
      <c r="J385" s="3595">
        <v>276412.17315068498</v>
      </c>
      <c r="K385" s="3592" t="s">
        <v>3956</v>
      </c>
      <c r="L385" s="3594">
        <v>45709</v>
      </c>
      <c r="M385" s="3594">
        <v>46042</v>
      </c>
      <c r="N385" s="3593"/>
      <c r="O385" s="3592"/>
      <c r="P385" s="3591">
        <v>0.15</v>
      </c>
      <c r="Q385" s="3571"/>
      <c r="R385" s="3571"/>
      <c r="S385" s="3571"/>
      <c r="T385" s="3571"/>
    </row>
    <row r="386" spans="1:21" ht="25.5">
      <c r="A386" s="3564"/>
      <c r="B386" s="3625"/>
      <c r="C386" s="3567"/>
      <c r="D386" s="3567"/>
      <c r="E386" s="3567"/>
      <c r="F386" s="3567"/>
      <c r="G386" s="3567"/>
      <c r="H386" s="3595">
        <v>630</v>
      </c>
      <c r="I386" s="3595">
        <v>27493.200000000001</v>
      </c>
      <c r="J386" s="3595">
        <v>330445.66684931499</v>
      </c>
      <c r="K386" s="3592" t="s">
        <v>3955</v>
      </c>
      <c r="L386" s="3594">
        <v>46043</v>
      </c>
      <c r="M386" s="3594">
        <v>46407</v>
      </c>
      <c r="N386" s="3593"/>
      <c r="O386" s="3592"/>
      <c r="P386" s="3591">
        <v>0.16</v>
      </c>
      <c r="Q386" s="3571"/>
      <c r="R386" s="3571"/>
      <c r="S386" s="3571"/>
      <c r="T386" s="3571"/>
    </row>
    <row r="387" spans="1:21" ht="51">
      <c r="A387" s="3636" t="s">
        <v>3954</v>
      </c>
      <c r="B387" s="3633">
        <v>153.34</v>
      </c>
      <c r="C387" s="3711" t="s">
        <v>3953</v>
      </c>
      <c r="D387" s="3636"/>
      <c r="E387" s="3701" t="s">
        <v>3952</v>
      </c>
      <c r="F387" s="3701" t="s">
        <v>3951</v>
      </c>
      <c r="G387" s="3700" t="s">
        <v>3951</v>
      </c>
      <c r="H387" s="3631">
        <v>300</v>
      </c>
      <c r="I387" s="3631">
        <v>46002</v>
      </c>
      <c r="J387" s="3631">
        <v>46002</v>
      </c>
      <c r="K387" s="3634" t="s">
        <v>3950</v>
      </c>
      <c r="L387" s="3690">
        <v>45031</v>
      </c>
      <c r="M387" s="3690">
        <v>45106</v>
      </c>
      <c r="N387" s="3602">
        <v>0</v>
      </c>
      <c r="O387" s="3634"/>
      <c r="P387" s="3710">
        <v>0.12</v>
      </c>
      <c r="Q387" s="3563"/>
      <c r="R387" s="3563"/>
      <c r="S387" s="3563"/>
      <c r="T387" s="3563"/>
    </row>
    <row r="388" spans="1:21" ht="51">
      <c r="A388" s="3636"/>
      <c r="B388" s="3633"/>
      <c r="C388" s="3711"/>
      <c r="D388" s="3636"/>
      <c r="E388" s="3701"/>
      <c r="F388" s="3701"/>
      <c r="G388" s="3700"/>
      <c r="H388" s="3563">
        <v>300</v>
      </c>
      <c r="I388" s="3563">
        <v>46002</v>
      </c>
      <c r="J388" s="3563">
        <v>505391.83561643801</v>
      </c>
      <c r="K388" s="3552" t="s">
        <v>3949</v>
      </c>
      <c r="L388" s="3612">
        <v>45107</v>
      </c>
      <c r="M388" s="3612">
        <v>45441</v>
      </c>
      <c r="N388" s="3620">
        <v>0</v>
      </c>
      <c r="O388" s="3552" t="s">
        <v>3947</v>
      </c>
      <c r="P388" s="3618">
        <v>0.12</v>
      </c>
      <c r="Q388" s="3563"/>
      <c r="R388" s="3563"/>
      <c r="S388" s="3563"/>
      <c r="T388" s="3563"/>
    </row>
    <row r="389" spans="1:21" ht="51">
      <c r="A389" s="3636"/>
      <c r="B389" s="3633"/>
      <c r="C389" s="3711"/>
      <c r="D389" s="3636"/>
      <c r="E389" s="3701"/>
      <c r="F389" s="3701"/>
      <c r="G389" s="3700"/>
      <c r="H389" s="3595">
        <v>318</v>
      </c>
      <c r="I389" s="3595">
        <v>48762.12</v>
      </c>
      <c r="J389" s="3595">
        <v>586080.60394520604</v>
      </c>
      <c r="K389" s="3592" t="s">
        <v>3948</v>
      </c>
      <c r="L389" s="3594">
        <v>45442</v>
      </c>
      <c r="M389" s="3594">
        <v>45806</v>
      </c>
      <c r="N389" s="3593">
        <v>48762.12</v>
      </c>
      <c r="O389" s="3592" t="s">
        <v>3947</v>
      </c>
      <c r="P389" s="3591">
        <v>0.12</v>
      </c>
      <c r="Q389" s="3563"/>
      <c r="R389" s="3563"/>
      <c r="S389" s="3563"/>
      <c r="T389" s="3563"/>
    </row>
    <row r="390" spans="1:21" ht="51">
      <c r="A390" s="3636"/>
      <c r="B390" s="3633"/>
      <c r="C390" s="3711"/>
      <c r="D390" s="3636"/>
      <c r="E390" s="3701"/>
      <c r="F390" s="3701"/>
      <c r="G390" s="3700"/>
      <c r="H390" s="3631">
        <v>338</v>
      </c>
      <c r="I390" s="3631">
        <v>53518.92</v>
      </c>
      <c r="J390" s="3631">
        <v>643253.43024657504</v>
      </c>
      <c r="K390" s="3634" t="s">
        <v>3946</v>
      </c>
      <c r="L390" s="3690">
        <v>45807</v>
      </c>
      <c r="M390" s="3690">
        <v>46171</v>
      </c>
      <c r="N390" s="3602">
        <v>0</v>
      </c>
      <c r="O390" s="3634"/>
      <c r="P390" s="3710">
        <v>0.13</v>
      </c>
      <c r="Q390" s="3563"/>
      <c r="R390" s="3563"/>
      <c r="S390" s="3563"/>
      <c r="T390" s="3563"/>
      <c r="U390" s="3590">
        <f>I390</f>
        <v>53518.92</v>
      </c>
    </row>
    <row r="391" spans="1:21" ht="25.5">
      <c r="A391" s="3727" t="s">
        <v>3945</v>
      </c>
      <c r="B391" s="3727">
        <v>62.71</v>
      </c>
      <c r="C391" s="3600" t="s">
        <v>3944</v>
      </c>
      <c r="D391" s="3675">
        <v>24</v>
      </c>
      <c r="E391" s="3674">
        <v>44361</v>
      </c>
      <c r="F391" s="3726">
        <v>43661</v>
      </c>
      <c r="G391" s="3725">
        <v>43661</v>
      </c>
      <c r="H391" s="3563">
        <v>770</v>
      </c>
      <c r="I391" s="3563">
        <v>48286.7</v>
      </c>
      <c r="J391" s="3563">
        <v>580366.44630137004</v>
      </c>
      <c r="K391" s="3552" t="s">
        <v>3943</v>
      </c>
      <c r="L391" s="3612">
        <v>43661</v>
      </c>
      <c r="M391" s="3612">
        <v>43996</v>
      </c>
      <c r="N391" s="3602">
        <v>0</v>
      </c>
      <c r="O391" s="3552"/>
      <c r="P391" s="3618">
        <v>0.16</v>
      </c>
      <c r="Q391" s="3563"/>
      <c r="R391" s="3563"/>
      <c r="S391" s="3563"/>
      <c r="T391" s="3563"/>
    </row>
    <row r="392" spans="1:21" ht="25.5">
      <c r="A392" s="3724"/>
      <c r="B392" s="3724"/>
      <c r="C392" s="3600"/>
      <c r="D392" s="3675"/>
      <c r="E392" s="3674"/>
      <c r="F392" s="3726"/>
      <c r="G392" s="3725"/>
      <c r="H392" s="3563">
        <v>830</v>
      </c>
      <c r="I392" s="3563">
        <v>52049.3</v>
      </c>
      <c r="J392" s="3563">
        <v>623878.59589041094</v>
      </c>
      <c r="K392" s="3552" t="s">
        <v>3942</v>
      </c>
      <c r="L392" s="3612">
        <v>43997</v>
      </c>
      <c r="M392" s="3612">
        <v>44361</v>
      </c>
      <c r="N392" s="3602">
        <v>0</v>
      </c>
      <c r="O392" s="3552"/>
      <c r="P392" s="3618">
        <v>0.17</v>
      </c>
      <c r="Q392" s="3563"/>
      <c r="R392" s="3563"/>
      <c r="S392" s="3563"/>
      <c r="T392" s="3563"/>
    </row>
    <row r="393" spans="1:21" ht="25.5">
      <c r="A393" s="3724"/>
      <c r="B393" s="3724"/>
      <c r="C393" s="3655"/>
      <c r="D393" s="3552">
        <v>12</v>
      </c>
      <c r="E393" s="3612">
        <v>44726</v>
      </c>
      <c r="F393" s="3722">
        <v>44362</v>
      </c>
      <c r="G393" s="3721"/>
      <c r="H393" s="3563">
        <v>880</v>
      </c>
      <c r="I393" s="3563">
        <v>55184.800000000003</v>
      </c>
      <c r="J393" s="3563">
        <v>661461.643835617</v>
      </c>
      <c r="K393" s="3552" t="s">
        <v>3931</v>
      </c>
      <c r="L393" s="3612">
        <v>44362</v>
      </c>
      <c r="M393" s="3612">
        <v>44726</v>
      </c>
      <c r="N393" s="3602">
        <v>0</v>
      </c>
      <c r="O393" s="3552"/>
      <c r="P393" s="3618">
        <v>0.18</v>
      </c>
      <c r="Q393" s="3563"/>
      <c r="R393" s="3563"/>
      <c r="S393" s="3563"/>
      <c r="T393" s="3563"/>
    </row>
    <row r="394" spans="1:21" ht="25.5">
      <c r="A394" s="3724"/>
      <c r="B394" s="3724"/>
      <c r="C394" s="3600">
        <v>44727</v>
      </c>
      <c r="D394" s="3675">
        <v>24</v>
      </c>
      <c r="E394" s="3674">
        <v>45457</v>
      </c>
      <c r="F394" s="3726">
        <v>44727</v>
      </c>
      <c r="G394" s="3725">
        <v>44727</v>
      </c>
      <c r="H394" s="3563">
        <v>880</v>
      </c>
      <c r="I394" s="3563">
        <v>55184.800000000003</v>
      </c>
      <c r="J394" s="3563">
        <v>663275.93863013701</v>
      </c>
      <c r="K394" s="3552" t="s">
        <v>3930</v>
      </c>
      <c r="L394" s="3612">
        <v>44727</v>
      </c>
      <c r="M394" s="3612">
        <v>45091</v>
      </c>
      <c r="N394" s="3602">
        <v>0</v>
      </c>
      <c r="O394" s="3552"/>
      <c r="P394" s="3618" t="s">
        <v>3941</v>
      </c>
      <c r="Q394" s="3571">
        <v>10</v>
      </c>
      <c r="R394" s="3571">
        <v>330</v>
      </c>
      <c r="S394" s="3571"/>
      <c r="T394" s="3571"/>
    </row>
    <row r="395" spans="1:21" ht="25.5">
      <c r="A395" s="3724"/>
      <c r="B395" s="3724"/>
      <c r="C395" s="3600"/>
      <c r="D395" s="3675"/>
      <c r="E395" s="3674"/>
      <c r="F395" s="3726"/>
      <c r="G395" s="3725"/>
      <c r="H395" s="3595">
        <v>920</v>
      </c>
      <c r="I395" s="3595">
        <v>57693.2</v>
      </c>
      <c r="J395" s="3595">
        <v>693424.84493150702</v>
      </c>
      <c r="K395" s="3592" t="s">
        <v>3929</v>
      </c>
      <c r="L395" s="3594">
        <v>45092</v>
      </c>
      <c r="M395" s="3594">
        <v>45457</v>
      </c>
      <c r="N395" s="3593">
        <v>0</v>
      </c>
      <c r="O395" s="3627" t="s">
        <v>3940</v>
      </c>
      <c r="P395" s="3591">
        <v>0.19</v>
      </c>
      <c r="Q395" s="3571"/>
      <c r="R395" s="3571"/>
      <c r="S395" s="3571"/>
      <c r="T395" s="3571"/>
    </row>
    <row r="396" spans="1:21" ht="25.5">
      <c r="A396" s="3724"/>
      <c r="B396" s="3724"/>
      <c r="C396" s="3596">
        <v>45458</v>
      </c>
      <c r="D396" s="3552">
        <v>6</v>
      </c>
      <c r="E396" s="3612">
        <v>45640</v>
      </c>
      <c r="F396" s="3722">
        <v>45458</v>
      </c>
      <c r="G396" s="3721">
        <v>45458</v>
      </c>
      <c r="H396" s="3595">
        <v>930</v>
      </c>
      <c r="I396" s="3595">
        <v>58320.3</v>
      </c>
      <c r="J396" s="3595">
        <v>349122.89178082201</v>
      </c>
      <c r="K396" s="3592" t="s">
        <v>3939</v>
      </c>
      <c r="L396" s="3594">
        <v>45458</v>
      </c>
      <c r="M396" s="3594">
        <v>45640</v>
      </c>
      <c r="N396" s="3593">
        <v>58320.3</v>
      </c>
      <c r="O396" s="3627"/>
      <c r="P396" s="3591">
        <v>0.19</v>
      </c>
      <c r="Q396" s="3571"/>
      <c r="R396" s="3571"/>
      <c r="S396" s="3563"/>
      <c r="T396" s="3563"/>
    </row>
    <row r="397" spans="1:21" ht="25.5">
      <c r="A397" s="3723"/>
      <c r="B397" s="3723"/>
      <c r="C397" s="3612">
        <v>45641</v>
      </c>
      <c r="D397" s="3552"/>
      <c r="E397" s="3612">
        <v>46005</v>
      </c>
      <c r="F397" s="3722"/>
      <c r="G397" s="3721"/>
      <c r="H397" s="3595">
        <v>950</v>
      </c>
      <c r="I397" s="3595">
        <v>59574.5</v>
      </c>
      <c r="J397" s="3595">
        <v>716036.52465753397</v>
      </c>
      <c r="K397" s="3592" t="s">
        <v>3938</v>
      </c>
      <c r="L397" s="3594">
        <v>45641</v>
      </c>
      <c r="M397" s="3594">
        <v>46005</v>
      </c>
      <c r="N397" s="3593"/>
      <c r="O397" s="3627"/>
      <c r="P397" s="3591"/>
      <c r="Q397" s="3563"/>
      <c r="R397" s="3563"/>
      <c r="S397" s="3563"/>
      <c r="T397" s="3563"/>
      <c r="U397" s="3590">
        <f>I397</f>
        <v>59574.5</v>
      </c>
    </row>
    <row r="398" spans="1:21" ht="25.5">
      <c r="A398" s="3562" t="s">
        <v>3937</v>
      </c>
      <c r="B398" s="3664">
        <v>73.58</v>
      </c>
      <c r="C398" s="3720"/>
      <c r="D398" s="3634">
        <v>3</v>
      </c>
      <c r="E398" s="3690">
        <v>43616</v>
      </c>
      <c r="F398" s="3718">
        <v>43525</v>
      </c>
      <c r="G398" s="3717">
        <v>43525</v>
      </c>
      <c r="H398" s="3631">
        <v>741.6</v>
      </c>
      <c r="I398" s="3631">
        <v>29664</v>
      </c>
      <c r="J398" s="3631">
        <v>88992</v>
      </c>
      <c r="K398" s="3634" t="s">
        <v>3936</v>
      </c>
      <c r="L398" s="3690">
        <v>43525</v>
      </c>
      <c r="M398" s="3690">
        <v>43616</v>
      </c>
      <c r="N398" s="3602">
        <v>0</v>
      </c>
      <c r="O398" s="3634"/>
      <c r="P398" s="3710">
        <v>0.2</v>
      </c>
      <c r="Q398" s="3563">
        <v>10</v>
      </c>
      <c r="R398" s="3563">
        <v>330</v>
      </c>
      <c r="S398" s="3563"/>
      <c r="T398" s="3563"/>
    </row>
    <row r="399" spans="1:21" ht="25.5">
      <c r="A399" s="3572"/>
      <c r="B399" s="3662"/>
      <c r="C399" s="3720"/>
      <c r="D399" s="3634">
        <v>340</v>
      </c>
      <c r="E399" s="3550" t="s">
        <v>3935</v>
      </c>
      <c r="F399" s="3718"/>
      <c r="G399" s="3717"/>
      <c r="H399" s="3631"/>
      <c r="I399" s="3631"/>
      <c r="J399" s="3631"/>
      <c r="K399" s="3634"/>
      <c r="L399" s="3690"/>
      <c r="M399" s="3690"/>
      <c r="N399" s="3602">
        <v>0</v>
      </c>
      <c r="O399" s="3634"/>
      <c r="P399" s="3710"/>
      <c r="Q399" s="3563"/>
      <c r="R399" s="3563"/>
      <c r="S399" s="3563"/>
      <c r="T399" s="3563"/>
    </row>
    <row r="400" spans="1:21" ht="25.5">
      <c r="A400" s="3572"/>
      <c r="B400" s="3662"/>
      <c r="C400" s="3707">
        <v>43617</v>
      </c>
      <c r="D400" s="3719">
        <v>0.46666666666666701</v>
      </c>
      <c r="E400" s="3690">
        <v>43630</v>
      </c>
      <c r="F400" s="3718"/>
      <c r="G400" s="3717"/>
      <c r="H400" s="3631">
        <v>741.6</v>
      </c>
      <c r="I400" s="3631">
        <v>29664</v>
      </c>
      <c r="J400" s="3631">
        <v>13653.567123287699</v>
      </c>
      <c r="K400" s="3634" t="s">
        <v>3934</v>
      </c>
      <c r="L400" s="3690">
        <v>43617</v>
      </c>
      <c r="M400" s="3690">
        <v>43630</v>
      </c>
      <c r="N400" s="3602">
        <v>0</v>
      </c>
      <c r="O400" s="3634"/>
      <c r="P400" s="3710">
        <v>0.2</v>
      </c>
      <c r="Q400" s="3571">
        <v>10</v>
      </c>
      <c r="R400" s="3571">
        <v>830.3</v>
      </c>
      <c r="S400" s="3571"/>
      <c r="T400" s="3571" t="s">
        <v>3779</v>
      </c>
    </row>
    <row r="401" spans="1:21" ht="25.5">
      <c r="A401" s="3572"/>
      <c r="B401" s="3662"/>
      <c r="C401" s="3707">
        <v>43631</v>
      </c>
      <c r="D401" s="3719">
        <v>12</v>
      </c>
      <c r="E401" s="3690">
        <v>43996</v>
      </c>
      <c r="F401" s="3718"/>
      <c r="G401" s="3717"/>
      <c r="H401" s="3631">
        <v>660</v>
      </c>
      <c r="I401" s="3631">
        <v>48562.8</v>
      </c>
      <c r="J401" s="3631">
        <v>582088.356164383</v>
      </c>
      <c r="K401" s="3634" t="s">
        <v>3933</v>
      </c>
      <c r="L401" s="3690">
        <v>43631</v>
      </c>
      <c r="M401" s="3690">
        <v>43996</v>
      </c>
      <c r="N401" s="3602">
        <v>0</v>
      </c>
      <c r="O401" s="3634"/>
      <c r="P401" s="3710">
        <v>0.21</v>
      </c>
      <c r="Q401" s="3571"/>
      <c r="R401" s="3571"/>
      <c r="S401" s="3571"/>
      <c r="T401" s="3571"/>
    </row>
    <row r="402" spans="1:21" ht="25.5">
      <c r="A402" s="3572"/>
      <c r="B402" s="3662"/>
      <c r="C402" s="3707">
        <v>44362</v>
      </c>
      <c r="D402" s="3719">
        <v>12</v>
      </c>
      <c r="E402" s="3690">
        <v>44361</v>
      </c>
      <c r="F402" s="3718"/>
      <c r="G402" s="3717"/>
      <c r="H402" s="3631">
        <v>690</v>
      </c>
      <c r="I402" s="3631">
        <v>50770.2</v>
      </c>
      <c r="J402" s="3631">
        <v>608546.91780821898</v>
      </c>
      <c r="K402" s="3634" t="s">
        <v>3932</v>
      </c>
      <c r="L402" s="3690">
        <v>43997</v>
      </c>
      <c r="M402" s="3690">
        <v>44362</v>
      </c>
      <c r="N402" s="3602">
        <v>0</v>
      </c>
      <c r="O402" s="3634"/>
      <c r="P402" s="3710">
        <v>0.21</v>
      </c>
      <c r="Q402" s="3571"/>
      <c r="R402" s="3571"/>
      <c r="S402" s="3571"/>
      <c r="T402" s="3571"/>
    </row>
    <row r="403" spans="1:21" ht="25.5">
      <c r="A403" s="3572"/>
      <c r="B403" s="3662"/>
      <c r="C403" s="3707">
        <v>44362</v>
      </c>
      <c r="D403" s="3719">
        <v>12</v>
      </c>
      <c r="E403" s="3690">
        <v>44726</v>
      </c>
      <c r="F403" s="3718"/>
      <c r="G403" s="3717"/>
      <c r="H403" s="3631">
        <v>760</v>
      </c>
      <c r="I403" s="3631">
        <v>55920.800000000003</v>
      </c>
      <c r="J403" s="3631">
        <v>670283.56164383597</v>
      </c>
      <c r="K403" s="3634" t="s">
        <v>3931</v>
      </c>
      <c r="L403" s="3690">
        <v>44362</v>
      </c>
      <c r="M403" s="3690">
        <v>44726</v>
      </c>
      <c r="N403" s="3602">
        <v>0</v>
      </c>
      <c r="O403" s="3634"/>
      <c r="P403" s="3710">
        <v>0.21</v>
      </c>
      <c r="Q403" s="3571"/>
      <c r="R403" s="3571"/>
      <c r="S403" s="3571"/>
      <c r="T403" s="3571"/>
    </row>
    <row r="404" spans="1:21" ht="25.5">
      <c r="A404" s="3572"/>
      <c r="B404" s="3662"/>
      <c r="C404" s="3707">
        <v>44727</v>
      </c>
      <c r="D404" s="3719">
        <v>12</v>
      </c>
      <c r="E404" s="3690">
        <v>45091</v>
      </c>
      <c r="F404" s="3718"/>
      <c r="G404" s="3717"/>
      <c r="H404" s="3631">
        <v>780</v>
      </c>
      <c r="I404" s="3631">
        <v>57392.4</v>
      </c>
      <c r="J404" s="3631">
        <v>687922.60273972596</v>
      </c>
      <c r="K404" s="3634" t="s">
        <v>3930</v>
      </c>
      <c r="L404" s="3690">
        <v>44727</v>
      </c>
      <c r="M404" s="3690">
        <v>45091</v>
      </c>
      <c r="N404" s="3602">
        <v>0</v>
      </c>
      <c r="O404" s="3634"/>
      <c r="P404" s="3710">
        <v>0.21</v>
      </c>
      <c r="Q404" s="3563"/>
      <c r="R404" s="3563"/>
      <c r="S404" s="3563"/>
      <c r="T404" s="3563"/>
    </row>
    <row r="405" spans="1:21" ht="25.5">
      <c r="A405" s="3572"/>
      <c r="B405" s="3662"/>
      <c r="C405" s="3707">
        <v>45092</v>
      </c>
      <c r="D405" s="3719"/>
      <c r="E405" s="3690">
        <v>45457</v>
      </c>
      <c r="F405" s="3718">
        <v>45092</v>
      </c>
      <c r="G405" s="3717">
        <v>45092</v>
      </c>
      <c r="H405" s="3563">
        <v>820</v>
      </c>
      <c r="I405" s="3563">
        <v>60335.6</v>
      </c>
      <c r="J405" s="3563">
        <v>723200.68493150698</v>
      </c>
      <c r="K405" s="3552" t="s">
        <v>3929</v>
      </c>
      <c r="L405" s="3612">
        <v>45092</v>
      </c>
      <c r="M405" s="3612">
        <v>45457</v>
      </c>
      <c r="N405" s="3620">
        <v>0</v>
      </c>
      <c r="O405" s="3552" t="s">
        <v>3927</v>
      </c>
      <c r="P405" s="3618">
        <v>0.21</v>
      </c>
      <c r="Q405" s="3563"/>
      <c r="R405" s="3563"/>
      <c r="S405" s="3563"/>
      <c r="T405" s="3563"/>
    </row>
    <row r="406" spans="1:21" ht="25.5">
      <c r="A406" s="3561"/>
      <c r="B406" s="3659"/>
      <c r="C406" s="3707">
        <v>45458</v>
      </c>
      <c r="D406" s="3719"/>
      <c r="E406" s="3690">
        <v>45822</v>
      </c>
      <c r="F406" s="3718">
        <v>45458</v>
      </c>
      <c r="G406" s="3717">
        <v>45458</v>
      </c>
      <c r="H406" s="3595">
        <v>825</v>
      </c>
      <c r="I406" s="3595">
        <v>60703.5</v>
      </c>
      <c r="J406" s="3595">
        <v>727610.44520547905</v>
      </c>
      <c r="K406" s="3592" t="s">
        <v>3928</v>
      </c>
      <c r="L406" s="3594">
        <v>45458</v>
      </c>
      <c r="M406" s="3594">
        <v>45822</v>
      </c>
      <c r="N406" s="3593">
        <v>60703.5</v>
      </c>
      <c r="O406" s="3592" t="s">
        <v>3927</v>
      </c>
      <c r="P406" s="3591">
        <v>0.21</v>
      </c>
      <c r="Q406" s="3563"/>
      <c r="R406" s="3563"/>
      <c r="S406" s="3563"/>
      <c r="T406" s="3563"/>
      <c r="U406" s="3590">
        <f>I406</f>
        <v>60703.5</v>
      </c>
    </row>
    <row r="407" spans="1:21" ht="25.5">
      <c r="A407" s="3562" t="s">
        <v>3926</v>
      </c>
      <c r="B407" s="3562">
        <v>40.15</v>
      </c>
      <c r="C407" s="3711" t="s">
        <v>3925</v>
      </c>
      <c r="D407" s="3636">
        <v>24</v>
      </c>
      <c r="E407" s="3701">
        <v>43357</v>
      </c>
      <c r="F407" s="3701">
        <v>42659</v>
      </c>
      <c r="G407" s="3700">
        <v>42659</v>
      </c>
      <c r="H407" s="3631">
        <v>680</v>
      </c>
      <c r="I407" s="3631">
        <v>27302</v>
      </c>
      <c r="J407" s="3631">
        <v>299050.40000000002</v>
      </c>
      <c r="K407" s="3634" t="s">
        <v>3924</v>
      </c>
      <c r="L407" s="3690">
        <v>42659</v>
      </c>
      <c r="M407" s="3690">
        <v>42992</v>
      </c>
      <c r="N407" s="3602">
        <v>0</v>
      </c>
      <c r="O407" s="3634"/>
      <c r="P407" s="3710">
        <v>0.17</v>
      </c>
      <c r="Q407" s="3563"/>
      <c r="R407" s="3563"/>
      <c r="S407" s="3563"/>
      <c r="T407" s="3563"/>
    </row>
    <row r="408" spans="1:21" ht="25.5">
      <c r="A408" s="3572"/>
      <c r="B408" s="3572"/>
      <c r="C408" s="3711"/>
      <c r="D408" s="3636"/>
      <c r="E408" s="3636"/>
      <c r="F408" s="3701"/>
      <c r="G408" s="3700"/>
      <c r="H408" s="3631">
        <v>720</v>
      </c>
      <c r="I408" s="3631">
        <v>28908</v>
      </c>
      <c r="J408" s="3631">
        <v>346500</v>
      </c>
      <c r="K408" s="3634" t="s">
        <v>3923</v>
      </c>
      <c r="L408" s="3690">
        <v>42993</v>
      </c>
      <c r="M408" s="3690">
        <v>43357</v>
      </c>
      <c r="N408" s="3602">
        <v>0</v>
      </c>
      <c r="O408" s="3634"/>
      <c r="P408" s="3710">
        <v>0.17</v>
      </c>
      <c r="Q408" s="3571">
        <v>10</v>
      </c>
      <c r="R408" s="3571">
        <v>308</v>
      </c>
      <c r="S408" s="3571">
        <v>7387.7808219178096</v>
      </c>
      <c r="T408" s="3571" t="s">
        <v>3922</v>
      </c>
    </row>
    <row r="409" spans="1:21" ht="25.5">
      <c r="A409" s="3572"/>
      <c r="B409" s="3572"/>
      <c r="C409" s="3707">
        <v>43358</v>
      </c>
      <c r="D409" s="3634">
        <v>12</v>
      </c>
      <c r="E409" s="3690">
        <v>43722</v>
      </c>
      <c r="F409" s="3701"/>
      <c r="G409" s="3700"/>
      <c r="H409" s="3631">
        <v>756</v>
      </c>
      <c r="I409" s="3631">
        <v>30353.4</v>
      </c>
      <c r="J409" s="3631">
        <v>363825</v>
      </c>
      <c r="K409" s="3634" t="s">
        <v>3921</v>
      </c>
      <c r="L409" s="3690">
        <v>43358</v>
      </c>
      <c r="M409" s="3690">
        <v>43722</v>
      </c>
      <c r="N409" s="3602">
        <v>0</v>
      </c>
      <c r="O409" s="3634"/>
      <c r="P409" s="3710">
        <v>0.17</v>
      </c>
      <c r="Q409" s="3571"/>
      <c r="R409" s="3571"/>
      <c r="S409" s="3571"/>
      <c r="T409" s="3571"/>
    </row>
    <row r="410" spans="1:21" ht="25.5">
      <c r="A410" s="3572"/>
      <c r="B410" s="3572"/>
      <c r="C410" s="3707">
        <v>43723</v>
      </c>
      <c r="D410" s="3634">
        <v>12</v>
      </c>
      <c r="E410" s="3690">
        <v>44088</v>
      </c>
      <c r="F410" s="3701"/>
      <c r="G410" s="3700"/>
      <c r="H410" s="3631">
        <v>820</v>
      </c>
      <c r="I410" s="3631">
        <v>32923</v>
      </c>
      <c r="J410" s="3631">
        <v>394625</v>
      </c>
      <c r="K410" s="3634" t="s">
        <v>3920</v>
      </c>
      <c r="L410" s="3690">
        <v>43723</v>
      </c>
      <c r="M410" s="3690">
        <v>44088</v>
      </c>
      <c r="N410" s="3602">
        <v>0</v>
      </c>
      <c r="O410" s="3634"/>
      <c r="P410" s="3710">
        <v>0.18</v>
      </c>
      <c r="Q410" s="3571"/>
      <c r="R410" s="3571"/>
      <c r="S410" s="3571"/>
      <c r="T410" s="3571"/>
    </row>
    <row r="411" spans="1:21" ht="25.5">
      <c r="A411" s="3572"/>
      <c r="B411" s="3572"/>
      <c r="C411" s="3707">
        <v>44089</v>
      </c>
      <c r="D411" s="3634">
        <v>12</v>
      </c>
      <c r="E411" s="3690">
        <v>44453</v>
      </c>
      <c r="F411" s="3701"/>
      <c r="G411" s="3700"/>
      <c r="H411" s="3631">
        <v>840</v>
      </c>
      <c r="I411" s="3631">
        <v>33726</v>
      </c>
      <c r="J411" s="3631">
        <v>404250</v>
      </c>
      <c r="K411" s="3634" t="s">
        <v>3919</v>
      </c>
      <c r="L411" s="3690">
        <v>44089</v>
      </c>
      <c r="M411" s="3690">
        <v>44453</v>
      </c>
      <c r="N411" s="3602">
        <v>0</v>
      </c>
      <c r="O411" s="3634"/>
      <c r="P411" s="3710">
        <v>0.18</v>
      </c>
      <c r="Q411" s="3563">
        <v>10</v>
      </c>
      <c r="R411" s="3563">
        <v>308</v>
      </c>
      <c r="S411" s="3563">
        <v>3701.9068493150698</v>
      </c>
      <c r="T411" s="3552" t="s">
        <v>3918</v>
      </c>
    </row>
    <row r="412" spans="1:21" ht="25.5">
      <c r="A412" s="3572"/>
      <c r="B412" s="3572"/>
      <c r="C412" s="3707">
        <v>44454</v>
      </c>
      <c r="D412" s="3634">
        <v>12</v>
      </c>
      <c r="E412" s="3690">
        <v>44818</v>
      </c>
      <c r="F412" s="3701"/>
      <c r="G412" s="3700"/>
      <c r="H412" s="3631">
        <v>900</v>
      </c>
      <c r="I412" s="3631">
        <v>36135</v>
      </c>
      <c r="J412" s="3631">
        <v>433125</v>
      </c>
      <c r="K412" s="3634" t="s">
        <v>3917</v>
      </c>
      <c r="L412" s="3690">
        <v>44454</v>
      </c>
      <c r="M412" s="3690">
        <v>44818</v>
      </c>
      <c r="N412" s="3602">
        <v>0</v>
      </c>
      <c r="O412" s="3634"/>
      <c r="P412" s="3710">
        <v>0.18</v>
      </c>
      <c r="Q412" s="3563"/>
      <c r="R412" s="3563"/>
      <c r="S412" s="3563"/>
      <c r="T412" s="3552"/>
    </row>
    <row r="413" spans="1:21" ht="25.5">
      <c r="A413" s="3572"/>
      <c r="B413" s="3572"/>
      <c r="C413" s="3707"/>
      <c r="D413" s="3634"/>
      <c r="E413" s="3690"/>
      <c r="F413" s="3690"/>
      <c r="G413" s="3689"/>
      <c r="H413" s="3631">
        <v>950</v>
      </c>
      <c r="I413" s="3631">
        <v>38142.5</v>
      </c>
      <c r="J413" s="3631">
        <v>457187.5</v>
      </c>
      <c r="K413" s="3634" t="s">
        <v>3916</v>
      </c>
      <c r="L413" s="3690">
        <v>44819</v>
      </c>
      <c r="M413" s="3690">
        <v>45183</v>
      </c>
      <c r="N413" s="3602">
        <v>0</v>
      </c>
      <c r="O413" s="3634"/>
      <c r="P413" s="3710">
        <v>0.18</v>
      </c>
      <c r="Q413" s="3571">
        <v>10</v>
      </c>
      <c r="R413" s="3571">
        <v>1549</v>
      </c>
      <c r="S413" s="3571">
        <v>58789.854794520601</v>
      </c>
      <c r="T413" s="3571" t="s">
        <v>3829</v>
      </c>
    </row>
    <row r="414" spans="1:21" ht="38.25">
      <c r="A414" s="3572"/>
      <c r="B414" s="3572"/>
      <c r="C414" s="3707">
        <v>45184</v>
      </c>
      <c r="D414" s="3634">
        <v>13</v>
      </c>
      <c r="E414" s="3690">
        <v>45596</v>
      </c>
      <c r="F414" s="3690"/>
      <c r="G414" s="3689"/>
      <c r="H414" s="3595">
        <v>980</v>
      </c>
      <c r="I414" s="3595">
        <v>39347</v>
      </c>
      <c r="J414" s="3595">
        <v>532208.6</v>
      </c>
      <c r="K414" s="3592" t="s">
        <v>3915</v>
      </c>
      <c r="L414" s="3594">
        <v>45184</v>
      </c>
      <c r="M414" s="3594">
        <v>45596</v>
      </c>
      <c r="N414" s="3593">
        <v>39347</v>
      </c>
      <c r="O414" s="3592" t="s">
        <v>3914</v>
      </c>
      <c r="P414" s="3591">
        <v>0.18</v>
      </c>
      <c r="Q414" s="3571"/>
      <c r="R414" s="3571"/>
      <c r="S414" s="3571"/>
      <c r="T414" s="3571"/>
    </row>
    <row r="415" spans="1:21" ht="25.5">
      <c r="A415" s="3561"/>
      <c r="B415" s="3561"/>
      <c r="C415" s="3690">
        <v>45597</v>
      </c>
      <c r="D415" s="3634"/>
      <c r="E415" s="3690">
        <v>45961</v>
      </c>
      <c r="F415" s="3690"/>
      <c r="G415" s="3689"/>
      <c r="H415" s="3595">
        <v>988</v>
      </c>
      <c r="I415" s="3595">
        <v>39668.199999999997</v>
      </c>
      <c r="J415" s="3595">
        <v>476018.4</v>
      </c>
      <c r="K415" s="3592" t="s">
        <v>3913</v>
      </c>
      <c r="L415" s="3594">
        <v>45597</v>
      </c>
      <c r="M415" s="3594">
        <v>45961</v>
      </c>
      <c r="N415" s="3593"/>
      <c r="O415" s="3592"/>
      <c r="P415" s="3591">
        <v>0.18</v>
      </c>
      <c r="Q415" s="3571"/>
      <c r="R415" s="3571"/>
      <c r="S415" s="3571"/>
      <c r="T415" s="3571"/>
      <c r="U415" s="3590">
        <f>I415</f>
        <v>39668.199999999997</v>
      </c>
    </row>
    <row r="416" spans="1:21" ht="76.5">
      <c r="A416" s="3562" t="s">
        <v>3912</v>
      </c>
      <c r="B416" s="3562">
        <v>40.15</v>
      </c>
      <c r="C416" s="3711" t="s">
        <v>3911</v>
      </c>
      <c r="D416" s="3634"/>
      <c r="E416" s="3701" t="s">
        <v>3910</v>
      </c>
      <c r="F416" s="3701" t="s">
        <v>3909</v>
      </c>
      <c r="G416" s="3700" t="s">
        <v>3909</v>
      </c>
      <c r="H416" s="3631">
        <v>400</v>
      </c>
      <c r="I416" s="3631">
        <v>16060</v>
      </c>
      <c r="J416" s="3631">
        <v>16060</v>
      </c>
      <c r="K416" s="3634" t="s">
        <v>3908</v>
      </c>
      <c r="L416" s="3690">
        <v>44981</v>
      </c>
      <c r="M416" s="3690">
        <v>45049</v>
      </c>
      <c r="N416" s="3602">
        <v>0</v>
      </c>
      <c r="O416" s="3634"/>
      <c r="P416" s="3710">
        <v>0.12</v>
      </c>
      <c r="Q416" s="3571"/>
      <c r="R416" s="3571"/>
      <c r="S416" s="3571"/>
      <c r="T416" s="3571"/>
    </row>
    <row r="417" spans="1:21" ht="76.5">
      <c r="A417" s="3572"/>
      <c r="B417" s="3572"/>
      <c r="C417" s="3711"/>
      <c r="D417" s="3634"/>
      <c r="E417" s="3701"/>
      <c r="F417" s="3636"/>
      <c r="G417" s="3716"/>
      <c r="H417" s="3563">
        <v>400</v>
      </c>
      <c r="I417" s="3563">
        <v>16060</v>
      </c>
      <c r="J417" s="3563">
        <v>193028</v>
      </c>
      <c r="K417" s="3552" t="s">
        <v>3907</v>
      </c>
      <c r="L417" s="3612">
        <v>45050</v>
      </c>
      <c r="M417" s="3612">
        <v>45415</v>
      </c>
      <c r="N417" s="3620">
        <v>0</v>
      </c>
      <c r="O417" s="3619" t="s">
        <v>3905</v>
      </c>
      <c r="P417" s="3618">
        <v>0.12</v>
      </c>
      <c r="Q417" s="3563"/>
      <c r="R417" s="3563"/>
      <c r="S417" s="3563"/>
      <c r="T417" s="3563"/>
    </row>
    <row r="418" spans="1:21" ht="76.5">
      <c r="A418" s="3572"/>
      <c r="B418" s="3572"/>
      <c r="C418" s="3711"/>
      <c r="D418" s="3634"/>
      <c r="E418" s="3701"/>
      <c r="F418" s="3636"/>
      <c r="G418" s="3716"/>
      <c r="H418" s="3595">
        <v>420</v>
      </c>
      <c r="I418" s="3595">
        <v>16863</v>
      </c>
      <c r="J418" s="3595">
        <v>185816.4</v>
      </c>
      <c r="K418" s="3592" t="s">
        <v>3906</v>
      </c>
      <c r="L418" s="3594">
        <v>45416</v>
      </c>
      <c r="M418" s="3594">
        <v>45750</v>
      </c>
      <c r="N418" s="3593">
        <v>16863</v>
      </c>
      <c r="O418" s="3592" t="s">
        <v>3905</v>
      </c>
      <c r="P418" s="3591">
        <v>0.13</v>
      </c>
      <c r="Q418" s="3571">
        <v>10</v>
      </c>
      <c r="R418" s="3571">
        <v>900</v>
      </c>
      <c r="S418" s="3571"/>
      <c r="T418" s="3571"/>
    </row>
    <row r="419" spans="1:21" ht="25.5">
      <c r="A419" s="3561"/>
      <c r="B419" s="3561"/>
      <c r="C419" s="3707">
        <v>45751</v>
      </c>
      <c r="D419" s="3634"/>
      <c r="E419" s="3690">
        <v>46115</v>
      </c>
      <c r="F419" s="3634"/>
      <c r="G419" s="3715"/>
      <c r="H419" s="3595">
        <v>420</v>
      </c>
      <c r="I419" s="3595">
        <v>16863</v>
      </c>
      <c r="J419" s="3595">
        <v>202125</v>
      </c>
      <c r="K419" s="3592" t="s">
        <v>3904</v>
      </c>
      <c r="L419" s="3594"/>
      <c r="M419" s="3594"/>
      <c r="N419" s="3593"/>
      <c r="O419" s="3592"/>
      <c r="P419" s="3591">
        <v>0.13</v>
      </c>
      <c r="Q419" s="3571"/>
      <c r="R419" s="3571"/>
      <c r="S419" s="3571"/>
      <c r="T419" s="3571"/>
    </row>
    <row r="420" spans="1:21" ht="25.5">
      <c r="A420" s="3562" t="s">
        <v>3903</v>
      </c>
      <c r="B420" s="3562">
        <v>219.57</v>
      </c>
      <c r="C420" s="3711">
        <v>44439</v>
      </c>
      <c r="D420" s="3636">
        <v>37</v>
      </c>
      <c r="E420" s="3701">
        <v>45594</v>
      </c>
      <c r="F420" s="3701">
        <v>44499</v>
      </c>
      <c r="G420" s="3700">
        <v>44499</v>
      </c>
      <c r="H420" s="3631">
        <v>260</v>
      </c>
      <c r="I420" s="3631">
        <v>57088.2</v>
      </c>
      <c r="J420" s="3631">
        <v>57088.2</v>
      </c>
      <c r="K420" s="3634" t="s">
        <v>3902</v>
      </c>
      <c r="L420" s="3690">
        <v>44439</v>
      </c>
      <c r="M420" s="3690">
        <v>44529</v>
      </c>
      <c r="N420" s="3602">
        <v>0</v>
      </c>
      <c r="O420" s="3634"/>
      <c r="P420" s="3710">
        <v>0.09</v>
      </c>
      <c r="Q420" s="3571"/>
      <c r="R420" s="3571"/>
      <c r="S420" s="3571"/>
      <c r="T420" s="3571"/>
    </row>
    <row r="421" spans="1:21" ht="25.5">
      <c r="A421" s="3572"/>
      <c r="B421" s="3572"/>
      <c r="C421" s="3711"/>
      <c r="D421" s="3636"/>
      <c r="E421" s="3636"/>
      <c r="F421" s="3636"/>
      <c r="G421" s="3716"/>
      <c r="H421" s="3631">
        <v>260</v>
      </c>
      <c r="I421" s="3631">
        <v>57088.2</v>
      </c>
      <c r="J421" s="3631">
        <v>627188.16986301402</v>
      </c>
      <c r="K421" s="3634" t="s">
        <v>3901</v>
      </c>
      <c r="L421" s="3690">
        <v>44530</v>
      </c>
      <c r="M421" s="3690">
        <v>44863</v>
      </c>
      <c r="N421" s="3602">
        <v>0</v>
      </c>
      <c r="O421" s="3634"/>
      <c r="P421" s="3710">
        <v>0.09</v>
      </c>
      <c r="Q421" s="3571"/>
      <c r="R421" s="3571"/>
      <c r="S421" s="3571"/>
      <c r="T421" s="3571"/>
    </row>
    <row r="422" spans="1:21" ht="25.5">
      <c r="A422" s="3572"/>
      <c r="B422" s="3572"/>
      <c r="C422" s="3711"/>
      <c r="D422" s="3636"/>
      <c r="E422" s="3636"/>
      <c r="F422" s="3636"/>
      <c r="G422" s="3716"/>
      <c r="H422" s="3631">
        <v>275</v>
      </c>
      <c r="I422" s="3631">
        <v>60381.75</v>
      </c>
      <c r="J422" s="3631">
        <v>725739.00616438396</v>
      </c>
      <c r="K422" s="3634" t="s">
        <v>3900</v>
      </c>
      <c r="L422" s="3690">
        <v>44864</v>
      </c>
      <c r="M422" s="3690">
        <v>45228</v>
      </c>
      <c r="N422" s="3602">
        <v>0</v>
      </c>
      <c r="O422" s="3634"/>
      <c r="P422" s="3710">
        <v>9.5000000000000001E-2</v>
      </c>
      <c r="Q422" s="3571"/>
      <c r="R422" s="3571"/>
      <c r="S422" s="3571"/>
      <c r="T422" s="3571"/>
    </row>
    <row r="423" spans="1:21" ht="38.25">
      <c r="A423" s="3572"/>
      <c r="B423" s="3572"/>
      <c r="C423" s="3711"/>
      <c r="D423" s="3636"/>
      <c r="E423" s="3636"/>
      <c r="F423" s="3636"/>
      <c r="G423" s="3716"/>
      <c r="H423" s="3595">
        <v>300</v>
      </c>
      <c r="I423" s="3595">
        <v>65871</v>
      </c>
      <c r="J423" s="3595">
        <v>791715.27945205499</v>
      </c>
      <c r="K423" s="3592" t="s">
        <v>3899</v>
      </c>
      <c r="L423" s="3594">
        <v>45229</v>
      </c>
      <c r="M423" s="3594">
        <v>45594</v>
      </c>
      <c r="N423" s="3593">
        <v>65871</v>
      </c>
      <c r="O423" s="3592" t="s">
        <v>3898</v>
      </c>
      <c r="P423" s="3591">
        <v>0.1</v>
      </c>
      <c r="Q423" s="3571"/>
      <c r="R423" s="3571"/>
      <c r="S423" s="3571"/>
      <c r="T423" s="3571"/>
    </row>
    <row r="424" spans="1:21" ht="25.5">
      <c r="A424" s="3572"/>
      <c r="B424" s="3572"/>
      <c r="C424" s="3707">
        <v>45595</v>
      </c>
      <c r="D424" s="3634"/>
      <c r="E424" s="3690">
        <v>45747</v>
      </c>
      <c r="F424" s="3634"/>
      <c r="G424" s="3715"/>
      <c r="H424" s="3595">
        <v>200</v>
      </c>
      <c r="I424" s="3595">
        <v>65871</v>
      </c>
      <c r="J424" s="3595">
        <v>333686.24383561598</v>
      </c>
      <c r="K424" s="3592" t="s">
        <v>3897</v>
      </c>
      <c r="L424" s="3594">
        <v>45595</v>
      </c>
      <c r="M424" s="3594">
        <v>45747</v>
      </c>
      <c r="N424" s="3593">
        <v>0</v>
      </c>
      <c r="O424" s="3592"/>
      <c r="P424" s="3591">
        <v>0.1</v>
      </c>
      <c r="Q424" s="3571"/>
      <c r="R424" s="3571"/>
      <c r="S424" s="3571"/>
      <c r="T424" s="3571"/>
    </row>
    <row r="425" spans="1:21" ht="25.5">
      <c r="A425" s="3561"/>
      <c r="B425" s="3561"/>
      <c r="C425" s="3707"/>
      <c r="D425" s="3634"/>
      <c r="E425" s="3690"/>
      <c r="F425" s="3634"/>
      <c r="G425" s="3715"/>
      <c r="H425" s="3595">
        <v>200</v>
      </c>
      <c r="I425" s="3595">
        <v>65871</v>
      </c>
      <c r="J425" s="3595">
        <v>790452</v>
      </c>
      <c r="K425" s="3592" t="s">
        <v>3896</v>
      </c>
      <c r="L425" s="3594"/>
      <c r="M425" s="3594"/>
      <c r="N425" s="3593"/>
      <c r="O425" s="3592"/>
      <c r="P425" s="3591">
        <v>0.1</v>
      </c>
      <c r="Q425" s="3563"/>
      <c r="R425" s="3563"/>
      <c r="S425" s="3563"/>
      <c r="T425" s="3563"/>
      <c r="U425" s="3590">
        <f>I425</f>
        <v>65871</v>
      </c>
    </row>
    <row r="426" spans="1:21" ht="25.5">
      <c r="A426" s="3650" t="s">
        <v>3895</v>
      </c>
      <c r="B426" s="3650">
        <v>1162.97</v>
      </c>
      <c r="C426" s="3711" t="s">
        <v>3894</v>
      </c>
      <c r="D426" s="3636">
        <v>144</v>
      </c>
      <c r="E426" s="3701">
        <v>45153</v>
      </c>
      <c r="F426" s="3701">
        <v>40879</v>
      </c>
      <c r="G426" s="3700">
        <v>40910</v>
      </c>
      <c r="H426" s="3631"/>
      <c r="I426" s="3631"/>
      <c r="J426" s="3631" t="s">
        <v>3893</v>
      </c>
      <c r="K426" s="3634" t="s">
        <v>3892</v>
      </c>
      <c r="L426" s="3690">
        <v>40879</v>
      </c>
      <c r="M426" s="3690">
        <v>41501</v>
      </c>
      <c r="N426" s="3602">
        <v>0</v>
      </c>
      <c r="O426" s="3634"/>
      <c r="P426" s="3710">
        <v>0.03</v>
      </c>
      <c r="Q426" s="3563"/>
      <c r="R426" s="3563"/>
      <c r="S426" s="3563"/>
      <c r="T426" s="3563"/>
    </row>
    <row r="427" spans="1:21">
      <c r="A427" s="3645"/>
      <c r="B427" s="3645"/>
      <c r="C427" s="3711"/>
      <c r="D427" s="3636"/>
      <c r="E427" s="3701"/>
      <c r="F427" s="3701"/>
      <c r="G427" s="3700"/>
      <c r="H427" s="3637">
        <v>15</v>
      </c>
      <c r="I427" s="3637">
        <v>17989.650000000001</v>
      </c>
      <c r="J427" s="3637">
        <v>647972.40698630095</v>
      </c>
      <c r="K427" s="3636" t="s">
        <v>3891</v>
      </c>
      <c r="L427" s="3714">
        <v>41502</v>
      </c>
      <c r="M427" s="3690">
        <v>42597</v>
      </c>
      <c r="N427" s="3602">
        <v>0</v>
      </c>
      <c r="O427" s="3634"/>
      <c r="P427" s="3710">
        <v>0.03</v>
      </c>
      <c r="Q427" s="3563">
        <v>10</v>
      </c>
      <c r="R427" s="3563">
        <v>900</v>
      </c>
      <c r="S427" s="3563"/>
      <c r="T427" s="3563"/>
    </row>
    <row r="428" spans="1:21">
      <c r="A428" s="3645"/>
      <c r="B428" s="3645"/>
      <c r="C428" s="3711"/>
      <c r="D428" s="3636"/>
      <c r="E428" s="3701"/>
      <c r="F428" s="3701"/>
      <c r="G428" s="3700"/>
      <c r="H428" s="3637"/>
      <c r="I428" s="3637"/>
      <c r="J428" s="3637"/>
      <c r="K428" s="3636"/>
      <c r="L428" s="3714">
        <v>41502</v>
      </c>
      <c r="M428" s="3690">
        <v>42597</v>
      </c>
      <c r="N428" s="3602">
        <v>0</v>
      </c>
      <c r="O428" s="3634"/>
      <c r="P428" s="3710">
        <v>0.08</v>
      </c>
      <c r="Q428" s="3563"/>
      <c r="R428" s="3563"/>
      <c r="S428" s="3563"/>
      <c r="T428" s="3563"/>
    </row>
    <row r="429" spans="1:21">
      <c r="A429" s="3645"/>
      <c r="B429" s="3645"/>
      <c r="C429" s="3711"/>
      <c r="D429" s="3636"/>
      <c r="E429" s="3701"/>
      <c r="F429" s="3701"/>
      <c r="G429" s="3700"/>
      <c r="H429" s="3637">
        <v>18</v>
      </c>
      <c r="I429" s="3637">
        <v>21587.58</v>
      </c>
      <c r="J429" s="3637">
        <v>777566.88838356198</v>
      </c>
      <c r="K429" s="3636" t="s">
        <v>3890</v>
      </c>
      <c r="L429" s="3714">
        <v>42598</v>
      </c>
      <c r="M429" s="3690">
        <v>43692</v>
      </c>
      <c r="N429" s="3602">
        <v>0</v>
      </c>
      <c r="O429" s="3634"/>
      <c r="P429" s="3710">
        <v>3.5000000000000003E-2</v>
      </c>
      <c r="Q429" s="3563"/>
      <c r="R429" s="3563"/>
      <c r="S429" s="3563"/>
      <c r="T429" s="3563"/>
    </row>
    <row r="430" spans="1:21">
      <c r="A430" s="3645"/>
      <c r="B430" s="3645"/>
      <c r="C430" s="3711"/>
      <c r="D430" s="3636"/>
      <c r="E430" s="3701"/>
      <c r="F430" s="3701"/>
      <c r="G430" s="3700"/>
      <c r="H430" s="3637"/>
      <c r="I430" s="3637"/>
      <c r="J430" s="3637"/>
      <c r="K430" s="3636"/>
      <c r="L430" s="3714">
        <v>42598</v>
      </c>
      <c r="M430" s="3690">
        <v>43692</v>
      </c>
      <c r="N430" s="3602">
        <v>0</v>
      </c>
      <c r="O430" s="3634"/>
      <c r="P430" s="3710">
        <v>0.08</v>
      </c>
      <c r="Q430" s="3551"/>
      <c r="R430" s="3551"/>
      <c r="S430" s="3551"/>
      <c r="T430" s="3550"/>
    </row>
    <row r="431" spans="1:21">
      <c r="A431" s="3645"/>
      <c r="B431" s="3645"/>
      <c r="C431" s="3711"/>
      <c r="D431" s="3636"/>
      <c r="E431" s="3701"/>
      <c r="F431" s="3701"/>
      <c r="G431" s="3700"/>
      <c r="H431" s="3637">
        <v>20</v>
      </c>
      <c r="I431" s="3637">
        <v>23986.2</v>
      </c>
      <c r="J431" s="3637">
        <v>863963.20931506797</v>
      </c>
      <c r="K431" s="3636" t="s">
        <v>3889</v>
      </c>
      <c r="L431" s="3714">
        <v>43693</v>
      </c>
      <c r="M431" s="3690">
        <v>44788</v>
      </c>
      <c r="N431" s="3602">
        <v>0</v>
      </c>
      <c r="O431" s="3634"/>
      <c r="P431" s="3710">
        <v>3.5000000000000003E-2</v>
      </c>
      <c r="Q431" s="3551"/>
      <c r="R431" s="3551"/>
      <c r="S431" s="3551"/>
      <c r="T431" s="3550"/>
    </row>
    <row r="432" spans="1:21">
      <c r="A432" s="3645"/>
      <c r="B432" s="3645"/>
      <c r="C432" s="3711"/>
      <c r="D432" s="3636"/>
      <c r="E432" s="3701"/>
      <c r="F432" s="3701"/>
      <c r="G432" s="3700"/>
      <c r="H432" s="3637"/>
      <c r="I432" s="3637"/>
      <c r="J432" s="3637"/>
      <c r="K432" s="3636"/>
      <c r="L432" s="3714">
        <v>43693</v>
      </c>
      <c r="M432" s="3690">
        <v>44788</v>
      </c>
      <c r="N432" s="3602">
        <v>0</v>
      </c>
      <c r="O432" s="3634"/>
      <c r="P432" s="3710">
        <v>0.08</v>
      </c>
      <c r="Q432" s="3551"/>
      <c r="R432" s="3551"/>
      <c r="S432" s="3551"/>
      <c r="T432" s="3550"/>
    </row>
    <row r="433" spans="1:21">
      <c r="A433" s="3645"/>
      <c r="B433" s="3645"/>
      <c r="C433" s="3711"/>
      <c r="D433" s="3636"/>
      <c r="E433" s="3701"/>
      <c r="F433" s="3701"/>
      <c r="G433" s="3700"/>
      <c r="H433" s="3637">
        <v>25</v>
      </c>
      <c r="I433" s="3637">
        <v>29982.75</v>
      </c>
      <c r="J433" s="3637">
        <v>360368.01164383598</v>
      </c>
      <c r="K433" s="3636" t="s">
        <v>3888</v>
      </c>
      <c r="L433" s="3714">
        <v>44789</v>
      </c>
      <c r="M433" s="3690">
        <v>45153</v>
      </c>
      <c r="N433" s="3602">
        <v>0</v>
      </c>
      <c r="O433" s="3634"/>
      <c r="P433" s="3710">
        <v>3.5000000000000003E-2</v>
      </c>
      <c r="Q433" s="3551"/>
      <c r="R433" s="3551"/>
      <c r="S433" s="3551"/>
      <c r="T433" s="3550"/>
    </row>
    <row r="434" spans="1:21">
      <c r="A434" s="3645"/>
      <c r="B434" s="3645"/>
      <c r="C434" s="3711"/>
      <c r="D434" s="3636"/>
      <c r="E434" s="3701"/>
      <c r="F434" s="3701"/>
      <c r="G434" s="3700"/>
      <c r="H434" s="3637"/>
      <c r="I434" s="3637"/>
      <c r="J434" s="3637"/>
      <c r="K434" s="3636"/>
      <c r="L434" s="3714">
        <v>44789</v>
      </c>
      <c r="M434" s="3690">
        <v>45153</v>
      </c>
      <c r="N434" s="3602">
        <v>0</v>
      </c>
      <c r="O434" s="3634"/>
      <c r="P434" s="3710">
        <v>0.08</v>
      </c>
      <c r="Q434" s="3551"/>
      <c r="R434" s="3551"/>
      <c r="S434" s="3551"/>
      <c r="T434" s="3550"/>
    </row>
    <row r="435" spans="1:21" ht="25.5">
      <c r="A435" s="3645"/>
      <c r="B435" s="3645"/>
      <c r="C435" s="3707">
        <v>45154</v>
      </c>
      <c r="D435" s="3634">
        <v>6</v>
      </c>
      <c r="E435" s="3690">
        <v>45337</v>
      </c>
      <c r="F435" s="3690"/>
      <c r="G435" s="3689"/>
      <c r="H435" s="3563">
        <v>25</v>
      </c>
      <c r="I435" s="3563">
        <v>29982.75</v>
      </c>
      <c r="J435" s="3563">
        <v>180471.51164383601</v>
      </c>
      <c r="K435" s="3552" t="s">
        <v>3887</v>
      </c>
      <c r="L435" s="3612">
        <v>45154</v>
      </c>
      <c r="M435" s="3612">
        <v>45337</v>
      </c>
      <c r="N435" s="3620">
        <v>0</v>
      </c>
      <c r="O435" s="3552"/>
      <c r="P435" s="3618" t="s">
        <v>3886</v>
      </c>
      <c r="Q435" s="3551"/>
      <c r="R435" s="3551"/>
      <c r="S435" s="3551"/>
      <c r="T435" s="3550"/>
    </row>
    <row r="436" spans="1:21" ht="25.5">
      <c r="A436" s="3645"/>
      <c r="B436" s="3645"/>
      <c r="C436" s="3707"/>
      <c r="D436" s="3634"/>
      <c r="E436" s="3690"/>
      <c r="F436" s="3690"/>
      <c r="G436" s="3689"/>
      <c r="H436" s="3563">
        <v>65</v>
      </c>
      <c r="I436" s="3563">
        <v>75593.05</v>
      </c>
      <c r="J436" s="3563">
        <v>447552.27684931498</v>
      </c>
      <c r="K436" s="3552" t="s">
        <v>3885</v>
      </c>
      <c r="L436" s="3612">
        <v>45338</v>
      </c>
      <c r="M436" s="3612">
        <v>45519</v>
      </c>
      <c r="N436" s="3620">
        <v>75593.05</v>
      </c>
      <c r="O436" s="3552"/>
      <c r="P436" s="3618">
        <v>0.04</v>
      </c>
      <c r="Q436" s="3551"/>
      <c r="R436" s="3551"/>
      <c r="S436" s="3551"/>
      <c r="T436" s="3550"/>
    </row>
    <row r="437" spans="1:21" ht="25.5">
      <c r="A437" s="3645"/>
      <c r="B437" s="3645"/>
      <c r="C437" s="3707"/>
      <c r="D437" s="3634"/>
      <c r="E437" s="3690"/>
      <c r="F437" s="3690"/>
      <c r="G437" s="3689"/>
      <c r="H437" s="3563">
        <v>65</v>
      </c>
      <c r="I437" s="3563">
        <v>75593.05</v>
      </c>
      <c r="J437" s="3563">
        <v>417729.26534246601</v>
      </c>
      <c r="K437" s="3552" t="s">
        <v>3884</v>
      </c>
      <c r="L437" s="3612">
        <v>45520</v>
      </c>
      <c r="M437" s="3612">
        <v>45688</v>
      </c>
      <c r="N437" s="3620"/>
      <c r="O437" s="3552"/>
      <c r="P437" s="3618"/>
      <c r="Q437" s="3631"/>
      <c r="R437" s="3631"/>
      <c r="S437" s="3631"/>
      <c r="T437" s="3634"/>
    </row>
    <row r="438" spans="1:21" ht="25.5">
      <c r="A438" s="3639"/>
      <c r="B438" s="3639"/>
      <c r="C438" s="3707"/>
      <c r="D438" s="3634"/>
      <c r="E438" s="3690"/>
      <c r="F438" s="3690"/>
      <c r="G438" s="3689"/>
      <c r="H438" s="3563">
        <v>65</v>
      </c>
      <c r="I438" s="3563">
        <v>75593.05</v>
      </c>
      <c r="J438" s="3563">
        <v>453558.3</v>
      </c>
      <c r="K438" s="3552" t="s">
        <v>3883</v>
      </c>
      <c r="L438" s="3612"/>
      <c r="M438" s="3612"/>
      <c r="N438" s="3620"/>
      <c r="O438" s="3552"/>
      <c r="P438" s="3618">
        <v>0.04</v>
      </c>
      <c r="Q438" s="3631"/>
      <c r="R438" s="3631"/>
      <c r="S438" s="3631"/>
      <c r="T438" s="3634"/>
      <c r="U438" s="3590">
        <f>I438</f>
        <v>75593.05</v>
      </c>
    </row>
    <row r="439" spans="1:21" ht="51">
      <c r="A439" s="3564" t="s">
        <v>3882</v>
      </c>
      <c r="B439" s="3635">
        <v>57.72</v>
      </c>
      <c r="C439" s="3624" t="s">
        <v>3881</v>
      </c>
      <c r="D439" s="3550"/>
      <c r="E439" s="3599" t="s">
        <v>3880</v>
      </c>
      <c r="F439" s="3599" t="s">
        <v>3879</v>
      </c>
      <c r="G439" s="3598" t="s">
        <v>3879</v>
      </c>
      <c r="H439" s="3563">
        <v>450</v>
      </c>
      <c r="I439" s="3563">
        <v>25974</v>
      </c>
      <c r="J439" s="3563">
        <v>25974</v>
      </c>
      <c r="K439" s="3552" t="s">
        <v>3878</v>
      </c>
      <c r="L439" s="3612">
        <v>45019</v>
      </c>
      <c r="M439" s="3612">
        <v>45079</v>
      </c>
      <c r="N439" s="3602">
        <v>0</v>
      </c>
      <c r="O439" s="3552"/>
      <c r="P439" s="3585">
        <v>0.11</v>
      </c>
      <c r="Q439" s="3631"/>
      <c r="R439" s="3631"/>
      <c r="S439" s="3631"/>
      <c r="T439" s="3634"/>
    </row>
    <row r="440" spans="1:21" ht="51">
      <c r="A440" s="3564"/>
      <c r="B440" s="3635"/>
      <c r="C440" s="3624"/>
      <c r="D440" s="3550"/>
      <c r="E440" s="3599"/>
      <c r="F440" s="3599"/>
      <c r="G440" s="3598"/>
      <c r="H440" s="3563">
        <v>450</v>
      </c>
      <c r="I440" s="3563">
        <v>25974</v>
      </c>
      <c r="J440" s="3563">
        <v>311332.191780822</v>
      </c>
      <c r="K440" s="3552" t="s">
        <v>3877</v>
      </c>
      <c r="L440" s="3612">
        <v>45080</v>
      </c>
      <c r="M440" s="3612">
        <v>45445</v>
      </c>
      <c r="N440" s="3620">
        <v>0</v>
      </c>
      <c r="O440" s="3552" t="s">
        <v>3875</v>
      </c>
      <c r="P440" s="3618">
        <v>0.11</v>
      </c>
      <c r="Q440" s="3631"/>
      <c r="R440" s="3631"/>
      <c r="S440" s="3631"/>
      <c r="T440" s="3634"/>
    </row>
    <row r="441" spans="1:21" ht="51">
      <c r="A441" s="3564"/>
      <c r="B441" s="3635"/>
      <c r="C441" s="3624"/>
      <c r="D441" s="3550"/>
      <c r="E441" s="3599"/>
      <c r="F441" s="3599"/>
      <c r="G441" s="3598"/>
      <c r="H441" s="3595">
        <v>472.5</v>
      </c>
      <c r="I441" s="3595">
        <v>27272.7</v>
      </c>
      <c r="J441" s="3595">
        <v>299626.10136986303</v>
      </c>
      <c r="K441" s="3592" t="s">
        <v>3876</v>
      </c>
      <c r="L441" s="3594">
        <v>45446</v>
      </c>
      <c r="M441" s="3594">
        <v>45779</v>
      </c>
      <c r="N441" s="3593">
        <v>27272.7</v>
      </c>
      <c r="O441" s="3592" t="s">
        <v>3875</v>
      </c>
      <c r="P441" s="3591">
        <v>0.12</v>
      </c>
      <c r="Q441" s="3558">
        <v>10</v>
      </c>
      <c r="R441" s="3558">
        <v>627.1</v>
      </c>
      <c r="S441" s="3571"/>
      <c r="T441" s="3571" t="s">
        <v>3779</v>
      </c>
      <c r="U441" s="3590">
        <f>I441</f>
        <v>27272.7</v>
      </c>
    </row>
    <row r="442" spans="1:21" ht="25.5">
      <c r="A442" s="3570" t="s">
        <v>3874</v>
      </c>
      <c r="B442" s="3713">
        <v>85.62</v>
      </c>
      <c r="C442" s="3711">
        <v>44036</v>
      </c>
      <c r="D442" s="3636">
        <v>37.299999999999997</v>
      </c>
      <c r="E442" s="3712">
        <v>45175</v>
      </c>
      <c r="F442" s="3599">
        <v>44081</v>
      </c>
      <c r="G442" s="3598">
        <v>44081</v>
      </c>
      <c r="H442" s="3631">
        <v>500</v>
      </c>
      <c r="I442" s="3631">
        <v>42810</v>
      </c>
      <c r="J442" s="3631">
        <v>514541.01369862998</v>
      </c>
      <c r="K442" s="3634" t="s">
        <v>3873</v>
      </c>
      <c r="L442" s="3690">
        <v>44081</v>
      </c>
      <c r="M442" s="3690">
        <v>44445</v>
      </c>
      <c r="N442" s="3602">
        <v>0</v>
      </c>
      <c r="O442" s="3634"/>
      <c r="P442" s="3710">
        <v>0.14000000000000001</v>
      </c>
      <c r="Q442" s="3573"/>
      <c r="R442" s="3573"/>
      <c r="S442" s="3571"/>
      <c r="T442" s="3571"/>
    </row>
    <row r="443" spans="1:21" ht="25.5">
      <c r="A443" s="3568"/>
      <c r="B443" s="3709"/>
      <c r="C443" s="3711"/>
      <c r="D443" s="3636"/>
      <c r="E443" s="3599"/>
      <c r="F443" s="3599"/>
      <c r="G443" s="3598"/>
      <c r="H443" s="3631">
        <v>515</v>
      </c>
      <c r="I443" s="3631">
        <v>44094.3</v>
      </c>
      <c r="J443" s="3631">
        <v>528527.56849315099</v>
      </c>
      <c r="K443" s="3634" t="s">
        <v>3872</v>
      </c>
      <c r="L443" s="3690">
        <v>44446</v>
      </c>
      <c r="M443" s="3690">
        <v>44810</v>
      </c>
      <c r="N443" s="3602">
        <v>0</v>
      </c>
      <c r="O443" s="3634"/>
      <c r="P443" s="3710">
        <v>0.14000000000000001</v>
      </c>
      <c r="Q443" s="3573"/>
      <c r="R443" s="3573"/>
      <c r="S443" s="3563"/>
      <c r="T443" s="3563"/>
    </row>
    <row r="444" spans="1:21" ht="25.5">
      <c r="A444" s="3568"/>
      <c r="B444" s="3709"/>
      <c r="C444" s="3711"/>
      <c r="D444" s="3636"/>
      <c r="E444" s="3599"/>
      <c r="F444" s="3599"/>
      <c r="G444" s="3598"/>
      <c r="H444" s="3631">
        <v>530</v>
      </c>
      <c r="I444" s="3631">
        <v>45378.6</v>
      </c>
      <c r="J444" s="3631">
        <v>543921.57534246601</v>
      </c>
      <c r="K444" s="3634" t="s">
        <v>3871</v>
      </c>
      <c r="L444" s="3690">
        <v>44811</v>
      </c>
      <c r="M444" s="3690">
        <v>45175</v>
      </c>
      <c r="N444" s="3602">
        <v>0</v>
      </c>
      <c r="O444" s="3634"/>
      <c r="P444" s="3710">
        <v>0.14000000000000001</v>
      </c>
      <c r="Q444" s="3573"/>
      <c r="R444" s="3573"/>
      <c r="S444" s="3563"/>
      <c r="T444" s="3563"/>
    </row>
    <row r="445" spans="1:21" ht="38.25">
      <c r="A445" s="3568"/>
      <c r="B445" s="3709"/>
      <c r="C445" s="3707">
        <v>45176</v>
      </c>
      <c r="D445" s="3634">
        <v>12</v>
      </c>
      <c r="E445" s="3603">
        <v>45541</v>
      </c>
      <c r="F445" s="3603"/>
      <c r="G445" s="3616"/>
      <c r="H445" s="3595">
        <v>556.5</v>
      </c>
      <c r="I445" s="3595">
        <v>47647.53</v>
      </c>
      <c r="J445" s="3595">
        <v>571117.65410958906</v>
      </c>
      <c r="K445" s="3592" t="s">
        <v>3870</v>
      </c>
      <c r="L445" s="3594">
        <v>45176</v>
      </c>
      <c r="M445" s="3594">
        <v>45541</v>
      </c>
      <c r="N445" s="3593">
        <v>47647.53</v>
      </c>
      <c r="O445" s="3592" t="s">
        <v>3869</v>
      </c>
      <c r="P445" s="3591">
        <v>0.14000000000000001</v>
      </c>
      <c r="Q445" s="3573"/>
      <c r="R445" s="3573"/>
      <c r="S445" s="3563"/>
      <c r="T445" s="3563"/>
    </row>
    <row r="446" spans="1:21" ht="25.5">
      <c r="A446" s="3568"/>
      <c r="B446" s="3709"/>
      <c r="C446" s="3707"/>
      <c r="D446" s="3634"/>
      <c r="E446" s="3603"/>
      <c r="F446" s="3603"/>
      <c r="G446" s="3616"/>
      <c r="H446" s="3595">
        <v>575.5</v>
      </c>
      <c r="I446" s="3595">
        <v>49274.31</v>
      </c>
      <c r="J446" s="3595">
        <v>590616.72945205495</v>
      </c>
      <c r="K446" s="3592" t="s">
        <v>3868</v>
      </c>
      <c r="L446" s="3594">
        <v>45542</v>
      </c>
      <c r="M446" s="3594">
        <v>45906</v>
      </c>
      <c r="N446" s="3593"/>
      <c r="O446" s="3592"/>
      <c r="P446" s="3591"/>
      <c r="Q446" s="3556"/>
      <c r="R446" s="3556"/>
      <c r="S446" s="3563"/>
      <c r="T446" s="3563"/>
      <c r="U446" s="3590">
        <f>I446</f>
        <v>49274.31</v>
      </c>
    </row>
    <row r="447" spans="1:21">
      <c r="A447" s="3567"/>
      <c r="B447" s="3708"/>
      <c r="C447" s="3707"/>
      <c r="D447" s="3634"/>
      <c r="E447" s="3603"/>
      <c r="F447" s="3603"/>
      <c r="G447" s="3616"/>
      <c r="H447" s="3595"/>
      <c r="I447" s="3595"/>
      <c r="J447" s="3595"/>
      <c r="K447" s="3592"/>
      <c r="L447" s="3594"/>
      <c r="M447" s="3594"/>
      <c r="N447" s="3593"/>
      <c r="O447" s="3592"/>
      <c r="P447" s="3591"/>
      <c r="Q447" s="3554"/>
      <c r="R447" s="3554"/>
      <c r="S447" s="3563"/>
      <c r="T447" s="3563"/>
    </row>
    <row r="448" spans="1:21" ht="51">
      <c r="A448" s="3650" t="s">
        <v>3867</v>
      </c>
      <c r="B448" s="3664">
        <v>230.22</v>
      </c>
      <c r="C448" s="3704">
        <v>44866</v>
      </c>
      <c r="D448" s="3706"/>
      <c r="E448" s="3702" t="s">
        <v>3866</v>
      </c>
      <c r="F448" s="3701">
        <v>44911</v>
      </c>
      <c r="G448" s="3700">
        <v>44911</v>
      </c>
      <c r="H448" s="3630">
        <v>300</v>
      </c>
      <c r="I448" s="3630">
        <v>69066</v>
      </c>
      <c r="J448" s="3630">
        <v>69066</v>
      </c>
      <c r="K448" s="3629" t="s">
        <v>3865</v>
      </c>
      <c r="L448" s="3688">
        <v>44866</v>
      </c>
      <c r="M448" s="3688">
        <v>44976</v>
      </c>
      <c r="N448" s="3602">
        <v>0</v>
      </c>
      <c r="O448" s="3629"/>
      <c r="P448" s="3687">
        <v>0.13</v>
      </c>
      <c r="Q448" s="3637">
        <v>10</v>
      </c>
      <c r="R448" s="3637">
        <v>400</v>
      </c>
      <c r="S448" s="3683"/>
      <c r="T448" s="3683"/>
    </row>
    <row r="449" spans="1:21" ht="51">
      <c r="A449" s="3645"/>
      <c r="B449" s="3662"/>
      <c r="C449" s="3704"/>
      <c r="D449" s="3705"/>
      <c r="E449" s="3702"/>
      <c r="F449" s="3701"/>
      <c r="G449" s="3700"/>
      <c r="H449" s="3699">
        <v>300</v>
      </c>
      <c r="I449" s="3699">
        <v>69066</v>
      </c>
      <c r="J449" s="3699">
        <v>20435.967123287701</v>
      </c>
      <c r="K449" s="3697" t="s">
        <v>3864</v>
      </c>
      <c r="L449" s="3698">
        <v>44977</v>
      </c>
      <c r="M449" s="3698">
        <v>44985</v>
      </c>
      <c r="N449" s="3602">
        <v>0</v>
      </c>
      <c r="O449" s="3697"/>
      <c r="P449" s="3687">
        <v>0.13</v>
      </c>
      <c r="Q449" s="3637"/>
      <c r="R449" s="3637"/>
      <c r="S449" s="3678"/>
      <c r="T449" s="3678"/>
    </row>
    <row r="450" spans="1:21" ht="51">
      <c r="A450" s="3645"/>
      <c r="B450" s="3662"/>
      <c r="C450" s="3704"/>
      <c r="D450" s="3705"/>
      <c r="E450" s="3702"/>
      <c r="F450" s="3701"/>
      <c r="G450" s="3700"/>
      <c r="H450" s="3630">
        <v>50</v>
      </c>
      <c r="I450" s="3630">
        <v>11511</v>
      </c>
      <c r="J450" s="3630">
        <v>23022</v>
      </c>
      <c r="K450" s="3629" t="s">
        <v>3863</v>
      </c>
      <c r="L450" s="3688">
        <v>44986</v>
      </c>
      <c r="M450" s="3688">
        <v>45046</v>
      </c>
      <c r="N450" s="3602">
        <v>0</v>
      </c>
      <c r="O450" s="3629"/>
      <c r="P450" s="3687">
        <v>0.13</v>
      </c>
      <c r="Q450" s="3637"/>
      <c r="R450" s="3637"/>
      <c r="S450" s="3678"/>
      <c r="T450" s="3678"/>
    </row>
    <row r="451" spans="1:21" ht="51">
      <c r="A451" s="3645"/>
      <c r="B451" s="3662"/>
      <c r="C451" s="3704"/>
      <c r="D451" s="3703"/>
      <c r="E451" s="3702"/>
      <c r="F451" s="3701"/>
      <c r="G451" s="3700"/>
      <c r="H451" s="3630">
        <v>300</v>
      </c>
      <c r="I451" s="3630">
        <v>69066</v>
      </c>
      <c r="J451" s="3630">
        <v>414396</v>
      </c>
      <c r="K451" s="3629" t="s">
        <v>3862</v>
      </c>
      <c r="L451" s="3688">
        <v>45047</v>
      </c>
      <c r="M451" s="3688">
        <v>45230</v>
      </c>
      <c r="N451" s="3602">
        <v>0</v>
      </c>
      <c r="O451" s="3629"/>
      <c r="P451" s="3687">
        <v>0.13</v>
      </c>
      <c r="Q451" s="3637"/>
      <c r="R451" s="3637"/>
      <c r="S451" s="3678"/>
      <c r="T451" s="3678"/>
    </row>
    <row r="452" spans="1:21" ht="25.5">
      <c r="A452" s="3645"/>
      <c r="B452" s="3662"/>
      <c r="C452" s="3692"/>
      <c r="D452" s="3691"/>
      <c r="E452" s="3688"/>
      <c r="F452" s="3690"/>
      <c r="G452" s="3689"/>
      <c r="H452" s="3699">
        <v>550</v>
      </c>
      <c r="I452" s="3699">
        <v>126621</v>
      </c>
      <c r="J452" s="3699">
        <v>253242</v>
      </c>
      <c r="K452" s="3697" t="s">
        <v>3861</v>
      </c>
      <c r="L452" s="3698">
        <v>45231</v>
      </c>
      <c r="M452" s="3698">
        <v>45291</v>
      </c>
      <c r="N452" s="3602">
        <v>0</v>
      </c>
      <c r="O452" s="3697"/>
      <c r="P452" s="3687">
        <v>0.13</v>
      </c>
      <c r="Q452" s="3637"/>
      <c r="R452" s="3637"/>
      <c r="S452" s="3676"/>
      <c r="T452" s="3676"/>
    </row>
    <row r="453" spans="1:21" ht="25.5">
      <c r="A453" s="3645"/>
      <c r="B453" s="3662"/>
      <c r="C453" s="3692"/>
      <c r="D453" s="3691"/>
      <c r="E453" s="3688"/>
      <c r="F453" s="3690"/>
      <c r="G453" s="3689"/>
      <c r="H453" s="3630">
        <v>300</v>
      </c>
      <c r="I453" s="3630">
        <v>69066</v>
      </c>
      <c r="J453" s="3630">
        <v>43142.597260274</v>
      </c>
      <c r="K453" s="3629" t="s">
        <v>3860</v>
      </c>
      <c r="L453" s="3688">
        <v>45292</v>
      </c>
      <c r="M453" s="3688">
        <v>45310</v>
      </c>
      <c r="N453" s="3602">
        <v>0</v>
      </c>
      <c r="O453" s="3629"/>
      <c r="P453" s="3687">
        <v>0.13</v>
      </c>
      <c r="Q453" s="3631"/>
      <c r="R453" s="3631">
        <v>735.8</v>
      </c>
      <c r="S453" s="3631"/>
      <c r="T453" s="3631"/>
    </row>
    <row r="454" spans="1:21" ht="38.25">
      <c r="A454" s="3645"/>
      <c r="B454" s="3662"/>
      <c r="C454" s="3692"/>
      <c r="D454" s="3691"/>
      <c r="E454" s="3688"/>
      <c r="F454" s="3690"/>
      <c r="G454" s="3689"/>
      <c r="H454" s="3696">
        <v>310</v>
      </c>
      <c r="I454" s="3696">
        <v>71368.2</v>
      </c>
      <c r="J454" s="3696">
        <v>857787.10520547896</v>
      </c>
      <c r="K454" s="3694" t="s">
        <v>3859</v>
      </c>
      <c r="L454" s="3695">
        <v>45311</v>
      </c>
      <c r="M454" s="3695">
        <v>45676</v>
      </c>
      <c r="N454" s="3593">
        <v>71368.2</v>
      </c>
      <c r="O454" s="3694" t="s">
        <v>3858</v>
      </c>
      <c r="P454" s="3693">
        <v>0.14000000000000001</v>
      </c>
      <c r="Q454" s="3631"/>
      <c r="R454" s="3631"/>
      <c r="S454" s="3631"/>
      <c r="T454" s="3631"/>
    </row>
    <row r="455" spans="1:21" ht="25.5">
      <c r="A455" s="3639"/>
      <c r="B455" s="3659"/>
      <c r="C455" s="3692"/>
      <c r="D455" s="3691"/>
      <c r="E455" s="3688"/>
      <c r="F455" s="3690"/>
      <c r="G455" s="3689"/>
      <c r="H455" s="3630">
        <v>320</v>
      </c>
      <c r="I455" s="3630">
        <v>73670.399999999994</v>
      </c>
      <c r="J455" s="3630">
        <v>885457.65698630095</v>
      </c>
      <c r="K455" s="3629" t="s">
        <v>3857</v>
      </c>
      <c r="L455" s="3688">
        <v>45677</v>
      </c>
      <c r="M455" s="3688">
        <v>46041</v>
      </c>
      <c r="N455" s="3602">
        <v>0</v>
      </c>
      <c r="O455" s="3629"/>
      <c r="P455" s="3687">
        <v>0.15</v>
      </c>
      <c r="Q455" s="3631"/>
      <c r="R455" s="3631"/>
      <c r="S455" s="3631"/>
      <c r="T455" s="3631"/>
      <c r="U455" s="3590">
        <f>I455</f>
        <v>73670.399999999994</v>
      </c>
    </row>
    <row r="456" spans="1:21" ht="25.5">
      <c r="A456" s="3686"/>
      <c r="B456" s="3685">
        <v>121.07</v>
      </c>
      <c r="C456" s="3684"/>
      <c r="D456" s="3550"/>
      <c r="E456" s="3603"/>
      <c r="F456" s="3603"/>
      <c r="G456" s="3616"/>
      <c r="H456" s="3595">
        <v>474</v>
      </c>
      <c r="I456" s="3595">
        <v>57387.18</v>
      </c>
      <c r="J456" s="3595">
        <v>343536.95424657501</v>
      </c>
      <c r="K456" s="3592" t="s">
        <v>3856</v>
      </c>
      <c r="L456" s="3594"/>
      <c r="M456" s="3594"/>
      <c r="N456" s="3593"/>
      <c r="O456" s="3627"/>
      <c r="P456" s="3591">
        <v>0.14000000000000001</v>
      </c>
      <c r="Q456" s="3631">
        <v>10</v>
      </c>
      <c r="R456" s="3631">
        <v>735.8</v>
      </c>
      <c r="S456" s="3631"/>
      <c r="T456" s="3631"/>
    </row>
    <row r="457" spans="1:21" ht="25.5">
      <c r="A457" s="3570" t="s">
        <v>3855</v>
      </c>
      <c r="B457" s="3570">
        <v>15.9</v>
      </c>
      <c r="C457" s="3632">
        <v>45762</v>
      </c>
      <c r="D457" s="3570"/>
      <c r="E457" s="3632">
        <v>46521</v>
      </c>
      <c r="F457" s="3632">
        <v>45762</v>
      </c>
      <c r="G457" s="3632">
        <v>45762</v>
      </c>
      <c r="H457" s="3595">
        <v>1032</v>
      </c>
      <c r="I457" s="3595">
        <v>16408.8</v>
      </c>
      <c r="J457" s="3595">
        <v>16408.8</v>
      </c>
      <c r="K457" s="3592" t="s">
        <v>3854</v>
      </c>
      <c r="L457" s="3594"/>
      <c r="M457" s="3594"/>
      <c r="N457" s="3593"/>
      <c r="O457" s="3627"/>
      <c r="P457" s="3591">
        <v>0.1</v>
      </c>
      <c r="Q457" s="3631"/>
      <c r="R457" s="3631"/>
      <c r="S457" s="3631"/>
      <c r="T457" s="3631"/>
    </row>
    <row r="458" spans="1:21" ht="25.5">
      <c r="A458" s="3568"/>
      <c r="B458" s="3568"/>
      <c r="C458" s="3568"/>
      <c r="D458" s="3568"/>
      <c r="E458" s="3568"/>
      <c r="F458" s="3568"/>
      <c r="G458" s="3568"/>
      <c r="H458" s="3595">
        <v>1032</v>
      </c>
      <c r="I458" s="3595">
        <v>16408.8</v>
      </c>
      <c r="J458" s="3595">
        <v>180272.02191780799</v>
      </c>
      <c r="K458" s="3592" t="s">
        <v>3853</v>
      </c>
      <c r="L458" s="3594"/>
      <c r="M458" s="3594"/>
      <c r="N458" s="3593"/>
      <c r="O458" s="3627"/>
      <c r="P458" s="3591">
        <v>0.1</v>
      </c>
      <c r="Q458" s="3637">
        <v>10</v>
      </c>
      <c r="R458" s="3637">
        <v>401.5</v>
      </c>
      <c r="S458" s="3683"/>
      <c r="T458" s="3650"/>
    </row>
    <row r="459" spans="1:21" ht="25.5">
      <c r="A459" s="3567"/>
      <c r="B459" s="3567"/>
      <c r="C459" s="3567"/>
      <c r="D459" s="3567"/>
      <c r="E459" s="3567"/>
      <c r="F459" s="3567"/>
      <c r="G459" s="3567"/>
      <c r="H459" s="3595">
        <v>1083.5999999999999</v>
      </c>
      <c r="I459" s="3595">
        <v>17229.240000000002</v>
      </c>
      <c r="J459" s="3595">
        <v>206514.86301369901</v>
      </c>
      <c r="K459" s="3592" t="s">
        <v>3852</v>
      </c>
      <c r="L459" s="3594"/>
      <c r="M459" s="3594"/>
      <c r="N459" s="3593"/>
      <c r="O459" s="3627"/>
      <c r="P459" s="3591">
        <v>0.11</v>
      </c>
      <c r="Q459" s="3637"/>
      <c r="R459" s="3637"/>
      <c r="S459" s="3678"/>
      <c r="T459" s="3645"/>
      <c r="U459" s="3590">
        <f>I459</f>
        <v>17229.240000000002</v>
      </c>
    </row>
    <row r="460" spans="1:21" ht="48">
      <c r="A460" s="3604" t="s">
        <v>3851</v>
      </c>
      <c r="B460" s="3604">
        <v>24</v>
      </c>
      <c r="C460" s="3615">
        <v>45379</v>
      </c>
      <c r="D460" s="3682" t="s">
        <v>3850</v>
      </c>
      <c r="E460" s="3614">
        <v>45763</v>
      </c>
      <c r="F460" s="3614">
        <v>45399</v>
      </c>
      <c r="G460" s="3613">
        <v>45399</v>
      </c>
      <c r="H460" s="3563">
        <v>1300</v>
      </c>
      <c r="I460" s="3563">
        <v>31200</v>
      </c>
      <c r="J460" s="3563">
        <v>31200</v>
      </c>
      <c r="K460" s="3552" t="s">
        <v>3849</v>
      </c>
      <c r="L460" s="3612">
        <v>45379</v>
      </c>
      <c r="M460" s="3612">
        <v>45428</v>
      </c>
      <c r="N460" s="3663" t="s">
        <v>3806</v>
      </c>
      <c r="O460" s="3619" t="s">
        <v>3848</v>
      </c>
      <c r="P460" s="3618">
        <v>0.15</v>
      </c>
      <c r="Q460" s="3637"/>
      <c r="R460" s="3637"/>
      <c r="S460" s="3678"/>
      <c r="T460" s="3645"/>
    </row>
    <row r="461" spans="1:21" ht="25.5">
      <c r="A461" s="3597"/>
      <c r="B461" s="3601"/>
      <c r="C461" s="3610"/>
      <c r="D461" s="3681"/>
      <c r="E461" s="3609"/>
      <c r="F461" s="3609"/>
      <c r="G461" s="3608"/>
      <c r="H461" s="3595">
        <v>1300</v>
      </c>
      <c r="I461" s="3595">
        <v>31200</v>
      </c>
      <c r="J461" s="3595">
        <v>343798.35616438399</v>
      </c>
      <c r="K461" s="3592" t="s">
        <v>3847</v>
      </c>
      <c r="L461" s="3594">
        <v>45429</v>
      </c>
      <c r="M461" s="3594">
        <v>45763</v>
      </c>
      <c r="N461" s="3593">
        <v>31200</v>
      </c>
      <c r="O461" s="3592"/>
      <c r="P461" s="3591">
        <v>0.15</v>
      </c>
      <c r="Q461" s="3637"/>
      <c r="R461" s="3637"/>
      <c r="S461" s="3678"/>
      <c r="T461" s="3645"/>
    </row>
    <row r="462" spans="1:21" ht="25.5">
      <c r="A462" s="3680"/>
      <c r="B462" s="3597"/>
      <c r="C462" s="3607"/>
      <c r="D462" s="3679"/>
      <c r="E462" s="3606"/>
      <c r="F462" s="3606"/>
      <c r="G462" s="3605"/>
      <c r="H462" s="3595">
        <v>1339</v>
      </c>
      <c r="I462" s="3595">
        <v>32136</v>
      </c>
      <c r="J462" s="3595">
        <v>386248.30684931501</v>
      </c>
      <c r="K462" s="3592" t="s">
        <v>3846</v>
      </c>
      <c r="L462" s="3594"/>
      <c r="M462" s="3594"/>
      <c r="N462" s="3593"/>
      <c r="O462" s="3592"/>
      <c r="P462" s="3591">
        <v>0.15</v>
      </c>
      <c r="Q462" s="3637"/>
      <c r="R462" s="3637"/>
      <c r="S462" s="3678"/>
      <c r="T462" s="3645"/>
      <c r="U462" s="3590">
        <f>I462</f>
        <v>32136</v>
      </c>
    </row>
    <row r="463" spans="1:21" ht="25.5">
      <c r="A463" s="3677" t="s">
        <v>3845</v>
      </c>
      <c r="B463" s="3677">
        <v>55</v>
      </c>
      <c r="C463" s="3600">
        <v>44271</v>
      </c>
      <c r="D463" s="3675">
        <v>24</v>
      </c>
      <c r="E463" s="3674">
        <v>45000</v>
      </c>
      <c r="F463" s="3674"/>
      <c r="G463" s="3673" t="s">
        <v>3844</v>
      </c>
      <c r="H463" s="3563">
        <v>1000</v>
      </c>
      <c r="I463" s="3563">
        <v>55000</v>
      </c>
      <c r="J463" s="3563">
        <v>660000</v>
      </c>
      <c r="K463" s="3552" t="s">
        <v>3843</v>
      </c>
      <c r="L463" s="3612">
        <v>44316</v>
      </c>
      <c r="M463" s="3612">
        <v>44635</v>
      </c>
      <c r="N463" s="3602">
        <v>0</v>
      </c>
      <c r="O463" s="3552"/>
      <c r="P463" s="3618">
        <v>0.15</v>
      </c>
      <c r="Q463" s="3637"/>
      <c r="R463" s="3637"/>
      <c r="S463" s="3676"/>
      <c r="T463" s="3639"/>
    </row>
    <row r="464" spans="1:21" ht="25.5">
      <c r="A464" s="3672"/>
      <c r="B464" s="3672"/>
      <c r="C464" s="3600"/>
      <c r="D464" s="3675"/>
      <c r="E464" s="3674"/>
      <c r="F464" s="3674"/>
      <c r="G464" s="3673"/>
      <c r="H464" s="3563">
        <v>1050</v>
      </c>
      <c r="I464" s="3563">
        <v>57750</v>
      </c>
      <c r="J464" s="3563">
        <v>693000</v>
      </c>
      <c r="K464" s="3552" t="s">
        <v>3842</v>
      </c>
      <c r="L464" s="3612">
        <v>44636</v>
      </c>
      <c r="M464" s="3612">
        <v>45000</v>
      </c>
      <c r="N464" s="3602">
        <v>0</v>
      </c>
      <c r="O464" s="3552"/>
      <c r="P464" s="3618">
        <v>0.15</v>
      </c>
      <c r="Q464" s="3631"/>
      <c r="R464" s="3631"/>
      <c r="S464" s="3631"/>
      <c r="T464" s="3634"/>
    </row>
    <row r="465" spans="1:21" ht="25.5">
      <c r="A465" s="3672"/>
      <c r="B465" s="3672"/>
      <c r="C465" s="3600"/>
      <c r="D465" s="3675"/>
      <c r="E465" s="3674"/>
      <c r="F465" s="3674"/>
      <c r="G465" s="3673"/>
      <c r="H465" s="3571" t="s">
        <v>3841</v>
      </c>
      <c r="I465" s="3571"/>
      <c r="J465" s="3571"/>
      <c r="K465" s="3552" t="s">
        <v>3840</v>
      </c>
      <c r="L465" s="3612">
        <v>45001</v>
      </c>
      <c r="M465" s="3612">
        <v>45366</v>
      </c>
      <c r="N465" s="3602">
        <v>0</v>
      </c>
      <c r="O465" s="3552"/>
      <c r="P465" s="3618">
        <v>0.16</v>
      </c>
      <c r="Q465" s="3631"/>
      <c r="R465" s="3631"/>
      <c r="S465" s="3631"/>
      <c r="T465" s="3634"/>
    </row>
    <row r="466" spans="1:21" ht="38.25">
      <c r="A466" s="3672"/>
      <c r="B466" s="3672"/>
      <c r="C466" s="3655">
        <v>45001</v>
      </c>
      <c r="D466" s="3552"/>
      <c r="E466" s="3612">
        <v>45366</v>
      </c>
      <c r="F466" s="3612">
        <v>45001</v>
      </c>
      <c r="G466" s="3654">
        <v>45001</v>
      </c>
      <c r="H466" s="3563">
        <v>1176</v>
      </c>
      <c r="I466" s="3563">
        <v>64680</v>
      </c>
      <c r="J466" s="3563">
        <v>777400.43835616403</v>
      </c>
      <c r="K466" s="3552" t="s">
        <v>3840</v>
      </c>
      <c r="L466" s="3612">
        <v>45001</v>
      </c>
      <c r="M466" s="3612">
        <v>45366</v>
      </c>
      <c r="N466" s="3620">
        <v>0</v>
      </c>
      <c r="O466" s="3552" t="s">
        <v>3838</v>
      </c>
      <c r="P466" s="3618">
        <v>0.16</v>
      </c>
      <c r="Q466" s="3631"/>
      <c r="R466" s="3631"/>
      <c r="S466" s="3643"/>
      <c r="T466" s="3634"/>
    </row>
    <row r="467" spans="1:21" ht="38.25">
      <c r="A467" s="3672"/>
      <c r="B467" s="3672"/>
      <c r="C467" s="3655">
        <v>45367</v>
      </c>
      <c r="D467" s="3552"/>
      <c r="E467" s="3612">
        <v>45731</v>
      </c>
      <c r="F467" s="3612">
        <v>45367</v>
      </c>
      <c r="G467" s="3654">
        <v>45367</v>
      </c>
      <c r="H467" s="3595">
        <v>1255</v>
      </c>
      <c r="I467" s="3595">
        <v>69025</v>
      </c>
      <c r="J467" s="3595">
        <v>829623.76712328801</v>
      </c>
      <c r="K467" s="3592" t="s">
        <v>3839</v>
      </c>
      <c r="L467" s="3594">
        <v>45367</v>
      </c>
      <c r="M467" s="3594">
        <v>45731</v>
      </c>
      <c r="N467" s="3593">
        <v>69025</v>
      </c>
      <c r="O467" s="3592" t="s">
        <v>3838</v>
      </c>
      <c r="P467" s="3591">
        <v>0.17</v>
      </c>
      <c r="Q467" s="3631"/>
      <c r="R467" s="3631"/>
      <c r="S467" s="3631"/>
      <c r="T467" s="3634"/>
    </row>
    <row r="468" spans="1:21" ht="25.5">
      <c r="A468" s="3671"/>
      <c r="B468" s="3671"/>
      <c r="C468" s="3655"/>
      <c r="D468" s="3552"/>
      <c r="E468" s="3612"/>
      <c r="F468" s="3612"/>
      <c r="G468" s="3654"/>
      <c r="H468" s="3595">
        <v>1255</v>
      </c>
      <c r="I468" s="3595">
        <v>69025</v>
      </c>
      <c r="J468" s="3595">
        <v>829623.76712328801</v>
      </c>
      <c r="K468" s="3592" t="s">
        <v>3837</v>
      </c>
      <c r="L468" s="3594"/>
      <c r="M468" s="3594"/>
      <c r="N468" s="3593"/>
      <c r="O468" s="3592"/>
      <c r="P468" s="3591">
        <v>0.17</v>
      </c>
      <c r="Q468" s="3631"/>
      <c r="R468" s="3631"/>
      <c r="S468" s="3631"/>
      <c r="T468" s="3634"/>
      <c r="U468" s="3590">
        <f>I468</f>
        <v>69025</v>
      </c>
    </row>
    <row r="469" spans="1:21" ht="25.5">
      <c r="A469" s="3564" t="s">
        <v>3836</v>
      </c>
      <c r="B469" s="3670">
        <v>38.299999999999997</v>
      </c>
      <c r="C469" s="3651" t="s">
        <v>3834</v>
      </c>
      <c r="D469" s="3570"/>
      <c r="E469" s="3570" t="s">
        <v>3835</v>
      </c>
      <c r="F469" s="3570" t="s">
        <v>3834</v>
      </c>
      <c r="G469" s="3570" t="s">
        <v>3834</v>
      </c>
      <c r="H469" s="3595">
        <v>1022</v>
      </c>
      <c r="I469" s="3595">
        <v>39142.6</v>
      </c>
      <c r="J469" s="3595">
        <v>39142.6</v>
      </c>
      <c r="K469" s="3592" t="s">
        <v>3833</v>
      </c>
      <c r="L469" s="3594">
        <v>45627</v>
      </c>
      <c r="M469" s="3594">
        <v>45687</v>
      </c>
      <c r="N469" s="3593"/>
      <c r="O469" s="3592"/>
      <c r="P469" s="3591">
        <v>0.13</v>
      </c>
      <c r="Q469" s="3631"/>
      <c r="R469" s="3631"/>
      <c r="S469" s="3631"/>
      <c r="T469" s="3634"/>
    </row>
    <row r="470" spans="1:21" ht="25.5">
      <c r="A470" s="3564"/>
      <c r="B470" s="3669"/>
      <c r="C470" s="3646"/>
      <c r="D470" s="3568"/>
      <c r="E470" s="3568"/>
      <c r="F470" s="3568"/>
      <c r="G470" s="3568"/>
      <c r="H470" s="3595">
        <v>1022</v>
      </c>
      <c r="I470" s="3595">
        <v>39142.6</v>
      </c>
      <c r="J470" s="3595">
        <v>431855.48</v>
      </c>
      <c r="K470" s="3592" t="s">
        <v>3832</v>
      </c>
      <c r="L470" s="3594" t="s">
        <v>3831</v>
      </c>
      <c r="M470" s="3594">
        <v>46022</v>
      </c>
      <c r="N470" s="3593"/>
      <c r="O470" s="3592"/>
      <c r="P470" s="3591">
        <v>0.13</v>
      </c>
      <c r="Q470" s="3631"/>
      <c r="R470" s="3631"/>
      <c r="S470" s="3631"/>
      <c r="T470" s="3634"/>
      <c r="U470" s="3590">
        <f>I470</f>
        <v>39142.6</v>
      </c>
    </row>
    <row r="471" spans="1:21" ht="25.5">
      <c r="A471" s="3564"/>
      <c r="B471" s="3668"/>
      <c r="C471" s="3640"/>
      <c r="D471" s="3567"/>
      <c r="E471" s="3567"/>
      <c r="F471" s="3567"/>
      <c r="G471" s="3567"/>
      <c r="H471" s="3595">
        <v>1074</v>
      </c>
      <c r="I471" s="3595">
        <v>41134.199999999997</v>
      </c>
      <c r="J471" s="3595">
        <v>493610.4</v>
      </c>
      <c r="K471" s="3592" t="s">
        <v>3830</v>
      </c>
      <c r="L471" s="3594">
        <v>46023</v>
      </c>
      <c r="M471" s="3594">
        <v>46387</v>
      </c>
      <c r="N471" s="3593"/>
      <c r="O471" s="3592"/>
      <c r="P471" s="3591">
        <v>0.14000000000000001</v>
      </c>
      <c r="Q471" s="3637">
        <v>10</v>
      </c>
      <c r="R471" s="3637">
        <v>2195.6999999999998</v>
      </c>
      <c r="S471" s="3631"/>
      <c r="T471" s="3636" t="s">
        <v>3829</v>
      </c>
    </row>
    <row r="472" spans="1:21" ht="25.5">
      <c r="A472" s="3570" t="s">
        <v>3828</v>
      </c>
      <c r="B472" s="3652">
        <v>32.299999999999997</v>
      </c>
      <c r="C472" s="3624" t="s">
        <v>3827</v>
      </c>
      <c r="D472" s="3564">
        <v>24</v>
      </c>
      <c r="E472" s="3623" t="s">
        <v>3826</v>
      </c>
      <c r="F472" s="3599"/>
      <c r="G472" s="3622" t="s">
        <v>3825</v>
      </c>
      <c r="H472" s="3551">
        <v>1000</v>
      </c>
      <c r="I472" s="3551">
        <v>32300</v>
      </c>
      <c r="J472" s="3551">
        <v>343176.43835616403</v>
      </c>
      <c r="K472" s="3550" t="s">
        <v>3824</v>
      </c>
      <c r="L472" s="3603">
        <v>43507</v>
      </c>
      <c r="M472" s="3603">
        <v>43831</v>
      </c>
      <c r="N472" s="3602">
        <v>0</v>
      </c>
      <c r="O472" s="3550"/>
      <c r="P472" s="3585">
        <v>0.15</v>
      </c>
      <c r="Q472" s="3637"/>
      <c r="R472" s="3637"/>
      <c r="S472" s="3631"/>
      <c r="T472" s="3636"/>
    </row>
    <row r="473" spans="1:21" ht="25.5">
      <c r="A473" s="3568"/>
      <c r="B473" s="3647"/>
      <c r="C473" s="3624"/>
      <c r="D473" s="3564"/>
      <c r="E473" s="3623"/>
      <c r="F473" s="3599"/>
      <c r="G473" s="3622"/>
      <c r="H473" s="3551">
        <v>1100</v>
      </c>
      <c r="I473" s="3551">
        <v>35530</v>
      </c>
      <c r="J473" s="3551">
        <v>427041.39726027398</v>
      </c>
      <c r="K473" s="3550" t="s">
        <v>3823</v>
      </c>
      <c r="L473" s="3603">
        <v>43832</v>
      </c>
      <c r="M473" s="3603">
        <v>44197</v>
      </c>
      <c r="N473" s="3602">
        <v>0</v>
      </c>
      <c r="O473" s="3550"/>
      <c r="P473" s="3585">
        <v>0.16</v>
      </c>
      <c r="Q473" s="3637"/>
      <c r="R473" s="3637"/>
      <c r="S473" s="3631"/>
      <c r="T473" s="3636"/>
    </row>
    <row r="474" spans="1:21" ht="25.5">
      <c r="A474" s="3568"/>
      <c r="B474" s="3647"/>
      <c r="C474" s="3624"/>
      <c r="D474" s="3550">
        <v>12</v>
      </c>
      <c r="E474" s="3603">
        <v>44562</v>
      </c>
      <c r="F474" s="3603">
        <v>44198</v>
      </c>
      <c r="G474" s="3616">
        <v>44198</v>
      </c>
      <c r="H474" s="3551">
        <v>1200</v>
      </c>
      <c r="I474" s="3551">
        <v>38760</v>
      </c>
      <c r="J474" s="3551">
        <v>465120</v>
      </c>
      <c r="K474" s="3550" t="s">
        <v>3822</v>
      </c>
      <c r="L474" s="3603">
        <v>44198</v>
      </c>
      <c r="M474" s="3603">
        <v>44562</v>
      </c>
      <c r="N474" s="3602">
        <v>0</v>
      </c>
      <c r="O474" s="3550"/>
      <c r="P474" s="3585">
        <v>0.16</v>
      </c>
      <c r="Q474" s="3637"/>
      <c r="R474" s="3637"/>
      <c r="S474" s="3631"/>
      <c r="T474" s="3636"/>
    </row>
    <row r="475" spans="1:21" ht="25.5">
      <c r="A475" s="3568"/>
      <c r="B475" s="3647"/>
      <c r="C475" s="3617">
        <v>44563</v>
      </c>
      <c r="D475" s="3550">
        <v>14</v>
      </c>
      <c r="E475" s="3603">
        <v>44986</v>
      </c>
      <c r="F475" s="3603">
        <v>44563</v>
      </c>
      <c r="G475" s="3616">
        <v>44563</v>
      </c>
      <c r="H475" s="3551">
        <v>1400</v>
      </c>
      <c r="I475" s="3551">
        <v>45220</v>
      </c>
      <c r="J475" s="3551">
        <v>633947.23287671199</v>
      </c>
      <c r="K475" s="3550" t="s">
        <v>3821</v>
      </c>
      <c r="L475" s="3603">
        <v>44563</v>
      </c>
      <c r="M475" s="3603">
        <v>44986</v>
      </c>
      <c r="N475" s="3602">
        <v>0</v>
      </c>
      <c r="O475" s="3550"/>
      <c r="P475" s="3585">
        <v>0.17</v>
      </c>
      <c r="Q475" s="3631"/>
      <c r="R475" s="3631"/>
      <c r="S475" s="3631"/>
      <c r="T475" s="3634"/>
    </row>
    <row r="476" spans="1:21" ht="38.25">
      <c r="A476" s="3568"/>
      <c r="B476" s="3647"/>
      <c r="C476" s="3617">
        <v>44987</v>
      </c>
      <c r="D476" s="3550"/>
      <c r="E476" s="3603">
        <v>45352</v>
      </c>
      <c r="F476" s="3603">
        <v>44987</v>
      </c>
      <c r="G476" s="3616">
        <v>44987</v>
      </c>
      <c r="H476" s="3563">
        <v>1550</v>
      </c>
      <c r="I476" s="3563">
        <v>50065</v>
      </c>
      <c r="J476" s="3563">
        <v>603386.12328767101</v>
      </c>
      <c r="K476" s="3552" t="s">
        <v>3820</v>
      </c>
      <c r="L476" s="3612">
        <v>44987</v>
      </c>
      <c r="M476" s="3612">
        <v>45352</v>
      </c>
      <c r="N476" s="3620">
        <v>0</v>
      </c>
      <c r="O476" s="3552" t="s">
        <v>3816</v>
      </c>
      <c r="P476" s="3618">
        <v>0.17499999999999999</v>
      </c>
      <c r="Q476" s="3631"/>
      <c r="R476" s="3631"/>
      <c r="S476" s="3631"/>
      <c r="T476" s="3634"/>
    </row>
    <row r="477" spans="1:21" ht="51">
      <c r="A477" s="3568"/>
      <c r="B477" s="3647"/>
      <c r="C477" s="3651">
        <v>45353</v>
      </c>
      <c r="D477" s="3667">
        <v>25</v>
      </c>
      <c r="E477" s="3632">
        <v>46097</v>
      </c>
      <c r="F477" s="3632">
        <v>45353</v>
      </c>
      <c r="G477" s="3649">
        <v>45353</v>
      </c>
      <c r="H477" s="3595">
        <v>1590</v>
      </c>
      <c r="I477" s="3595">
        <v>51357</v>
      </c>
      <c r="J477" s="3595">
        <v>617268.92876712303</v>
      </c>
      <c r="K477" s="3592" t="s">
        <v>3819</v>
      </c>
      <c r="L477" s="3594">
        <v>45368</v>
      </c>
      <c r="M477" s="3594">
        <v>45732</v>
      </c>
      <c r="N477" s="3593">
        <v>51357</v>
      </c>
      <c r="O477" s="3592" t="s">
        <v>3816</v>
      </c>
      <c r="P477" s="3591">
        <v>0.18</v>
      </c>
      <c r="Q477" s="3637">
        <v>6</v>
      </c>
      <c r="R477" s="3637">
        <v>6977.82</v>
      </c>
      <c r="S477" s="3637"/>
      <c r="T477" s="3636" t="s">
        <v>3818</v>
      </c>
    </row>
    <row r="478" spans="1:21" ht="51">
      <c r="A478" s="3567"/>
      <c r="B478" s="3641"/>
      <c r="C478" s="3640"/>
      <c r="D478" s="3666"/>
      <c r="E478" s="3626"/>
      <c r="F478" s="3626"/>
      <c r="G478" s="3638"/>
      <c r="H478" s="3563">
        <v>1620</v>
      </c>
      <c r="I478" s="3563">
        <v>52326</v>
      </c>
      <c r="J478" s="3563">
        <v>628915.51232876698</v>
      </c>
      <c r="K478" s="3552" t="s">
        <v>3817</v>
      </c>
      <c r="L478" s="3612">
        <v>45733</v>
      </c>
      <c r="M478" s="3612">
        <v>46097</v>
      </c>
      <c r="N478" s="3620">
        <v>0</v>
      </c>
      <c r="O478" s="3552" t="s">
        <v>3816</v>
      </c>
      <c r="P478" s="3618">
        <v>0.19</v>
      </c>
      <c r="Q478" s="3637"/>
      <c r="R478" s="3637"/>
      <c r="S478" s="3637"/>
      <c r="T478" s="3636"/>
      <c r="U478" s="3590">
        <f>I478</f>
        <v>52326</v>
      </c>
    </row>
    <row r="479" spans="1:21" ht="25.5">
      <c r="A479" s="3604" t="s">
        <v>3815</v>
      </c>
      <c r="B479" s="3604">
        <v>20.84</v>
      </c>
      <c r="C479" s="3614">
        <v>45544</v>
      </c>
      <c r="D479" s="3562"/>
      <c r="E479" s="3614">
        <v>45755</v>
      </c>
      <c r="F479" s="3614">
        <v>45544</v>
      </c>
      <c r="G479" s="3614">
        <v>45544</v>
      </c>
      <c r="H479" s="3595">
        <v>1600</v>
      </c>
      <c r="I479" s="3595">
        <v>33344</v>
      </c>
      <c r="J479" s="3595">
        <v>33344</v>
      </c>
      <c r="K479" s="3592" t="s">
        <v>3814</v>
      </c>
      <c r="L479" s="3594"/>
      <c r="M479" s="3594"/>
      <c r="N479" s="3593"/>
      <c r="O479" s="3627"/>
      <c r="P479" s="3591">
        <v>0.09</v>
      </c>
      <c r="Q479" s="3637"/>
      <c r="R479" s="3637"/>
      <c r="S479" s="3637"/>
      <c r="T479" s="3636"/>
    </row>
    <row r="480" spans="1:21" ht="25.5">
      <c r="A480" s="3601"/>
      <c r="B480" s="3601"/>
      <c r="C480" s="3561"/>
      <c r="D480" s="3561"/>
      <c r="E480" s="3561"/>
      <c r="F480" s="3561"/>
      <c r="G480" s="3561"/>
      <c r="H480" s="3595">
        <v>1600</v>
      </c>
      <c r="I480" s="3595">
        <v>33344</v>
      </c>
      <c r="J480" s="3595">
        <v>166263.23287671199</v>
      </c>
      <c r="K480" s="3592" t="s">
        <v>3813</v>
      </c>
      <c r="L480" s="3594"/>
      <c r="M480" s="3594"/>
      <c r="N480" s="3593"/>
      <c r="O480" s="3627"/>
      <c r="P480" s="3591">
        <v>0.09</v>
      </c>
      <c r="Q480" s="3637"/>
      <c r="R480" s="3637"/>
      <c r="S480" s="3637"/>
      <c r="T480" s="3636"/>
    </row>
    <row r="481" spans="1:21" ht="25.5">
      <c r="A481" s="3597"/>
      <c r="B481" s="3597"/>
      <c r="C481" s="3665"/>
      <c r="D481" s="3611"/>
      <c r="E481" s="3611"/>
      <c r="F481" s="3611"/>
      <c r="G481" s="3656"/>
      <c r="H481" s="3595">
        <v>1600</v>
      </c>
      <c r="I481" s="3595">
        <v>33344</v>
      </c>
      <c r="J481" s="3595">
        <v>124149.30410958899</v>
      </c>
      <c r="K481" s="3592" t="s">
        <v>3812</v>
      </c>
      <c r="L481" s="3594"/>
      <c r="M481" s="3594"/>
      <c r="N481" s="3593"/>
      <c r="O481" s="3627"/>
      <c r="P481" s="3591">
        <v>0.09</v>
      </c>
      <c r="Q481" s="3637"/>
      <c r="R481" s="3637"/>
      <c r="S481" s="3637"/>
      <c r="T481" s="3636"/>
      <c r="U481" s="3590">
        <f>I481</f>
        <v>33344</v>
      </c>
    </row>
    <row r="482" spans="1:21" ht="51">
      <c r="A482" s="3562" t="s">
        <v>3811</v>
      </c>
      <c r="B482" s="3664">
        <v>350.51</v>
      </c>
      <c r="C482" s="3615" t="s">
        <v>3810</v>
      </c>
      <c r="D482" s="3562">
        <v>38</v>
      </c>
      <c r="E482" s="3614" t="s">
        <v>3809</v>
      </c>
      <c r="F482" s="3614" t="s">
        <v>3808</v>
      </c>
      <c r="G482" s="3614" t="s">
        <v>3808</v>
      </c>
      <c r="H482" s="3563">
        <v>220</v>
      </c>
      <c r="I482" s="3563">
        <v>77112.2</v>
      </c>
      <c r="J482" s="3563">
        <v>77112.2</v>
      </c>
      <c r="K482" s="3552" t="s">
        <v>3807</v>
      </c>
      <c r="L482" s="3612">
        <v>45352</v>
      </c>
      <c r="M482" s="3612">
        <v>45502</v>
      </c>
      <c r="N482" s="3663" t="s">
        <v>3806</v>
      </c>
      <c r="O482" s="3552" t="s">
        <v>3800</v>
      </c>
      <c r="P482" s="3618" t="s">
        <v>3805</v>
      </c>
      <c r="Q482" s="3637"/>
      <c r="R482" s="3637"/>
      <c r="S482" s="3637"/>
      <c r="T482" s="3636"/>
    </row>
    <row r="483" spans="1:21" ht="51">
      <c r="A483" s="3572"/>
      <c r="B483" s="3662"/>
      <c r="C483" s="3661"/>
      <c r="D483" s="3660"/>
      <c r="E483" s="3572"/>
      <c r="F483" s="3572"/>
      <c r="G483" s="3572"/>
      <c r="H483" s="3595">
        <v>220</v>
      </c>
      <c r="I483" s="3595">
        <v>77112.2</v>
      </c>
      <c r="J483" s="3595">
        <v>849713.06410958897</v>
      </c>
      <c r="K483" s="3592" t="s">
        <v>3804</v>
      </c>
      <c r="L483" s="3594">
        <v>45503</v>
      </c>
      <c r="M483" s="3594">
        <v>45837</v>
      </c>
      <c r="N483" s="3593">
        <v>5070.3900000000003</v>
      </c>
      <c r="O483" s="3592" t="s">
        <v>3800</v>
      </c>
      <c r="P483" s="3591">
        <v>0.09</v>
      </c>
      <c r="Q483" s="3637"/>
      <c r="R483" s="3637"/>
      <c r="S483" s="3637"/>
      <c r="T483" s="3636"/>
    </row>
    <row r="484" spans="1:21" ht="76.5">
      <c r="A484" s="3572"/>
      <c r="B484" s="3662"/>
      <c r="C484" s="3661"/>
      <c r="D484" s="3660"/>
      <c r="E484" s="3572"/>
      <c r="F484" s="3572"/>
      <c r="G484" s="3572"/>
      <c r="H484" s="3563">
        <v>231</v>
      </c>
      <c r="I484" s="3563">
        <v>80967.81</v>
      </c>
      <c r="J484" s="3563">
        <v>970504.57191780803</v>
      </c>
      <c r="K484" s="3552" t="s">
        <v>3803</v>
      </c>
      <c r="L484" s="3612">
        <v>45838</v>
      </c>
      <c r="M484" s="3612">
        <v>46202</v>
      </c>
      <c r="N484" s="3602">
        <v>0</v>
      </c>
      <c r="O484" s="3552" t="s">
        <v>3800</v>
      </c>
      <c r="P484" s="3618">
        <v>0.1</v>
      </c>
      <c r="Q484" s="3637"/>
      <c r="R484" s="3637"/>
      <c r="S484" s="3637"/>
      <c r="T484" s="3636"/>
    </row>
    <row r="485" spans="1:21" ht="51">
      <c r="A485" s="3572"/>
      <c r="B485" s="3662"/>
      <c r="C485" s="3661"/>
      <c r="D485" s="3660"/>
      <c r="E485" s="3572"/>
      <c r="F485" s="3572"/>
      <c r="G485" s="3572"/>
      <c r="H485" s="3563">
        <v>242</v>
      </c>
      <c r="I485" s="3563">
        <v>84823.42</v>
      </c>
      <c r="J485" s="3563">
        <v>1016719.07534247</v>
      </c>
      <c r="K485" s="3552" t="s">
        <v>3802</v>
      </c>
      <c r="L485" s="3612"/>
      <c r="M485" s="3612"/>
      <c r="N485" s="3602"/>
      <c r="O485" s="3552" t="s">
        <v>3800</v>
      </c>
      <c r="P485" s="3618">
        <v>0.11</v>
      </c>
      <c r="Q485" s="3637"/>
      <c r="R485" s="3637"/>
      <c r="S485" s="3637"/>
      <c r="T485" s="3636"/>
    </row>
    <row r="486" spans="1:21" ht="120">
      <c r="A486" s="3561"/>
      <c r="B486" s="3659"/>
      <c r="C486" s="3610"/>
      <c r="D486" s="3658"/>
      <c r="E486" s="3561"/>
      <c r="F486" s="3561"/>
      <c r="G486" s="3561"/>
      <c r="H486" s="3563">
        <v>254</v>
      </c>
      <c r="I486" s="3563">
        <v>89029.54</v>
      </c>
      <c r="J486" s="3563">
        <v>1067134.8972602701</v>
      </c>
      <c r="K486" s="3657" t="s">
        <v>3801</v>
      </c>
      <c r="L486" s="3612"/>
      <c r="M486" s="3612"/>
      <c r="N486" s="3602"/>
      <c r="O486" s="3552" t="s">
        <v>3800</v>
      </c>
      <c r="P486" s="3618">
        <v>0.11</v>
      </c>
      <c r="Q486" s="3631"/>
      <c r="R486" s="3631"/>
      <c r="S486" s="3631"/>
      <c r="T486" s="3634"/>
      <c r="U486" s="3590">
        <f>I486</f>
        <v>89029.54</v>
      </c>
    </row>
    <row r="487" spans="1:21" ht="63">
      <c r="A487" s="3611"/>
      <c r="B487" s="3656">
        <v>17.809999999999999</v>
      </c>
      <c r="C487" s="3655"/>
      <c r="D487" s="3552"/>
      <c r="E487" s="3612"/>
      <c r="F487" s="3612"/>
      <c r="G487" s="3654"/>
      <c r="H487" s="3595">
        <v>490</v>
      </c>
      <c r="I487" s="3595">
        <v>8726.9</v>
      </c>
      <c r="J487" s="3595">
        <v>104890.165205479</v>
      </c>
      <c r="K487" s="3592" t="s">
        <v>3799</v>
      </c>
      <c r="L487" s="3594"/>
      <c r="M487" s="3594"/>
      <c r="N487" s="3593"/>
      <c r="O487" s="3592"/>
      <c r="P487" s="3591" t="s">
        <v>3798</v>
      </c>
      <c r="Q487" s="3631">
        <v>0</v>
      </c>
      <c r="R487" s="3631"/>
      <c r="S487" s="3643"/>
      <c r="T487" s="3634" t="s">
        <v>3797</v>
      </c>
      <c r="U487" s="3590">
        <f>I487</f>
        <v>8726.9</v>
      </c>
    </row>
    <row r="488" spans="1:21" ht="25.5">
      <c r="A488" s="3653" t="s">
        <v>3796</v>
      </c>
      <c r="B488" s="3652">
        <v>52.1</v>
      </c>
      <c r="C488" s="3651">
        <v>45239</v>
      </c>
      <c r="D488" s="3650">
        <v>25</v>
      </c>
      <c r="E488" s="3614">
        <v>45999</v>
      </c>
      <c r="F488" s="3632">
        <v>45269</v>
      </c>
      <c r="G488" s="3649">
        <v>45269</v>
      </c>
      <c r="H488" s="3563">
        <v>570</v>
      </c>
      <c r="I488" s="3563">
        <v>29697</v>
      </c>
      <c r="J488" s="3563">
        <v>29697</v>
      </c>
      <c r="K488" s="3552" t="s">
        <v>3795</v>
      </c>
      <c r="L488" s="3612">
        <v>45239</v>
      </c>
      <c r="M488" s="3612">
        <v>45299</v>
      </c>
      <c r="N488" s="3602">
        <v>0</v>
      </c>
      <c r="O488" s="3552"/>
      <c r="P488" s="3585">
        <v>0.11</v>
      </c>
      <c r="Q488" s="3631"/>
      <c r="R488" s="3631"/>
      <c r="S488" s="3643"/>
      <c r="T488" s="3634"/>
    </row>
    <row r="489" spans="1:21" ht="25.5">
      <c r="A489" s="3648"/>
      <c r="B489" s="3647"/>
      <c r="C489" s="3646"/>
      <c r="D489" s="3645"/>
      <c r="E489" s="3621"/>
      <c r="F489" s="3628"/>
      <c r="G489" s="3644"/>
      <c r="H489" s="3595">
        <v>570</v>
      </c>
      <c r="I489" s="3595">
        <v>29697</v>
      </c>
      <c r="J489" s="3595">
        <v>327236.53150684899</v>
      </c>
      <c r="K489" s="3592" t="s">
        <v>3794</v>
      </c>
      <c r="L489" s="3594">
        <v>45300</v>
      </c>
      <c r="M489" s="3594">
        <v>45634</v>
      </c>
      <c r="N489" s="3593">
        <v>29697</v>
      </c>
      <c r="O489" s="3592" t="s">
        <v>3793</v>
      </c>
      <c r="P489" s="3591">
        <v>0.11</v>
      </c>
      <c r="Q489" s="3631"/>
      <c r="R489" s="3631"/>
      <c r="S489" s="3643"/>
      <c r="T489" s="3634"/>
    </row>
    <row r="490" spans="1:21" ht="25.5">
      <c r="A490" s="3642"/>
      <c r="B490" s="3641"/>
      <c r="C490" s="3640"/>
      <c r="D490" s="3639"/>
      <c r="E490" s="3609"/>
      <c r="F490" s="3626"/>
      <c r="G490" s="3638"/>
      <c r="H490" s="3563">
        <v>590</v>
      </c>
      <c r="I490" s="3563">
        <v>30739</v>
      </c>
      <c r="J490" s="3563">
        <v>369457.51506849303</v>
      </c>
      <c r="K490" s="3552" t="s">
        <v>3792</v>
      </c>
      <c r="L490" s="3612">
        <v>45635</v>
      </c>
      <c r="M490" s="3612">
        <v>45999</v>
      </c>
      <c r="N490" s="3602">
        <v>0</v>
      </c>
      <c r="O490" s="3552"/>
      <c r="P490" s="3585">
        <v>0.12</v>
      </c>
      <c r="Q490" s="3551"/>
      <c r="R490" s="3551"/>
      <c r="S490" s="3551"/>
      <c r="T490" s="3551"/>
      <c r="U490" s="3590">
        <f>I490</f>
        <v>30739</v>
      </c>
    </row>
    <row r="491" spans="1:21" ht="51">
      <c r="A491" s="3564" t="s">
        <v>3791</v>
      </c>
      <c r="B491" s="3635">
        <v>136.88</v>
      </c>
      <c r="C491" s="3624" t="s">
        <v>3790</v>
      </c>
      <c r="D491" s="3564"/>
      <c r="E491" s="3599" t="s">
        <v>3789</v>
      </c>
      <c r="F491" s="3599" t="s">
        <v>3788</v>
      </c>
      <c r="G491" s="3598" t="s">
        <v>3788</v>
      </c>
      <c r="H491" s="3563">
        <v>420</v>
      </c>
      <c r="I491" s="3563">
        <v>57489.599999999999</v>
      </c>
      <c r="J491" s="3563">
        <v>748467.34027397295</v>
      </c>
      <c r="K491" s="3552" t="s">
        <v>3787</v>
      </c>
      <c r="L491" s="3612">
        <v>44927</v>
      </c>
      <c r="M491" s="3612">
        <v>45042</v>
      </c>
      <c r="N491" s="3602">
        <v>0</v>
      </c>
      <c r="O491" s="3552"/>
      <c r="P491" s="3585">
        <v>0.11</v>
      </c>
      <c r="Q491" s="3551"/>
      <c r="R491" s="3551"/>
      <c r="S491" s="3551"/>
      <c r="T491" s="3551"/>
    </row>
    <row r="492" spans="1:21" ht="51">
      <c r="A492" s="3564"/>
      <c r="B492" s="3635"/>
      <c r="C492" s="3624"/>
      <c r="D492" s="3564"/>
      <c r="E492" s="3599"/>
      <c r="F492" s="3599"/>
      <c r="G492" s="3598"/>
      <c r="H492" s="3563">
        <v>420</v>
      </c>
      <c r="I492" s="3563">
        <v>57489.599999999999</v>
      </c>
      <c r="J492" s="3563">
        <v>627817.93315068504</v>
      </c>
      <c r="K492" s="3552" t="s">
        <v>3786</v>
      </c>
      <c r="L492" s="3612">
        <v>45043</v>
      </c>
      <c r="M492" s="3612">
        <v>45377</v>
      </c>
      <c r="N492" s="3620">
        <v>0</v>
      </c>
      <c r="O492" s="3552" t="s">
        <v>3784</v>
      </c>
      <c r="P492" s="3618">
        <v>0.11</v>
      </c>
      <c r="Q492" s="3551"/>
      <c r="R492" s="3551"/>
      <c r="S492" s="3551"/>
      <c r="T492" s="3550"/>
    </row>
    <row r="493" spans="1:21" ht="51">
      <c r="A493" s="3564"/>
      <c r="B493" s="3635"/>
      <c r="C493" s="3624"/>
      <c r="D493" s="3564"/>
      <c r="E493" s="3599"/>
      <c r="F493" s="3599"/>
      <c r="G493" s="3598"/>
      <c r="H493" s="3595">
        <v>440</v>
      </c>
      <c r="I493" s="3595">
        <v>60227.199999999997</v>
      </c>
      <c r="J493" s="3595">
        <v>723881.44219178101</v>
      </c>
      <c r="K493" s="3592" t="s">
        <v>3785</v>
      </c>
      <c r="L493" s="3594">
        <v>45378</v>
      </c>
      <c r="M493" s="3594">
        <v>45742</v>
      </c>
      <c r="N493" s="3593">
        <v>60227.199999999997</v>
      </c>
      <c r="O493" s="3592" t="s">
        <v>3784</v>
      </c>
      <c r="P493" s="3591">
        <v>0.12</v>
      </c>
      <c r="Q493" s="3551"/>
      <c r="R493" s="3551"/>
      <c r="S493" s="3551"/>
      <c r="T493" s="3550"/>
    </row>
    <row r="494" spans="1:21" ht="51">
      <c r="A494" s="3564"/>
      <c r="B494" s="3635"/>
      <c r="C494" s="3624"/>
      <c r="D494" s="3564"/>
      <c r="E494" s="3599"/>
      <c r="F494" s="3599"/>
      <c r="G494" s="3598"/>
      <c r="H494" s="3563">
        <v>460</v>
      </c>
      <c r="I494" s="3563">
        <v>62964.800000000003</v>
      </c>
      <c r="J494" s="3563">
        <v>756785.14410958905</v>
      </c>
      <c r="K494" s="3552" t="s">
        <v>3783</v>
      </c>
      <c r="L494" s="3612">
        <v>45743</v>
      </c>
      <c r="M494" s="3612">
        <v>46107</v>
      </c>
      <c r="N494" s="3602">
        <v>0</v>
      </c>
      <c r="O494" s="3552"/>
      <c r="P494" s="3585">
        <v>0.12</v>
      </c>
      <c r="Q494" s="3551"/>
      <c r="R494" s="3551"/>
      <c r="S494" s="3551"/>
      <c r="T494" s="3550"/>
      <c r="U494" s="3590">
        <f>I494</f>
        <v>62964.800000000003</v>
      </c>
    </row>
    <row r="495" spans="1:21" ht="25.5">
      <c r="A495" s="3564"/>
      <c r="B495" s="3635"/>
      <c r="C495" s="3624"/>
      <c r="D495" s="3550"/>
      <c r="E495" s="3599"/>
      <c r="F495" s="3599"/>
      <c r="G495" s="3598"/>
      <c r="H495" s="3563">
        <v>480</v>
      </c>
      <c r="I495" s="3563">
        <v>65702.399999999994</v>
      </c>
      <c r="J495" s="3563">
        <v>791848.92493150698</v>
      </c>
      <c r="K495" s="3552" t="s">
        <v>3782</v>
      </c>
      <c r="L495" s="3612">
        <v>46107</v>
      </c>
      <c r="M495" s="3612">
        <v>46473</v>
      </c>
      <c r="N495" s="3602">
        <v>0</v>
      </c>
      <c r="O495" s="3552"/>
      <c r="P495" s="3585">
        <v>0.13</v>
      </c>
      <c r="Q495" s="3551"/>
      <c r="R495" s="3551"/>
      <c r="S495" s="3551"/>
      <c r="T495" s="3550"/>
    </row>
    <row r="496" spans="1:21" ht="25.5">
      <c r="A496" s="3564" t="s">
        <v>3781</v>
      </c>
      <c r="B496" s="3635">
        <v>154.72</v>
      </c>
      <c r="C496" s="3624">
        <v>45107</v>
      </c>
      <c r="D496" s="3570"/>
      <c r="E496" s="3599">
        <v>46978</v>
      </c>
      <c r="F496" s="3599">
        <v>45152</v>
      </c>
      <c r="G496" s="3598">
        <v>45152</v>
      </c>
      <c r="H496" s="3563">
        <v>220</v>
      </c>
      <c r="I496" s="3563">
        <v>34038.400000000001</v>
      </c>
      <c r="J496" s="3563">
        <v>34038.400000000001</v>
      </c>
      <c r="K496" s="3552" t="s">
        <v>3780</v>
      </c>
      <c r="L496" s="3612">
        <v>45107</v>
      </c>
      <c r="M496" s="3612">
        <v>45182</v>
      </c>
      <c r="N496" s="3602">
        <v>0</v>
      </c>
      <c r="O496" s="3552"/>
      <c r="P496" s="3585">
        <v>0.08</v>
      </c>
      <c r="Q496" s="3637">
        <v>10</v>
      </c>
      <c r="R496" s="3637">
        <v>856.2</v>
      </c>
      <c r="S496" s="3637"/>
      <c r="T496" s="3636" t="s">
        <v>3779</v>
      </c>
    </row>
    <row r="497" spans="1:21" ht="36">
      <c r="A497" s="3564"/>
      <c r="B497" s="3635"/>
      <c r="C497" s="3624"/>
      <c r="D497" s="3568"/>
      <c r="E497" s="3599"/>
      <c r="F497" s="3599"/>
      <c r="G497" s="3598"/>
      <c r="H497" s="3595">
        <v>220</v>
      </c>
      <c r="I497" s="3595">
        <v>34038.400000000001</v>
      </c>
      <c r="J497" s="3595">
        <v>373956.12054794503</v>
      </c>
      <c r="K497" s="3592" t="s">
        <v>3778</v>
      </c>
      <c r="L497" s="3594">
        <v>45183</v>
      </c>
      <c r="M497" s="3594">
        <v>45517</v>
      </c>
      <c r="N497" s="3593">
        <v>34038.400000000001</v>
      </c>
      <c r="O497" s="3627" t="s">
        <v>3777</v>
      </c>
      <c r="P497" s="3591">
        <v>0.08</v>
      </c>
      <c r="Q497" s="3637"/>
      <c r="R497" s="3637"/>
      <c r="S497" s="3637"/>
      <c r="T497" s="3636"/>
    </row>
    <row r="498" spans="1:21" ht="25.5">
      <c r="A498" s="3564"/>
      <c r="B498" s="3635"/>
      <c r="C498" s="3624"/>
      <c r="D498" s="3568"/>
      <c r="E498" s="3599"/>
      <c r="F498" s="3599"/>
      <c r="G498" s="3598"/>
      <c r="H498" s="3563">
        <v>240</v>
      </c>
      <c r="I498" s="3563">
        <v>37132.800000000003</v>
      </c>
      <c r="J498" s="3563">
        <v>446305.73589041102</v>
      </c>
      <c r="K498" s="3552" t="s">
        <v>3776</v>
      </c>
      <c r="L498" s="3612">
        <v>45518</v>
      </c>
      <c r="M498" s="3612">
        <v>45882</v>
      </c>
      <c r="N498" s="3602">
        <v>0</v>
      </c>
      <c r="O498" s="3552"/>
      <c r="P498" s="3585">
        <v>0.08</v>
      </c>
      <c r="Q498" s="3637"/>
      <c r="R498" s="3637"/>
      <c r="S498" s="3637"/>
      <c r="T498" s="3636"/>
    </row>
    <row r="499" spans="1:21" ht="25.5">
      <c r="A499" s="3564"/>
      <c r="B499" s="3635"/>
      <c r="C499" s="3624"/>
      <c r="D499" s="3568"/>
      <c r="E499" s="3599"/>
      <c r="F499" s="3599"/>
      <c r="G499" s="3598"/>
      <c r="H499" s="3563">
        <v>260</v>
      </c>
      <c r="I499" s="3563">
        <v>40227.199999999997</v>
      </c>
      <c r="J499" s="3563">
        <v>483497.88054794498</v>
      </c>
      <c r="K499" s="3552" t="s">
        <v>3775</v>
      </c>
      <c r="L499" s="3612">
        <v>45883</v>
      </c>
      <c r="M499" s="3612">
        <v>46247</v>
      </c>
      <c r="N499" s="3602">
        <v>0</v>
      </c>
      <c r="O499" s="3552"/>
      <c r="P499" s="3585">
        <v>0.09</v>
      </c>
      <c r="Q499" s="3631"/>
      <c r="R499" s="3631"/>
      <c r="S499" s="3631"/>
      <c r="T499" s="3634"/>
      <c r="U499" s="3590">
        <f>I499</f>
        <v>40227.199999999997</v>
      </c>
    </row>
    <row r="500" spans="1:21" ht="25.5">
      <c r="A500" s="3564"/>
      <c r="B500" s="3635"/>
      <c r="C500" s="3624"/>
      <c r="D500" s="3568"/>
      <c r="E500" s="3599"/>
      <c r="F500" s="3599"/>
      <c r="G500" s="3598"/>
      <c r="H500" s="3563">
        <v>280</v>
      </c>
      <c r="I500" s="3563">
        <v>43321.599999999999</v>
      </c>
      <c r="J500" s="3563">
        <v>520690.025205479</v>
      </c>
      <c r="K500" s="3552" t="s">
        <v>3774</v>
      </c>
      <c r="L500" s="3612">
        <v>46248</v>
      </c>
      <c r="M500" s="3612">
        <v>46612</v>
      </c>
      <c r="N500" s="3602">
        <v>0</v>
      </c>
      <c r="O500" s="3552"/>
      <c r="P500" s="3585">
        <v>0.09</v>
      </c>
      <c r="Q500" s="3631"/>
      <c r="R500" s="3631"/>
      <c r="S500" s="3631"/>
      <c r="T500" s="3634"/>
    </row>
    <row r="501" spans="1:21" ht="25.5">
      <c r="A501" s="3564"/>
      <c r="B501" s="3635"/>
      <c r="C501" s="3624"/>
      <c r="D501" s="3567"/>
      <c r="E501" s="3599"/>
      <c r="F501" s="3599"/>
      <c r="G501" s="3598"/>
      <c r="H501" s="3563">
        <v>300</v>
      </c>
      <c r="I501" s="3563">
        <v>46416</v>
      </c>
      <c r="J501" s="3563">
        <v>557882.16986301402</v>
      </c>
      <c r="K501" s="3552" t="s">
        <v>3773</v>
      </c>
      <c r="L501" s="3612">
        <v>46613</v>
      </c>
      <c r="M501" s="3612">
        <v>46978</v>
      </c>
      <c r="N501" s="3602">
        <v>0</v>
      </c>
      <c r="O501" s="3552"/>
      <c r="P501" s="3585">
        <v>0.1</v>
      </c>
      <c r="Q501" s="3631"/>
      <c r="R501" s="3631"/>
      <c r="S501" s="3631"/>
      <c r="T501" s="3634"/>
    </row>
    <row r="502" spans="1:21" ht="25.5">
      <c r="A502" s="3564" t="s">
        <v>3772</v>
      </c>
      <c r="B502" s="3633">
        <v>131.88</v>
      </c>
      <c r="C502" s="3624">
        <v>45054</v>
      </c>
      <c r="D502" s="3550"/>
      <c r="E502" s="3599">
        <v>46574</v>
      </c>
      <c r="F502" s="3599" t="s">
        <v>3771</v>
      </c>
      <c r="G502" s="3598" t="s">
        <v>3771</v>
      </c>
      <c r="H502" s="3551">
        <v>390</v>
      </c>
      <c r="I502" s="3551">
        <v>51433.2</v>
      </c>
      <c r="J502" s="3551">
        <v>51433.2</v>
      </c>
      <c r="K502" s="3550" t="s">
        <v>3770</v>
      </c>
      <c r="L502" s="3603">
        <v>45054</v>
      </c>
      <c r="M502" s="3603">
        <v>45144</v>
      </c>
      <c r="N502" s="3602">
        <v>0</v>
      </c>
      <c r="O502" s="3550"/>
      <c r="P502" s="3585">
        <v>0.1</v>
      </c>
      <c r="Q502" s="3631"/>
      <c r="R502" s="3631"/>
      <c r="S502" s="3630"/>
      <c r="T502" s="3629"/>
    </row>
    <row r="503" spans="1:21" ht="25.5">
      <c r="A503" s="3564"/>
      <c r="B503" s="3633"/>
      <c r="C503" s="3624"/>
      <c r="D503" s="3550"/>
      <c r="E503" s="3599"/>
      <c r="F503" s="3599"/>
      <c r="G503" s="3598"/>
      <c r="H503" s="3563">
        <v>390</v>
      </c>
      <c r="I503" s="3563">
        <v>51433.2</v>
      </c>
      <c r="J503" s="3563">
        <v>566751.59013698599</v>
      </c>
      <c r="K503" s="3552" t="s">
        <v>3769</v>
      </c>
      <c r="L503" s="3612">
        <v>45145</v>
      </c>
      <c r="M503" s="3612">
        <v>45479</v>
      </c>
      <c r="N503" s="3620">
        <v>10145.73</v>
      </c>
      <c r="O503" s="3552" t="s">
        <v>3768</v>
      </c>
      <c r="P503" s="3618">
        <v>0.1</v>
      </c>
      <c r="Q503" s="3631"/>
      <c r="R503" s="3631"/>
      <c r="S503" s="3630"/>
      <c r="T503" s="3629"/>
    </row>
    <row r="504" spans="1:21" ht="25.5">
      <c r="A504" s="3564"/>
      <c r="B504" s="3633"/>
      <c r="C504" s="3624"/>
      <c r="D504" s="3550"/>
      <c r="E504" s="3599"/>
      <c r="F504" s="3599"/>
      <c r="G504" s="3598"/>
      <c r="H504" s="3595">
        <v>400</v>
      </c>
      <c r="I504" s="3595">
        <v>52752</v>
      </c>
      <c r="J504" s="3595">
        <v>634035.682191781</v>
      </c>
      <c r="K504" s="3592" t="s">
        <v>3767</v>
      </c>
      <c r="L504" s="3594">
        <v>45480</v>
      </c>
      <c r="M504" s="3594">
        <v>45844</v>
      </c>
      <c r="N504" s="3593">
        <v>43357.81</v>
      </c>
      <c r="O504" s="3592"/>
      <c r="P504" s="3591">
        <v>0.1</v>
      </c>
      <c r="Q504" s="3631"/>
      <c r="R504" s="3631"/>
      <c r="S504" s="3630"/>
      <c r="T504" s="3629"/>
    </row>
    <row r="505" spans="1:21" ht="25.5">
      <c r="A505" s="3564"/>
      <c r="B505" s="3633"/>
      <c r="C505" s="3624"/>
      <c r="D505" s="3550"/>
      <c r="E505" s="3599"/>
      <c r="F505" s="3599"/>
      <c r="G505" s="3598"/>
      <c r="H505" s="3551">
        <v>410</v>
      </c>
      <c r="I505" s="3551">
        <v>54070.8</v>
      </c>
      <c r="J505" s="3551">
        <v>649886.57424657501</v>
      </c>
      <c r="K505" s="3550" t="s">
        <v>3766</v>
      </c>
      <c r="L505" s="3603">
        <v>45845</v>
      </c>
      <c r="M505" s="3603">
        <v>46209</v>
      </c>
      <c r="N505" s="3602">
        <v>0</v>
      </c>
      <c r="O505" s="3550"/>
      <c r="P505" s="3585">
        <v>0.11</v>
      </c>
      <c r="Q505" s="3631"/>
      <c r="R505" s="3631"/>
      <c r="S505" s="3630"/>
      <c r="T505" s="3629"/>
      <c r="U505" s="3590">
        <f>I505</f>
        <v>54070.8</v>
      </c>
    </row>
    <row r="506" spans="1:21" ht="25.5">
      <c r="A506" s="3564"/>
      <c r="B506" s="3633"/>
      <c r="C506" s="3624"/>
      <c r="D506" s="3550"/>
      <c r="E506" s="3599"/>
      <c r="F506" s="3599"/>
      <c r="G506" s="3598"/>
      <c r="H506" s="3551">
        <v>420</v>
      </c>
      <c r="I506" s="3551">
        <v>55389.599999999999</v>
      </c>
      <c r="J506" s="3551">
        <v>665737.46630136995</v>
      </c>
      <c r="K506" s="3550" t="s">
        <v>3765</v>
      </c>
      <c r="L506" s="3603">
        <v>46210</v>
      </c>
      <c r="M506" s="3603">
        <v>46574</v>
      </c>
      <c r="N506" s="3602">
        <v>0</v>
      </c>
      <c r="O506" s="3550"/>
      <c r="P506" s="3585">
        <v>0.11</v>
      </c>
      <c r="Q506" s="3631"/>
      <c r="R506" s="3631"/>
      <c r="S506" s="3630"/>
      <c r="T506" s="3629"/>
    </row>
    <row r="507" spans="1:21" ht="88.5">
      <c r="A507" s="3564"/>
      <c r="B507" s="3633"/>
      <c r="C507" s="3624"/>
      <c r="D507" s="3550"/>
      <c r="E507" s="3599"/>
      <c r="F507" s="3599"/>
      <c r="G507" s="3598"/>
      <c r="H507" s="3551">
        <v>430</v>
      </c>
      <c r="I507" s="3551">
        <v>56708.4</v>
      </c>
      <c r="J507" s="3551">
        <v>681588.35835616395</v>
      </c>
      <c r="K507" s="3550" t="s">
        <v>3764</v>
      </c>
      <c r="L507" s="3603">
        <v>46575</v>
      </c>
      <c r="M507" s="3603">
        <v>46940</v>
      </c>
      <c r="N507" s="3602">
        <v>0</v>
      </c>
      <c r="O507" s="3550"/>
      <c r="P507" s="3585">
        <v>0.12</v>
      </c>
      <c r="Q507" s="3631"/>
      <c r="R507" s="3631"/>
      <c r="S507" s="3630"/>
      <c r="T507" s="3629"/>
    </row>
    <row r="508" spans="1:21" ht="51">
      <c r="A508" s="3564" t="s">
        <v>3763</v>
      </c>
      <c r="B508" s="3625">
        <v>88.1</v>
      </c>
      <c r="C508" s="3624" t="s">
        <v>3762</v>
      </c>
      <c r="D508" s="3570"/>
      <c r="E508" s="3599">
        <v>46020</v>
      </c>
      <c r="F508" s="3632"/>
      <c r="G508" s="3598">
        <v>44925</v>
      </c>
      <c r="H508" s="3563">
        <v>650</v>
      </c>
      <c r="I508" s="3563">
        <v>57265</v>
      </c>
      <c r="J508" s="3563">
        <v>57265</v>
      </c>
      <c r="K508" s="3552" t="s">
        <v>3761</v>
      </c>
      <c r="L508" s="3612">
        <v>44903</v>
      </c>
      <c r="M508" s="3612">
        <v>44990</v>
      </c>
      <c r="N508" s="3602">
        <v>0</v>
      </c>
      <c r="O508" s="3552"/>
      <c r="P508" s="3618">
        <v>0.1</v>
      </c>
      <c r="Q508" s="3631"/>
      <c r="R508" s="3631"/>
      <c r="S508" s="3630"/>
      <c r="T508" s="3629"/>
    </row>
    <row r="509" spans="1:21" ht="51">
      <c r="A509" s="3564"/>
      <c r="B509" s="3625"/>
      <c r="C509" s="3624"/>
      <c r="D509" s="3568"/>
      <c r="E509" s="3599"/>
      <c r="F509" s="3628"/>
      <c r="G509" s="3598"/>
      <c r="H509" s="3563">
        <v>650</v>
      </c>
      <c r="I509" s="3563">
        <v>57265</v>
      </c>
      <c r="J509" s="3563">
        <v>631013.23287671199</v>
      </c>
      <c r="K509" s="3552" t="s">
        <v>3760</v>
      </c>
      <c r="L509" s="3612">
        <v>44991</v>
      </c>
      <c r="M509" s="3612">
        <v>45327</v>
      </c>
      <c r="N509" s="3602">
        <v>0</v>
      </c>
      <c r="O509" s="3552"/>
      <c r="P509" s="3618">
        <v>0.1</v>
      </c>
      <c r="Q509" s="3631"/>
      <c r="R509" s="3631"/>
      <c r="S509" s="3630"/>
      <c r="T509" s="3629"/>
    </row>
    <row r="510" spans="1:21" ht="51">
      <c r="A510" s="3564"/>
      <c r="B510" s="3625"/>
      <c r="C510" s="3624"/>
      <c r="D510" s="3568"/>
      <c r="E510" s="3599"/>
      <c r="F510" s="3628"/>
      <c r="G510" s="3598"/>
      <c r="H510" s="3595">
        <v>700</v>
      </c>
      <c r="I510" s="3595">
        <v>61670</v>
      </c>
      <c r="J510" s="3595">
        <v>743250.21917808196</v>
      </c>
      <c r="K510" s="3592" t="s">
        <v>3759</v>
      </c>
      <c r="L510" s="3594">
        <v>45328</v>
      </c>
      <c r="M510" s="3594">
        <v>45693</v>
      </c>
      <c r="N510" s="3593">
        <v>61670</v>
      </c>
      <c r="O510" s="3627" t="s">
        <v>3758</v>
      </c>
      <c r="P510" s="3591">
        <v>0.11</v>
      </c>
      <c r="Q510" s="3565">
        <v>10</v>
      </c>
      <c r="R510" s="3565">
        <v>691</v>
      </c>
      <c r="S510" s="3565"/>
      <c r="T510" s="3564"/>
    </row>
    <row r="511" spans="1:21" ht="51">
      <c r="A511" s="3564"/>
      <c r="B511" s="3625"/>
      <c r="C511" s="3624"/>
      <c r="D511" s="3567"/>
      <c r="E511" s="3599"/>
      <c r="F511" s="3626"/>
      <c r="G511" s="3598"/>
      <c r="H511" s="3563">
        <v>750</v>
      </c>
      <c r="I511" s="3563">
        <v>66075</v>
      </c>
      <c r="J511" s="3563">
        <v>794167.191780822</v>
      </c>
      <c r="K511" s="3552" t="s">
        <v>3757</v>
      </c>
      <c r="L511" s="3612">
        <v>45694</v>
      </c>
      <c r="M511" s="3612">
        <v>46058</v>
      </c>
      <c r="N511" s="3602">
        <v>0</v>
      </c>
      <c r="O511" s="3552"/>
      <c r="P511" s="3618">
        <v>0.12</v>
      </c>
      <c r="Q511" s="3565"/>
      <c r="R511" s="3565"/>
      <c r="S511" s="3565"/>
      <c r="T511" s="3564"/>
      <c r="U511" s="3590">
        <f>I511</f>
        <v>66075</v>
      </c>
    </row>
    <row r="512" spans="1:21" ht="51">
      <c r="A512" s="3564" t="s">
        <v>3756</v>
      </c>
      <c r="B512" s="3625">
        <v>88.3</v>
      </c>
      <c r="C512" s="3624" t="s">
        <v>3755</v>
      </c>
      <c r="D512" s="3564" t="e">
        <v>#VALUE!</v>
      </c>
      <c r="E512" s="3599" t="s">
        <v>3754</v>
      </c>
      <c r="F512" s="3623" t="s">
        <v>3753</v>
      </c>
      <c r="G512" s="3622" t="s">
        <v>3753</v>
      </c>
      <c r="H512" s="3551">
        <v>500</v>
      </c>
      <c r="I512" s="3551">
        <v>44150</v>
      </c>
      <c r="J512" s="3551">
        <v>44150</v>
      </c>
      <c r="K512" s="3550" t="s">
        <v>3752</v>
      </c>
      <c r="L512" s="3603">
        <v>44723</v>
      </c>
      <c r="M512" s="3603">
        <v>44797</v>
      </c>
      <c r="N512" s="3602">
        <v>0</v>
      </c>
      <c r="O512" s="3550"/>
      <c r="P512" s="3585">
        <v>0.13</v>
      </c>
      <c r="Q512" s="3551"/>
      <c r="R512" s="3551"/>
      <c r="S512" s="3551"/>
      <c r="T512" s="3550"/>
    </row>
    <row r="513" spans="1:21" ht="51">
      <c r="A513" s="3564"/>
      <c r="B513" s="3625"/>
      <c r="C513" s="3624"/>
      <c r="D513" s="3564"/>
      <c r="E513" s="3599"/>
      <c r="F513" s="3623"/>
      <c r="G513" s="3622"/>
      <c r="H513" s="3551">
        <v>500</v>
      </c>
      <c r="I513" s="3551">
        <v>44150</v>
      </c>
      <c r="J513" s="3551">
        <v>487948.21917808201</v>
      </c>
      <c r="K513" s="3550" t="s">
        <v>3751</v>
      </c>
      <c r="L513" s="3603">
        <v>44798</v>
      </c>
      <c r="M513" s="3603">
        <v>45132</v>
      </c>
      <c r="N513" s="3602">
        <v>0</v>
      </c>
      <c r="O513" s="3550"/>
      <c r="P513" s="3585">
        <v>0.13</v>
      </c>
      <c r="Q513" s="3551">
        <v>10</v>
      </c>
      <c r="R513" s="3551">
        <v>891</v>
      </c>
      <c r="S513" s="3551"/>
      <c r="T513" s="3550"/>
    </row>
    <row r="514" spans="1:21" ht="51">
      <c r="A514" s="3564"/>
      <c r="B514" s="3625"/>
      <c r="C514" s="3624"/>
      <c r="D514" s="3564"/>
      <c r="E514" s="3599"/>
      <c r="F514" s="3623"/>
      <c r="G514" s="3622"/>
      <c r="H514" s="3563">
        <v>550</v>
      </c>
      <c r="I514" s="3563">
        <v>48565</v>
      </c>
      <c r="J514" s="3563">
        <v>583711.383561644</v>
      </c>
      <c r="K514" s="3552" t="s">
        <v>3750</v>
      </c>
      <c r="L514" s="3612">
        <v>45133</v>
      </c>
      <c r="M514" s="3612">
        <v>45498</v>
      </c>
      <c r="N514" s="3620">
        <v>39916.44</v>
      </c>
      <c r="O514" s="3619" t="s">
        <v>3748</v>
      </c>
      <c r="P514" s="3618">
        <v>0.14000000000000001</v>
      </c>
      <c r="Q514" s="3551"/>
      <c r="R514" s="3551"/>
      <c r="S514" s="3551"/>
      <c r="T514" s="3550"/>
    </row>
    <row r="515" spans="1:21" ht="51">
      <c r="A515" s="3564"/>
      <c r="B515" s="3625"/>
      <c r="C515" s="3624"/>
      <c r="D515" s="3564"/>
      <c r="E515" s="3599"/>
      <c r="F515" s="3623"/>
      <c r="G515" s="3622"/>
      <c r="H515" s="3595">
        <v>600</v>
      </c>
      <c r="I515" s="3595">
        <v>52980</v>
      </c>
      <c r="J515" s="3595">
        <v>636776.05479452095</v>
      </c>
      <c r="K515" s="3592" t="s">
        <v>3749</v>
      </c>
      <c r="L515" s="3594">
        <v>45499</v>
      </c>
      <c r="M515" s="3594">
        <v>45863</v>
      </c>
      <c r="N515" s="3593">
        <v>10450.85</v>
      </c>
      <c r="O515" s="3592" t="s">
        <v>3748</v>
      </c>
      <c r="P515" s="3591">
        <v>0.15</v>
      </c>
      <c r="Q515" s="3551"/>
      <c r="R515" s="3551"/>
      <c r="S515" s="3551"/>
      <c r="T515" s="3550"/>
      <c r="U515" s="3590">
        <f>I515</f>
        <v>52980</v>
      </c>
    </row>
    <row r="516" spans="1:21" ht="25.5">
      <c r="A516" s="3572" t="s">
        <v>3747</v>
      </c>
      <c r="B516" s="3572">
        <v>113.5</v>
      </c>
      <c r="C516" s="3621">
        <v>45824</v>
      </c>
      <c r="D516" s="3572"/>
      <c r="E516" s="3621">
        <v>47334</v>
      </c>
      <c r="F516" s="3621">
        <v>45824</v>
      </c>
      <c r="G516" s="3621">
        <v>45824</v>
      </c>
      <c r="H516" s="3563">
        <v>297</v>
      </c>
      <c r="I516" s="3563">
        <v>33709.5</v>
      </c>
      <c r="J516" s="3563">
        <v>33709.5</v>
      </c>
      <c r="K516" s="3552" t="s">
        <v>3746</v>
      </c>
      <c r="L516" s="3612"/>
      <c r="M516" s="3612"/>
      <c r="N516" s="3620"/>
      <c r="O516" s="3619"/>
      <c r="P516" s="3618">
        <v>0.12</v>
      </c>
      <c r="Q516" s="3551">
        <v>10</v>
      </c>
      <c r="R516" s="3551">
        <v>0</v>
      </c>
      <c r="S516" s="3551">
        <v>0</v>
      </c>
      <c r="T516" s="3550" t="s">
        <v>3745</v>
      </c>
    </row>
    <row r="517" spans="1:21" ht="25.5">
      <c r="A517" s="3572"/>
      <c r="B517" s="3572"/>
      <c r="C517" s="3572"/>
      <c r="D517" s="3572"/>
      <c r="E517" s="3572"/>
      <c r="F517" s="3572"/>
      <c r="G517" s="3572"/>
      <c r="H517" s="3563">
        <v>297</v>
      </c>
      <c r="I517" s="3563">
        <v>33709.5</v>
      </c>
      <c r="J517" s="3563">
        <v>370342.72602739697</v>
      </c>
      <c r="K517" s="3552" t="s">
        <v>3744</v>
      </c>
      <c r="L517" s="3612"/>
      <c r="M517" s="3612"/>
      <c r="N517" s="3620"/>
      <c r="O517" s="3619"/>
      <c r="P517" s="3618">
        <v>0.12</v>
      </c>
      <c r="Q517" s="3551"/>
      <c r="R517" s="3551"/>
      <c r="S517" s="3551"/>
      <c r="T517" s="3550"/>
    </row>
    <row r="518" spans="1:21" ht="25.5">
      <c r="A518" s="3572"/>
      <c r="B518" s="3572"/>
      <c r="C518" s="3572"/>
      <c r="D518" s="3572"/>
      <c r="E518" s="3572"/>
      <c r="F518" s="3572"/>
      <c r="G518" s="3572"/>
      <c r="H518" s="3563">
        <v>321</v>
      </c>
      <c r="I518" s="3563">
        <v>36433.5</v>
      </c>
      <c r="J518" s="3563">
        <v>439098.538356164</v>
      </c>
      <c r="K518" s="3552" t="s">
        <v>3743</v>
      </c>
      <c r="L518" s="3612"/>
      <c r="M518" s="3612"/>
      <c r="N518" s="3620"/>
      <c r="O518" s="3619"/>
      <c r="P518" s="3618">
        <v>0.12</v>
      </c>
      <c r="Q518" s="3551"/>
      <c r="R518" s="3551"/>
      <c r="S518" s="3551"/>
      <c r="T518" s="3550"/>
    </row>
    <row r="519" spans="1:21" ht="25.5">
      <c r="A519" s="3572"/>
      <c r="B519" s="3572"/>
      <c r="C519" s="3572"/>
      <c r="D519" s="3572"/>
      <c r="E519" s="3572"/>
      <c r="F519" s="3572"/>
      <c r="G519" s="3572"/>
      <c r="H519" s="3563">
        <v>346</v>
      </c>
      <c r="I519" s="3563">
        <v>39271</v>
      </c>
      <c r="J519" s="3563">
        <v>473296.24383561598</v>
      </c>
      <c r="K519" s="3552" t="s">
        <v>3742</v>
      </c>
      <c r="L519" s="3612"/>
      <c r="M519" s="3612"/>
      <c r="N519" s="3620"/>
      <c r="O519" s="3619"/>
      <c r="P519" s="3618">
        <v>0.13</v>
      </c>
      <c r="Q519" s="3551">
        <v>10</v>
      </c>
      <c r="R519" s="3551">
        <v>159</v>
      </c>
      <c r="S519" s="3551">
        <v>1900.59452054795</v>
      </c>
      <c r="T519" s="3550" t="s">
        <v>3741</v>
      </c>
    </row>
    <row r="520" spans="1:21" ht="25.5">
      <c r="A520" s="3561"/>
      <c r="B520" s="3561"/>
      <c r="C520" s="3561"/>
      <c r="D520" s="3561"/>
      <c r="E520" s="3561"/>
      <c r="F520" s="3561"/>
      <c r="G520" s="3561"/>
      <c r="H520" s="3563">
        <v>373</v>
      </c>
      <c r="I520" s="3563">
        <v>42335.5</v>
      </c>
      <c r="J520" s="3563">
        <v>510229.76575342502</v>
      </c>
      <c r="K520" s="3552" t="s">
        <v>3740</v>
      </c>
      <c r="L520" s="3612"/>
      <c r="M520" s="3612"/>
      <c r="N520" s="3620"/>
      <c r="O520" s="3619"/>
      <c r="P520" s="3618">
        <v>0.13500000000000001</v>
      </c>
      <c r="Q520" s="3551"/>
      <c r="R520" s="3551"/>
      <c r="S520" s="3551"/>
      <c r="T520" s="3550"/>
      <c r="U520" s="3590">
        <f>I520</f>
        <v>42335.5</v>
      </c>
    </row>
    <row r="521" spans="1:21" ht="25.5">
      <c r="A521" s="3570" t="s">
        <v>3739</v>
      </c>
      <c r="B521" s="3570">
        <v>14</v>
      </c>
      <c r="C521" s="3617">
        <v>44044</v>
      </c>
      <c r="D521" s="3550">
        <v>12.5</v>
      </c>
      <c r="E521" s="3603">
        <v>44422</v>
      </c>
      <c r="F521" s="3603">
        <v>44058</v>
      </c>
      <c r="G521" s="3616">
        <v>44058</v>
      </c>
      <c r="H521" s="3551">
        <v>450</v>
      </c>
      <c r="I521" s="3551">
        <v>6300</v>
      </c>
      <c r="J521" s="3551">
        <v>75513.698630137005</v>
      </c>
      <c r="K521" s="3550" t="s">
        <v>3738</v>
      </c>
      <c r="L521" s="3603">
        <v>44058</v>
      </c>
      <c r="M521" s="3603">
        <v>44422</v>
      </c>
      <c r="N521" s="3602">
        <v>0</v>
      </c>
      <c r="O521" s="3550"/>
      <c r="P521" s="3585">
        <v>0.11</v>
      </c>
      <c r="Q521" s="3551"/>
      <c r="R521" s="3551"/>
      <c r="S521" s="3551"/>
      <c r="T521" s="3550"/>
    </row>
    <row r="522" spans="1:21" ht="25.5">
      <c r="A522" s="3568"/>
      <c r="B522" s="3568"/>
      <c r="C522" s="3617"/>
      <c r="D522" s="3550"/>
      <c r="E522" s="3603">
        <v>44787</v>
      </c>
      <c r="F522" s="3603"/>
      <c r="G522" s="3616"/>
      <c r="H522" s="3551">
        <v>450</v>
      </c>
      <c r="I522" s="3551">
        <v>6300</v>
      </c>
      <c r="J522" s="3551">
        <v>75720.821917808207</v>
      </c>
      <c r="K522" s="3550" t="s">
        <v>3737</v>
      </c>
      <c r="L522" s="3603">
        <v>44423</v>
      </c>
      <c r="M522" s="3603">
        <v>44787</v>
      </c>
      <c r="N522" s="3602">
        <v>0</v>
      </c>
      <c r="O522" s="3550"/>
      <c r="P522" s="3585">
        <v>0.11</v>
      </c>
      <c r="Q522" s="3551"/>
      <c r="R522" s="3551"/>
      <c r="S522" s="3551"/>
      <c r="T522" s="3550"/>
    </row>
    <row r="523" spans="1:21" ht="25.5">
      <c r="A523" s="3568"/>
      <c r="B523" s="3568"/>
      <c r="C523" s="3617"/>
      <c r="D523" s="3550"/>
      <c r="E523" s="3603">
        <v>45152</v>
      </c>
      <c r="F523" s="3603">
        <v>44778</v>
      </c>
      <c r="G523" s="3616">
        <v>44778</v>
      </c>
      <c r="H523" s="3551">
        <v>460</v>
      </c>
      <c r="I523" s="3551">
        <v>6440</v>
      </c>
      <c r="J523" s="3551">
        <v>77403.506849315105</v>
      </c>
      <c r="K523" s="3550" t="s">
        <v>3736</v>
      </c>
      <c r="L523" s="3603">
        <v>44788</v>
      </c>
      <c r="M523" s="3603">
        <v>45152</v>
      </c>
      <c r="N523" s="3602">
        <v>0</v>
      </c>
      <c r="O523" s="3550"/>
      <c r="P523" s="3585">
        <v>0.11</v>
      </c>
      <c r="Q523" s="3551"/>
      <c r="R523" s="3551"/>
      <c r="S523" s="3551"/>
      <c r="T523" s="3550"/>
    </row>
    <row r="524" spans="1:21" ht="38.25">
      <c r="A524" s="3568"/>
      <c r="B524" s="3568"/>
      <c r="C524" s="3617">
        <v>45153</v>
      </c>
      <c r="D524" s="3550"/>
      <c r="E524" s="3603">
        <v>45518</v>
      </c>
      <c r="F524" s="3603"/>
      <c r="G524" s="3616"/>
      <c r="H524" s="3595">
        <v>483</v>
      </c>
      <c r="I524" s="3595">
        <v>6762</v>
      </c>
      <c r="J524" s="3595">
        <v>81273.682191780797</v>
      </c>
      <c r="K524" s="3592" t="s">
        <v>3735</v>
      </c>
      <c r="L524" s="3594">
        <v>45153</v>
      </c>
      <c r="M524" s="3594">
        <v>45518</v>
      </c>
      <c r="N524" s="3593">
        <v>6762</v>
      </c>
      <c r="O524" s="3592" t="s">
        <v>3734</v>
      </c>
      <c r="P524" s="3591">
        <v>0.11</v>
      </c>
      <c r="Q524" s="3558">
        <v>10</v>
      </c>
      <c r="R524" s="3558">
        <v>240</v>
      </c>
      <c r="S524" s="3558">
        <v>3037.80821917808</v>
      </c>
      <c r="T524" s="3562" t="s">
        <v>3733</v>
      </c>
    </row>
    <row r="525" spans="1:21" ht="25.5">
      <c r="A525" s="3567"/>
      <c r="B525" s="3567"/>
      <c r="C525" s="3603">
        <v>45519</v>
      </c>
      <c r="D525" s="3550"/>
      <c r="E525" s="3603">
        <v>45883</v>
      </c>
      <c r="F525" s="3603"/>
      <c r="G525" s="3616"/>
      <c r="H525" s="3595">
        <v>483</v>
      </c>
      <c r="I525" s="3595">
        <v>6762</v>
      </c>
      <c r="J525" s="3595">
        <v>81273.682191780797</v>
      </c>
      <c r="K525" s="3592" t="s">
        <v>3732</v>
      </c>
      <c r="L525" s="3594">
        <v>45519</v>
      </c>
      <c r="M525" s="3594">
        <v>45883</v>
      </c>
      <c r="N525" s="3593">
        <v>0</v>
      </c>
      <c r="O525" s="3592"/>
      <c r="P525" s="3591">
        <v>0.11</v>
      </c>
      <c r="Q525" s="3556"/>
      <c r="R525" s="3556"/>
      <c r="S525" s="3556"/>
      <c r="T525" s="3561"/>
      <c r="U525" s="3590">
        <f>I525</f>
        <v>6762</v>
      </c>
    </row>
    <row r="526" spans="1:21" ht="25.5">
      <c r="A526" s="3562" t="s">
        <v>3731</v>
      </c>
      <c r="B526" s="3562">
        <v>28</v>
      </c>
      <c r="C526" s="3615">
        <v>45253</v>
      </c>
      <c r="D526" s="3562">
        <v>12</v>
      </c>
      <c r="E526" s="3614">
        <v>45619</v>
      </c>
      <c r="F526" s="3614">
        <v>45254</v>
      </c>
      <c r="G526" s="3613">
        <v>45254</v>
      </c>
      <c r="H526" s="3563">
        <v>650</v>
      </c>
      <c r="I526" s="3563">
        <v>18200</v>
      </c>
      <c r="J526" s="3563">
        <v>18200</v>
      </c>
      <c r="K526" s="3552" t="s">
        <v>3730</v>
      </c>
      <c r="L526" s="3612">
        <v>45253</v>
      </c>
      <c r="M526" s="3612">
        <v>45283</v>
      </c>
      <c r="N526" s="3602">
        <v>0</v>
      </c>
      <c r="O526" s="3552"/>
      <c r="P526" s="3585">
        <v>0.15</v>
      </c>
      <c r="Q526" s="3554"/>
      <c r="R526" s="3554"/>
      <c r="S526" s="3554"/>
      <c r="T526" s="3611"/>
    </row>
    <row r="527" spans="1:21" ht="25.5">
      <c r="A527" s="3572"/>
      <c r="B527" s="3572"/>
      <c r="C527" s="3610"/>
      <c r="D527" s="3561"/>
      <c r="E527" s="3609"/>
      <c r="F527" s="3609"/>
      <c r="G527" s="3608"/>
      <c r="H527" s="3595">
        <v>650</v>
      </c>
      <c r="I527" s="3595">
        <v>18200</v>
      </c>
      <c r="J527" s="3595">
        <v>200549.04109588999</v>
      </c>
      <c r="K527" s="3592" t="s">
        <v>3729</v>
      </c>
      <c r="L527" s="3594">
        <v>45284</v>
      </c>
      <c r="M527" s="3594">
        <v>45619</v>
      </c>
      <c r="N527" s="3593">
        <v>18200</v>
      </c>
      <c r="O527" s="3592" t="s">
        <v>3728</v>
      </c>
      <c r="P527" s="3591">
        <v>0.15</v>
      </c>
      <c r="Q527" s="3571">
        <v>10</v>
      </c>
      <c r="R527" s="3571">
        <v>550</v>
      </c>
      <c r="S527" s="3571">
        <v>13200</v>
      </c>
      <c r="T527" s="3552"/>
    </row>
    <row r="528" spans="1:21" ht="25.5">
      <c r="A528" s="3561"/>
      <c r="B528" s="3561"/>
      <c r="C528" s="3607"/>
      <c r="D528" s="3559"/>
      <c r="E528" s="3606"/>
      <c r="F528" s="3606"/>
      <c r="G528" s="3605"/>
      <c r="H528" s="3595">
        <v>700</v>
      </c>
      <c r="I528" s="3595">
        <v>19600</v>
      </c>
      <c r="J528" s="3595">
        <v>215975.89041095899</v>
      </c>
      <c r="K528" s="3592" t="s">
        <v>3727</v>
      </c>
      <c r="L528" s="3594">
        <v>45620</v>
      </c>
      <c r="M528" s="3594">
        <v>45984</v>
      </c>
      <c r="N528" s="3593"/>
      <c r="O528" s="3592"/>
      <c r="P528" s="3591">
        <v>0.15</v>
      </c>
      <c r="Q528" s="3571"/>
      <c r="R528" s="3571"/>
      <c r="S528" s="3571"/>
      <c r="T528" s="3552"/>
      <c r="U528" s="3590">
        <f>I528</f>
        <v>19600</v>
      </c>
    </row>
    <row r="529" spans="1:21" ht="25.5">
      <c r="A529" s="3604" t="s">
        <v>3726</v>
      </c>
      <c r="B529" s="3604">
        <v>17.72</v>
      </c>
      <c r="C529" s="3600">
        <v>45210</v>
      </c>
      <c r="D529" s="3564">
        <v>12</v>
      </c>
      <c r="E529" s="3599">
        <v>45575</v>
      </c>
      <c r="F529" s="3599">
        <v>45220</v>
      </c>
      <c r="G529" s="3598">
        <v>45220</v>
      </c>
      <c r="H529" s="3551">
        <v>600</v>
      </c>
      <c r="I529" s="3551">
        <v>10632</v>
      </c>
      <c r="J529" s="3551">
        <v>10632</v>
      </c>
      <c r="K529" s="3550" t="s">
        <v>3710</v>
      </c>
      <c r="L529" s="3603">
        <v>45210</v>
      </c>
      <c r="M529" s="3603">
        <v>45250</v>
      </c>
      <c r="N529" s="3602">
        <v>0</v>
      </c>
      <c r="O529" s="3550"/>
      <c r="P529" s="3585">
        <v>0</v>
      </c>
      <c r="Q529" s="3571"/>
      <c r="R529" s="3571"/>
      <c r="S529" s="3571"/>
      <c r="T529" s="3552"/>
    </row>
    <row r="530" spans="1:21" ht="38.25">
      <c r="A530" s="3601"/>
      <c r="B530" s="3601"/>
      <c r="C530" s="3600"/>
      <c r="D530" s="3564"/>
      <c r="E530" s="3599"/>
      <c r="F530" s="3599"/>
      <c r="G530" s="3598"/>
      <c r="H530" s="3595">
        <v>600</v>
      </c>
      <c r="I530" s="3595">
        <v>10632</v>
      </c>
      <c r="J530" s="3595">
        <v>113310.904109589</v>
      </c>
      <c r="K530" s="3592" t="s">
        <v>3709</v>
      </c>
      <c r="L530" s="3594">
        <v>45251</v>
      </c>
      <c r="M530" s="3594">
        <v>45575</v>
      </c>
      <c r="N530" s="3593">
        <v>10632</v>
      </c>
      <c r="O530" s="3592" t="s">
        <v>3724</v>
      </c>
      <c r="P530" s="3591">
        <v>0</v>
      </c>
      <c r="Q530" s="3563"/>
      <c r="R530" s="3563"/>
      <c r="S530" s="3563"/>
      <c r="T530" s="3552"/>
    </row>
    <row r="531" spans="1:21" ht="38.25">
      <c r="A531" s="3597"/>
      <c r="B531" s="3597"/>
      <c r="C531" s="3596">
        <v>45576</v>
      </c>
      <c r="D531" s="3550"/>
      <c r="E531" s="3587">
        <v>45940</v>
      </c>
      <c r="F531" s="3587"/>
      <c r="G531" s="3586"/>
      <c r="H531" s="3595">
        <v>650</v>
      </c>
      <c r="I531" s="3595">
        <v>11518</v>
      </c>
      <c r="J531" s="3595">
        <v>138436.89315068501</v>
      </c>
      <c r="K531" s="3592" t="s">
        <v>3725</v>
      </c>
      <c r="L531" s="3594">
        <v>45576</v>
      </c>
      <c r="M531" s="3594">
        <v>45940</v>
      </c>
      <c r="N531" s="3593">
        <v>0</v>
      </c>
      <c r="O531" s="3592" t="s">
        <v>3724</v>
      </c>
      <c r="P531" s="3591">
        <v>0</v>
      </c>
      <c r="Q531" s="3563">
        <v>10</v>
      </c>
      <c r="R531" s="3563">
        <v>550</v>
      </c>
      <c r="S531" s="3563"/>
      <c r="T531" s="3552"/>
      <c r="U531" s="3590">
        <f>I531</f>
        <v>11518</v>
      </c>
    </row>
    <row r="532" spans="1:21">
      <c r="A532" s="3550"/>
      <c r="B532" s="3589"/>
      <c r="C532" s="3588"/>
      <c r="D532" s="3550"/>
      <c r="E532" s="3587"/>
      <c r="F532" s="3587"/>
      <c r="G532" s="3586"/>
      <c r="H532" s="3551"/>
      <c r="I532" s="3551"/>
      <c r="J532" s="3551"/>
      <c r="K532" s="3550"/>
      <c r="L532" s="3550"/>
      <c r="M532" s="3550"/>
      <c r="N532" s="3550"/>
      <c r="O532" s="3550"/>
      <c r="P532" s="3585"/>
      <c r="Q532" s="3563"/>
      <c r="R532" s="3563"/>
      <c r="S532" s="3563"/>
      <c r="T532" s="3552"/>
      <c r="U532" s="3545">
        <f>SUM(U3:U531)</f>
        <v>4788772.8706666669</v>
      </c>
    </row>
    <row r="533" spans="1:21" ht="14.25" thickBot="1">
      <c r="A533" s="3581"/>
      <c r="B533" s="3584">
        <v>17946.87</v>
      </c>
      <c r="C533" s="3583"/>
      <c r="D533" s="3581"/>
      <c r="E533" s="3583"/>
      <c r="F533" s="3583"/>
      <c r="G533" s="3583"/>
      <c r="H533" s="3582"/>
      <c r="I533" s="3582"/>
      <c r="J533" s="3582"/>
      <c r="K533" s="3581"/>
      <c r="L533" s="3581"/>
      <c r="M533" s="3581"/>
      <c r="N533" s="3581"/>
      <c r="O533" s="3581"/>
      <c r="P533" s="3580"/>
      <c r="Q533" s="3565">
        <v>10</v>
      </c>
      <c r="R533" s="3565">
        <v>383</v>
      </c>
      <c r="S533" s="3551"/>
      <c r="T533" s="3862" t="s">
        <v>4549</v>
      </c>
      <c r="U533" s="3863">
        <f>U532*12/10000</f>
        <v>5746.5274448</v>
      </c>
    </row>
    <row r="534" spans="1:21" ht="14.25" thickTop="1">
      <c r="Q534" s="3565"/>
      <c r="R534" s="3565"/>
      <c r="S534" s="3551"/>
      <c r="T534" s="3550"/>
    </row>
    <row r="535" spans="1:21">
      <c r="B535" s="3579">
        <v>18135.87</v>
      </c>
      <c r="D535" s="3547"/>
      <c r="H535" s="3546"/>
      <c r="I535" s="3546"/>
      <c r="P535" s="3546"/>
      <c r="Q535" s="3565"/>
      <c r="R535" s="3565"/>
      <c r="S535" s="3551"/>
      <c r="T535" s="3550"/>
    </row>
    <row r="536" spans="1:21">
      <c r="A536" s="3546" t="s">
        <v>3723</v>
      </c>
      <c r="B536" s="3578">
        <v>440.24</v>
      </c>
      <c r="D536" s="3549"/>
      <c r="Q536" s="3551"/>
      <c r="R536" s="3551"/>
      <c r="S536" s="3551"/>
      <c r="T536" s="3550"/>
    </row>
    <row r="537" spans="1:21">
      <c r="D537" s="3549"/>
      <c r="Q537" s="3551"/>
      <c r="R537" s="3551"/>
      <c r="S537" s="3551"/>
      <c r="T537" s="3550"/>
    </row>
    <row r="538" spans="1:21">
      <c r="B538" s="3547"/>
      <c r="D538" s="3549"/>
      <c r="Q538" s="3551"/>
      <c r="R538" s="3551"/>
      <c r="S538" s="3551"/>
      <c r="T538" s="3550"/>
    </row>
    <row r="539" spans="1:21">
      <c r="D539" s="3549"/>
      <c r="Q539" s="3565">
        <v>10</v>
      </c>
      <c r="R539" s="3565">
        <v>323</v>
      </c>
      <c r="S539" s="3565">
        <v>7752</v>
      </c>
      <c r="T539" s="3564"/>
    </row>
    <row r="540" spans="1:21">
      <c r="D540" s="3549"/>
      <c r="Q540" s="3565"/>
      <c r="R540" s="3565"/>
      <c r="S540" s="3565"/>
      <c r="T540" s="3564"/>
    </row>
    <row r="541" spans="1:21">
      <c r="D541" s="3549"/>
      <c r="Q541" s="3565"/>
      <c r="R541" s="3565"/>
      <c r="S541" s="3565"/>
      <c r="T541" s="3564"/>
    </row>
    <row r="542" spans="1:21">
      <c r="D542" s="3549"/>
      <c r="Q542" s="3565"/>
      <c r="R542" s="3565"/>
      <c r="S542" s="3565"/>
      <c r="T542" s="3550"/>
    </row>
    <row r="543" spans="1:21">
      <c r="D543" s="3549"/>
      <c r="Q543" s="3551"/>
      <c r="R543" s="3551"/>
      <c r="S543" s="3551"/>
      <c r="T543" s="3550"/>
    </row>
    <row r="544" spans="1:21">
      <c r="D544" s="3549"/>
      <c r="Q544" s="3557">
        <v>10</v>
      </c>
      <c r="R544" s="3557">
        <v>323</v>
      </c>
      <c r="S544" s="3557">
        <v>8240.4821917808204</v>
      </c>
      <c r="T544" s="3570" t="s">
        <v>3722</v>
      </c>
    </row>
    <row r="545" spans="1:20">
      <c r="D545" s="3549"/>
      <c r="Q545" s="3555"/>
      <c r="R545" s="3555"/>
      <c r="S545" s="3555"/>
      <c r="T545" s="3567"/>
    </row>
    <row r="546" spans="1:20">
      <c r="B546" s="3577" t="s">
        <v>3721</v>
      </c>
      <c r="Q546" s="3563"/>
      <c r="R546" s="3563"/>
      <c r="S546" s="3563"/>
      <c r="T546" s="3552"/>
    </row>
    <row r="547" spans="1:20">
      <c r="B547" s="3547">
        <v>18576.11</v>
      </c>
      <c r="C547" s="3576" t="s">
        <v>3720</v>
      </c>
      <c r="Q547" s="3563"/>
      <c r="R547" s="3563"/>
      <c r="S547" s="3563"/>
      <c r="T547" s="3552"/>
    </row>
    <row r="548" spans="1:20">
      <c r="A548" s="3546" t="s">
        <v>3719</v>
      </c>
      <c r="B548" s="3547">
        <v>23.13</v>
      </c>
      <c r="C548" s="3575" t="s">
        <v>3718</v>
      </c>
      <c r="Q548" s="3563"/>
      <c r="R548" s="3563"/>
      <c r="S548" s="3563"/>
      <c r="T548" s="3552"/>
    </row>
    <row r="549" spans="1:20">
      <c r="A549" s="3546" t="s">
        <v>3717</v>
      </c>
      <c r="B549" s="3574">
        <v>18599.240000000002</v>
      </c>
      <c r="Q549" s="3558">
        <v>10</v>
      </c>
      <c r="R549" s="3558">
        <v>3505.1</v>
      </c>
      <c r="S549" s="3558"/>
      <c r="T549" s="3562" t="s">
        <v>3716</v>
      </c>
    </row>
    <row r="550" spans="1:20">
      <c r="B550" s="3547"/>
      <c r="C550" s="3549" t="s">
        <v>3715</v>
      </c>
      <c r="Q550" s="3573"/>
      <c r="R550" s="3573"/>
      <c r="S550" s="3573"/>
      <c r="T550" s="3572"/>
    </row>
    <row r="551" spans="1:20">
      <c r="B551" s="3547"/>
      <c r="Q551" s="3573"/>
      <c r="R551" s="3573"/>
      <c r="S551" s="3573"/>
      <c r="T551" s="3572"/>
    </row>
    <row r="552" spans="1:20">
      <c r="B552" s="3547"/>
      <c r="Q552" s="3573"/>
      <c r="R552" s="3573"/>
      <c r="S552" s="3573"/>
      <c r="T552" s="3572"/>
    </row>
    <row r="553" spans="1:20">
      <c r="Q553" s="3556"/>
      <c r="R553" s="3556"/>
      <c r="S553" s="3556"/>
      <c r="T553" s="3561"/>
    </row>
    <row r="554" spans="1:20">
      <c r="Q554" s="3571">
        <v>10</v>
      </c>
      <c r="R554" s="3571">
        <v>85</v>
      </c>
      <c r="S554" s="3571">
        <v>1024.4246575342499</v>
      </c>
      <c r="T554" s="3571" t="s">
        <v>3714</v>
      </c>
    </row>
    <row r="555" spans="1:20">
      <c r="Q555" s="3571"/>
      <c r="R555" s="3571"/>
      <c r="S555" s="3571"/>
      <c r="T555" s="3571"/>
    </row>
    <row r="556" spans="1:20">
      <c r="Q556" s="3563"/>
      <c r="R556" s="3563"/>
      <c r="S556" s="3563"/>
      <c r="T556" s="3563"/>
    </row>
    <row r="557" spans="1:20">
      <c r="Q557" s="3563"/>
      <c r="R557" s="3563"/>
      <c r="S557" s="3563"/>
      <c r="T557" s="3563"/>
    </row>
    <row r="558" spans="1:20">
      <c r="Q558" s="3563"/>
      <c r="R558" s="3563"/>
      <c r="S558" s="3563"/>
      <c r="T558" s="3563"/>
    </row>
    <row r="559" spans="1:20">
      <c r="Q559" s="3563"/>
      <c r="R559" s="3563"/>
      <c r="S559" s="3563"/>
      <c r="T559" s="3563"/>
    </row>
    <row r="560" spans="1:20">
      <c r="Q560" s="3563">
        <v>10</v>
      </c>
      <c r="R560" s="3563">
        <v>214.9</v>
      </c>
      <c r="S560" s="3563">
        <v>2578.8000000000002</v>
      </c>
      <c r="T560" s="3552"/>
    </row>
    <row r="561" spans="17:20">
      <c r="Q561" s="3563"/>
      <c r="R561" s="3563"/>
      <c r="S561" s="3563"/>
      <c r="T561" s="3552"/>
    </row>
    <row r="562" spans="17:20">
      <c r="Q562" s="3563"/>
      <c r="R562" s="3563"/>
      <c r="S562" s="3563"/>
      <c r="T562" s="3552"/>
    </row>
    <row r="563" spans="17:20">
      <c r="Q563" s="3563"/>
      <c r="R563" s="3563"/>
      <c r="S563" s="3563"/>
      <c r="T563" s="3552"/>
    </row>
    <row r="564" spans="17:20">
      <c r="Q564" s="3563"/>
      <c r="R564" s="3563"/>
      <c r="S564" s="3563"/>
      <c r="T564" s="3552"/>
    </row>
    <row r="565" spans="17:20">
      <c r="Q565" s="3557">
        <v>10</v>
      </c>
      <c r="R565" s="3557">
        <v>521</v>
      </c>
      <c r="S565" s="3557">
        <v>28134</v>
      </c>
      <c r="T565" s="3570" t="s">
        <v>3713</v>
      </c>
    </row>
    <row r="566" spans="17:20">
      <c r="Q566" s="3569"/>
      <c r="R566" s="3569"/>
      <c r="S566" s="3569"/>
      <c r="T566" s="3568"/>
    </row>
    <row r="567" spans="17:20">
      <c r="Q567" s="3555"/>
      <c r="R567" s="3555"/>
      <c r="S567" s="3555"/>
      <c r="T567" s="3567"/>
    </row>
    <row r="568" spans="17:20">
      <c r="Q568" s="3551"/>
      <c r="R568" s="3551"/>
      <c r="S568" s="3551"/>
      <c r="T568" s="3550"/>
    </row>
    <row r="569" spans="17:20">
      <c r="Q569" s="3551"/>
      <c r="R569" s="3551"/>
      <c r="S569" s="3551"/>
      <c r="T569" s="3550"/>
    </row>
    <row r="570" spans="17:20">
      <c r="Q570" s="3551"/>
      <c r="R570" s="3551"/>
      <c r="S570" s="3551"/>
      <c r="T570" s="3550"/>
    </row>
    <row r="571" spans="17:20">
      <c r="Q571" s="3551"/>
      <c r="R571" s="3551"/>
      <c r="S571" s="3551"/>
      <c r="T571" s="3550"/>
    </row>
    <row r="572" spans="17:20">
      <c r="Q572" s="3551"/>
      <c r="R572" s="3551"/>
      <c r="S572" s="3551"/>
      <c r="T572" s="3550"/>
    </row>
    <row r="573" spans="17:20">
      <c r="Q573" s="3551"/>
      <c r="R573" s="3551"/>
      <c r="S573" s="3551"/>
      <c r="T573" s="3550"/>
    </row>
    <row r="574" spans="17:20">
      <c r="Q574" s="3551"/>
      <c r="R574" s="3551"/>
      <c r="S574" s="3551"/>
      <c r="T574" s="3550"/>
    </row>
    <row r="575" spans="17:20">
      <c r="Q575" s="3551"/>
      <c r="R575" s="3551"/>
      <c r="S575" s="3551"/>
      <c r="T575" s="3550"/>
    </row>
    <row r="576" spans="17:20">
      <c r="Q576" s="3551"/>
      <c r="R576" s="3551"/>
      <c r="S576" s="3551"/>
      <c r="T576" s="3550"/>
    </row>
    <row r="577" spans="17:20">
      <c r="Q577" s="3551"/>
      <c r="R577" s="3551"/>
      <c r="S577" s="3551"/>
      <c r="T577" s="3550"/>
    </row>
    <row r="578" spans="17:20">
      <c r="Q578" s="3551"/>
      <c r="R578" s="3551"/>
      <c r="S578" s="3551"/>
      <c r="T578" s="3550"/>
    </row>
    <row r="579" spans="17:20">
      <c r="Q579" s="3551"/>
      <c r="R579" s="3566"/>
      <c r="S579" s="3551"/>
      <c r="T579" s="3550"/>
    </row>
    <row r="580" spans="17:20">
      <c r="Q580" s="3551"/>
      <c r="R580" s="3566"/>
      <c r="S580" s="3551"/>
      <c r="T580" s="3550"/>
    </row>
    <row r="581" spans="17:20">
      <c r="Q581" s="3551"/>
      <c r="R581" s="3566"/>
      <c r="S581" s="3551"/>
      <c r="T581" s="3550"/>
    </row>
    <row r="582" spans="17:20">
      <c r="Q582" s="3551"/>
      <c r="R582" s="3566"/>
      <c r="S582" s="3551"/>
      <c r="T582" s="3550"/>
    </row>
    <row r="583" spans="17:20">
      <c r="Q583" s="3551"/>
      <c r="R583" s="3566"/>
      <c r="S583" s="3551"/>
      <c r="T583" s="3550"/>
    </row>
    <row r="584" spans="17:20">
      <c r="Q584" s="3551"/>
      <c r="R584" s="3566"/>
      <c r="S584" s="3551"/>
      <c r="T584" s="3550"/>
    </row>
    <row r="585" spans="17:20">
      <c r="Q585" s="3551"/>
      <c r="R585" s="3551"/>
      <c r="S585" s="3551"/>
      <c r="T585" s="3550"/>
    </row>
    <row r="586" spans="17:20">
      <c r="Q586" s="3551"/>
      <c r="R586" s="3551"/>
      <c r="S586" s="3551"/>
      <c r="T586" s="3550"/>
    </row>
    <row r="587" spans="17:20">
      <c r="Q587" s="3551"/>
      <c r="R587" s="3551"/>
      <c r="S587" s="3551"/>
      <c r="T587" s="3550"/>
    </row>
    <row r="588" spans="17:20">
      <c r="Q588" s="3551"/>
      <c r="R588" s="3551"/>
      <c r="S588" s="3551"/>
      <c r="T588" s="3550"/>
    </row>
    <row r="589" spans="17:20">
      <c r="Q589" s="3565">
        <v>10</v>
      </c>
      <c r="R589" s="3565">
        <v>883</v>
      </c>
      <c r="S589" s="3565">
        <v>33077.421917808198</v>
      </c>
      <c r="T589" s="3564" t="s">
        <v>3712</v>
      </c>
    </row>
    <row r="590" spans="17:20">
      <c r="Q590" s="3565"/>
      <c r="R590" s="3565"/>
      <c r="S590" s="3565"/>
      <c r="T590" s="3564"/>
    </row>
    <row r="591" spans="17:20">
      <c r="Q591" s="3565"/>
      <c r="R591" s="3565"/>
      <c r="S591" s="3565"/>
      <c r="T591" s="3564"/>
    </row>
    <row r="592" spans="17:20">
      <c r="Q592" s="3565"/>
      <c r="R592" s="3565"/>
      <c r="S592" s="3565"/>
      <c r="T592" s="3564"/>
    </row>
    <row r="593" spans="17:20">
      <c r="Q593" s="3563"/>
      <c r="R593" s="3563"/>
      <c r="S593" s="3563"/>
      <c r="T593" s="3552"/>
    </row>
    <row r="594" spans="17:20">
      <c r="Q594" s="3563"/>
      <c r="R594" s="3563"/>
      <c r="S594" s="3563"/>
      <c r="T594" s="3552"/>
    </row>
    <row r="595" spans="17:20">
      <c r="Q595" s="3563"/>
      <c r="R595" s="3563"/>
      <c r="S595" s="3563"/>
      <c r="T595" s="3552"/>
    </row>
    <row r="596" spans="17:20">
      <c r="Q596" s="3563"/>
      <c r="R596" s="3563"/>
      <c r="S596" s="3563"/>
      <c r="T596" s="3552"/>
    </row>
    <row r="597" spans="17:20">
      <c r="Q597" s="3563"/>
      <c r="R597" s="3563"/>
      <c r="S597" s="3563"/>
      <c r="T597" s="3552"/>
    </row>
    <row r="598" spans="17:20">
      <c r="Q598" s="3551">
        <v>10</v>
      </c>
      <c r="R598" s="3551">
        <v>140</v>
      </c>
      <c r="S598" s="3551">
        <v>1744.4383561643799</v>
      </c>
      <c r="T598" s="3550"/>
    </row>
    <row r="599" spans="17:20">
      <c r="Q599" s="3551"/>
      <c r="R599" s="3551"/>
      <c r="S599" s="3551"/>
      <c r="T599" s="3550"/>
    </row>
    <row r="600" spans="17:20">
      <c r="Q600" s="3551"/>
      <c r="R600" s="3551"/>
      <c r="S600" s="3551"/>
      <c r="T600" s="3550"/>
    </row>
    <row r="601" spans="17:20">
      <c r="Q601" s="3551"/>
      <c r="R601" s="3551"/>
      <c r="S601" s="3551"/>
      <c r="T601" s="3550"/>
    </row>
    <row r="602" spans="17:20">
      <c r="Q602" s="3551"/>
      <c r="R602" s="3551"/>
      <c r="S602" s="3551"/>
      <c r="T602" s="3550"/>
    </row>
    <row r="603" spans="17:20">
      <c r="Q603" s="3558">
        <v>10</v>
      </c>
      <c r="R603" s="3558">
        <v>280</v>
      </c>
      <c r="S603" s="3558">
        <v>3365.3698630137001</v>
      </c>
      <c r="T603" s="3562" t="s">
        <v>3711</v>
      </c>
    </row>
    <row r="604" spans="17:20">
      <c r="Q604" s="3556"/>
      <c r="R604" s="3556"/>
      <c r="S604" s="3556"/>
      <c r="T604" s="3561"/>
    </row>
    <row r="605" spans="17:20">
      <c r="Q605" s="3554"/>
      <c r="R605" s="3554"/>
      <c r="S605" s="3560"/>
      <c r="T605" s="3559"/>
    </row>
    <row r="606" spans="17:20" ht="38.25">
      <c r="Q606" s="3558">
        <v>10</v>
      </c>
      <c r="R606" s="3558">
        <v>177.2</v>
      </c>
      <c r="S606" s="3557">
        <v>1952.59835616438</v>
      </c>
      <c r="T606" s="3552" t="s">
        <v>3710</v>
      </c>
    </row>
    <row r="607" spans="17:20" ht="38.25">
      <c r="Q607" s="3556"/>
      <c r="R607" s="3556"/>
      <c r="S607" s="3555"/>
      <c r="T607" s="3552" t="s">
        <v>3709</v>
      </c>
    </row>
    <row r="608" spans="17:20">
      <c r="Q608" s="3554"/>
      <c r="R608" s="3554"/>
      <c r="S608" s="3553"/>
      <c r="T608" s="3552"/>
    </row>
    <row r="609" spans="17:20">
      <c r="Q609" s="3551"/>
      <c r="R609" s="3551"/>
      <c r="S609" s="3551"/>
      <c r="T609" s="3550"/>
    </row>
    <row r="1047623" spans="1:16">
      <c r="A1047623" s="3545"/>
      <c r="B1047623" s="3545"/>
      <c r="C1047623" s="3545"/>
      <c r="D1047623" s="3545"/>
      <c r="E1047623" s="3545"/>
      <c r="F1047623" s="3545"/>
      <c r="G1047623" s="3545"/>
      <c r="H1047623" s="3545"/>
      <c r="I1047623" s="3545"/>
      <c r="J1047623" s="3545"/>
      <c r="K1047623" s="3545"/>
      <c r="L1047623" s="3545"/>
      <c r="M1047623" s="3545"/>
      <c r="N1047623" s="3545"/>
      <c r="O1047623" s="3545"/>
      <c r="P1047623" s="3545"/>
    </row>
    <row r="1047624" spans="1:16">
      <c r="A1047624" s="3545"/>
      <c r="B1047624" s="3545"/>
      <c r="C1047624" s="3545"/>
      <c r="D1047624" s="3545"/>
      <c r="E1047624" s="3545"/>
      <c r="F1047624" s="3545"/>
      <c r="G1047624" s="3545"/>
      <c r="H1047624" s="3545"/>
      <c r="I1047624" s="3545"/>
      <c r="J1047624" s="3545"/>
      <c r="K1047624" s="3545"/>
      <c r="L1047624" s="3545"/>
      <c r="M1047624" s="3545"/>
      <c r="N1047624" s="3545"/>
      <c r="O1047624" s="3545"/>
      <c r="P1047624" s="3545"/>
    </row>
    <row r="1047625" spans="1:16">
      <c r="A1047625" s="3545"/>
      <c r="B1047625" s="3545"/>
      <c r="C1047625" s="3545"/>
      <c r="D1047625" s="3545"/>
      <c r="E1047625" s="3545"/>
      <c r="F1047625" s="3545"/>
      <c r="G1047625" s="3545"/>
      <c r="H1047625" s="3545"/>
      <c r="I1047625" s="3545"/>
      <c r="J1047625" s="3545"/>
      <c r="K1047625" s="3545"/>
      <c r="L1047625" s="3545"/>
      <c r="M1047625" s="3545"/>
      <c r="N1047625" s="3545"/>
      <c r="O1047625" s="3545"/>
      <c r="P1047625" s="3545"/>
    </row>
    <row r="1047626" spans="1:16">
      <c r="A1047626" s="3545"/>
      <c r="B1047626" s="3545"/>
      <c r="C1047626" s="3545"/>
      <c r="D1047626" s="3545"/>
      <c r="E1047626" s="3545"/>
      <c r="F1047626" s="3545"/>
      <c r="G1047626" s="3545"/>
      <c r="H1047626" s="3545"/>
      <c r="I1047626" s="3545"/>
      <c r="J1047626" s="3545"/>
      <c r="K1047626" s="3545"/>
      <c r="L1047626" s="3545"/>
      <c r="M1047626" s="3545"/>
      <c r="N1047626" s="3545"/>
      <c r="O1047626" s="3545"/>
      <c r="P1047626" s="3545"/>
    </row>
    <row r="1047627" spans="1:16">
      <c r="A1047627" s="3545"/>
      <c r="B1047627" s="3545"/>
      <c r="C1047627" s="3545"/>
      <c r="D1047627" s="3545"/>
      <c r="E1047627" s="3545"/>
      <c r="F1047627" s="3545"/>
      <c r="G1047627" s="3545"/>
      <c r="H1047627" s="3545"/>
      <c r="I1047627" s="3545"/>
      <c r="J1047627" s="3545"/>
      <c r="K1047627" s="3545"/>
      <c r="L1047627" s="3545"/>
      <c r="M1047627" s="3545"/>
      <c r="N1047627" s="3545"/>
      <c r="O1047627" s="3545"/>
      <c r="P1047627" s="3545"/>
    </row>
    <row r="1047628" spans="1:16">
      <c r="A1047628" s="3545"/>
      <c r="B1047628" s="3545"/>
      <c r="C1047628" s="3545"/>
      <c r="D1047628" s="3545"/>
      <c r="E1047628" s="3545"/>
      <c r="F1047628" s="3545"/>
      <c r="G1047628" s="3545"/>
      <c r="H1047628" s="3545"/>
      <c r="I1047628" s="3545"/>
      <c r="J1047628" s="3545"/>
      <c r="K1047628" s="3545"/>
      <c r="L1047628" s="3545"/>
      <c r="M1047628" s="3545"/>
      <c r="N1047628" s="3545"/>
      <c r="O1047628" s="3545"/>
      <c r="P1047628" s="3545"/>
    </row>
    <row r="1047629" spans="1:16">
      <c r="A1047629" s="3545"/>
      <c r="B1047629" s="3545"/>
      <c r="C1047629" s="3545"/>
      <c r="D1047629" s="3545"/>
      <c r="E1047629" s="3545"/>
      <c r="F1047629" s="3545"/>
      <c r="G1047629" s="3545"/>
      <c r="H1047629" s="3545"/>
      <c r="I1047629" s="3545"/>
      <c r="J1047629" s="3545"/>
      <c r="K1047629" s="3545"/>
      <c r="L1047629" s="3545"/>
      <c r="M1047629" s="3545"/>
      <c r="N1047629" s="3545"/>
      <c r="O1047629" s="3545"/>
      <c r="P1047629" s="3545"/>
    </row>
    <row r="1047630" spans="1:16">
      <c r="A1047630" s="3545"/>
      <c r="B1047630" s="3545"/>
      <c r="C1047630" s="3545"/>
      <c r="D1047630" s="3545"/>
      <c r="E1047630" s="3545"/>
      <c r="F1047630" s="3545"/>
      <c r="G1047630" s="3545"/>
      <c r="H1047630" s="3545"/>
      <c r="I1047630" s="3545"/>
      <c r="J1047630" s="3545"/>
      <c r="K1047630" s="3545"/>
      <c r="L1047630" s="3545"/>
      <c r="M1047630" s="3545"/>
      <c r="N1047630" s="3545"/>
      <c r="O1047630" s="3545"/>
      <c r="P1047630" s="3545"/>
    </row>
    <row r="1047631" spans="1:16">
      <c r="A1047631" s="3545"/>
      <c r="B1047631" s="3545"/>
      <c r="C1047631" s="3545"/>
      <c r="D1047631" s="3545"/>
      <c r="E1047631" s="3545"/>
      <c r="F1047631" s="3545"/>
      <c r="G1047631" s="3545"/>
      <c r="H1047631" s="3545"/>
      <c r="I1047631" s="3545"/>
      <c r="J1047631" s="3545"/>
      <c r="K1047631" s="3545"/>
      <c r="L1047631" s="3545"/>
      <c r="M1047631" s="3545"/>
      <c r="N1047631" s="3545"/>
      <c r="O1047631" s="3545"/>
      <c r="P1047631" s="3545"/>
    </row>
    <row r="1047632" spans="1:16">
      <c r="A1047632" s="3545"/>
      <c r="B1047632" s="3545"/>
      <c r="C1047632" s="3545"/>
      <c r="D1047632" s="3545"/>
      <c r="E1047632" s="3545"/>
      <c r="F1047632" s="3545"/>
      <c r="G1047632" s="3545"/>
      <c r="H1047632" s="3545"/>
      <c r="I1047632" s="3545"/>
      <c r="J1047632" s="3545"/>
      <c r="K1047632" s="3545"/>
      <c r="L1047632" s="3545"/>
      <c r="M1047632" s="3545"/>
      <c r="N1047632" s="3545"/>
      <c r="O1047632" s="3545"/>
      <c r="P1047632" s="3545"/>
    </row>
    <row r="1047633" spans="17:20" s="3545" customFormat="1">
      <c r="Q1047633" s="3547"/>
      <c r="R1047633" s="3547"/>
      <c r="S1047633" s="3547"/>
      <c r="T1047633" s="3546"/>
    </row>
    <row r="1047634" spans="17:20" s="3545" customFormat="1">
      <c r="Q1047634" s="3547"/>
      <c r="R1047634" s="3547"/>
      <c r="S1047634" s="3547"/>
      <c r="T1047634" s="3546"/>
    </row>
    <row r="1047635" spans="17:20" s="3545" customFormat="1">
      <c r="Q1047635" s="3547"/>
      <c r="R1047635" s="3547"/>
      <c r="S1047635" s="3547"/>
      <c r="T1047635" s="3546"/>
    </row>
    <row r="1047636" spans="17:20" s="3545" customFormat="1">
      <c r="Q1047636" s="3547"/>
      <c r="R1047636" s="3547"/>
      <c r="S1047636" s="3547"/>
      <c r="T1047636" s="3546"/>
    </row>
    <row r="1047637" spans="17:20" s="3545" customFormat="1">
      <c r="Q1047637" s="3547"/>
      <c r="R1047637" s="3547"/>
      <c r="S1047637" s="3547"/>
      <c r="T1047637" s="3546"/>
    </row>
    <row r="1047638" spans="17:20" s="3545" customFormat="1">
      <c r="Q1047638" s="3547"/>
      <c r="R1047638" s="3547"/>
      <c r="S1047638" s="3547"/>
      <c r="T1047638" s="3546"/>
    </row>
    <row r="1047639" spans="17:20" s="3545" customFormat="1">
      <c r="Q1047639" s="3547"/>
      <c r="R1047639" s="3547"/>
      <c r="S1047639" s="3547"/>
      <c r="T1047639" s="3546"/>
    </row>
    <row r="1047640" spans="17:20" s="3545" customFormat="1">
      <c r="Q1047640" s="3547"/>
      <c r="R1047640" s="3547"/>
      <c r="S1047640" s="3547"/>
      <c r="T1047640" s="3546"/>
    </row>
    <row r="1047641" spans="17:20" s="3545" customFormat="1">
      <c r="Q1047641" s="3547"/>
      <c r="R1047641" s="3547"/>
      <c r="S1047641" s="3547"/>
      <c r="T1047641" s="3546"/>
    </row>
    <row r="1047642" spans="17:20" s="3545" customFormat="1">
      <c r="Q1047642" s="3547"/>
      <c r="R1047642" s="3547"/>
      <c r="S1047642" s="3547"/>
      <c r="T1047642" s="3546"/>
    </row>
    <row r="1047643" spans="17:20" s="3545" customFormat="1">
      <c r="Q1047643" s="3547"/>
      <c r="R1047643" s="3547"/>
      <c r="S1047643" s="3547"/>
      <c r="T1047643" s="3546"/>
    </row>
    <row r="1047644" spans="17:20" s="3545" customFormat="1">
      <c r="Q1047644" s="3547"/>
      <c r="R1047644" s="3547"/>
      <c r="S1047644" s="3547"/>
      <c r="T1047644" s="3546"/>
    </row>
    <row r="1047645" spans="17:20" s="3545" customFormat="1">
      <c r="Q1047645" s="3547"/>
      <c r="R1047645" s="3547"/>
      <c r="S1047645" s="3547"/>
      <c r="T1047645" s="3546"/>
    </row>
    <row r="1047646" spans="17:20" s="3545" customFormat="1">
      <c r="Q1047646" s="3547"/>
      <c r="R1047646" s="3547"/>
      <c r="S1047646" s="3547"/>
      <c r="T1047646" s="3546"/>
    </row>
    <row r="1047647" spans="17:20" s="3545" customFormat="1">
      <c r="Q1047647" s="3547"/>
      <c r="R1047647" s="3547"/>
      <c r="S1047647" s="3547"/>
      <c r="T1047647" s="3546"/>
    </row>
    <row r="1047648" spans="17:20" s="3545" customFormat="1">
      <c r="Q1047648" s="3547"/>
      <c r="R1047648" s="3547"/>
      <c r="S1047648" s="3547"/>
      <c r="T1047648" s="3546"/>
    </row>
    <row r="1047649" spans="17:20" s="3545" customFormat="1">
      <c r="Q1047649" s="3547"/>
      <c r="R1047649" s="3547"/>
      <c r="S1047649" s="3547"/>
      <c r="T1047649" s="3546"/>
    </row>
    <row r="1047650" spans="17:20" s="3545" customFormat="1">
      <c r="Q1047650" s="3547"/>
      <c r="R1047650" s="3547"/>
      <c r="S1047650" s="3547"/>
      <c r="T1047650" s="3546"/>
    </row>
    <row r="1047651" spans="17:20" s="3545" customFormat="1">
      <c r="Q1047651" s="3547"/>
      <c r="R1047651" s="3547"/>
      <c r="S1047651" s="3547"/>
      <c r="T1047651" s="3546"/>
    </row>
    <row r="1047652" spans="17:20" s="3545" customFormat="1">
      <c r="Q1047652" s="3547"/>
      <c r="R1047652" s="3547"/>
      <c r="S1047652" s="3547"/>
      <c r="T1047652" s="3546"/>
    </row>
    <row r="1047653" spans="17:20" s="3545" customFormat="1">
      <c r="Q1047653" s="3547"/>
      <c r="R1047653" s="3547"/>
      <c r="S1047653" s="3547"/>
      <c r="T1047653" s="3546"/>
    </row>
    <row r="1047654" spans="17:20" s="3545" customFormat="1">
      <c r="Q1047654" s="3547"/>
      <c r="R1047654" s="3547"/>
      <c r="S1047654" s="3547"/>
      <c r="T1047654" s="3546"/>
    </row>
    <row r="1047655" spans="17:20" s="3545" customFormat="1">
      <c r="Q1047655" s="3547"/>
      <c r="R1047655" s="3547"/>
      <c r="S1047655" s="3547"/>
      <c r="T1047655" s="3546"/>
    </row>
    <row r="1047656" spans="17:20" s="3545" customFormat="1">
      <c r="Q1047656" s="3547"/>
      <c r="R1047656" s="3547"/>
      <c r="S1047656" s="3547"/>
      <c r="T1047656" s="3546"/>
    </row>
    <row r="1047657" spans="17:20" s="3545" customFormat="1">
      <c r="Q1047657" s="3547"/>
      <c r="R1047657" s="3547"/>
      <c r="S1047657" s="3547"/>
      <c r="T1047657" s="3546"/>
    </row>
    <row r="1047658" spans="17:20" s="3545" customFormat="1">
      <c r="Q1047658" s="3547"/>
      <c r="R1047658" s="3547"/>
      <c r="S1047658" s="3547"/>
      <c r="T1047658" s="3546"/>
    </row>
    <row r="1047659" spans="17:20" s="3545" customFormat="1">
      <c r="Q1047659" s="3547"/>
      <c r="R1047659" s="3547"/>
      <c r="S1047659" s="3547"/>
      <c r="T1047659" s="3546"/>
    </row>
    <row r="1047660" spans="17:20" s="3545" customFormat="1">
      <c r="Q1047660" s="3547"/>
      <c r="R1047660" s="3547"/>
      <c r="S1047660" s="3547"/>
      <c r="T1047660" s="3546"/>
    </row>
    <row r="1047661" spans="17:20" s="3545" customFormat="1">
      <c r="Q1047661" s="3547"/>
      <c r="R1047661" s="3547"/>
      <c r="S1047661" s="3547"/>
      <c r="T1047661" s="3546"/>
    </row>
    <row r="1047662" spans="17:20" s="3545" customFormat="1">
      <c r="Q1047662" s="3547"/>
      <c r="R1047662" s="3547"/>
      <c r="S1047662" s="3547"/>
      <c r="T1047662" s="3546"/>
    </row>
    <row r="1047663" spans="17:20" s="3545" customFormat="1">
      <c r="Q1047663" s="3547"/>
      <c r="R1047663" s="3547"/>
      <c r="S1047663" s="3547"/>
      <c r="T1047663" s="3546"/>
    </row>
    <row r="1047664" spans="17:20" s="3545" customFormat="1">
      <c r="Q1047664" s="3547"/>
      <c r="R1047664" s="3547"/>
      <c r="S1047664" s="3547"/>
      <c r="T1047664" s="3546"/>
    </row>
    <row r="1047665" spans="17:20" s="3545" customFormat="1">
      <c r="Q1047665" s="3547"/>
      <c r="R1047665" s="3547"/>
      <c r="S1047665" s="3547"/>
      <c r="T1047665" s="3546"/>
    </row>
    <row r="1047666" spans="17:20" s="3545" customFormat="1">
      <c r="Q1047666" s="3547"/>
      <c r="R1047666" s="3547"/>
      <c r="S1047666" s="3547"/>
      <c r="T1047666" s="3546"/>
    </row>
    <row r="1047667" spans="17:20" s="3545" customFormat="1">
      <c r="Q1047667" s="3547"/>
      <c r="R1047667" s="3547"/>
      <c r="S1047667" s="3547"/>
      <c r="T1047667" s="3546"/>
    </row>
    <row r="1047668" spans="17:20" s="3545" customFormat="1">
      <c r="Q1047668" s="3547"/>
      <c r="R1047668" s="3547"/>
      <c r="S1047668" s="3547"/>
      <c r="T1047668" s="3546"/>
    </row>
    <row r="1047669" spans="17:20" s="3545" customFormat="1">
      <c r="Q1047669" s="3547"/>
      <c r="R1047669" s="3547"/>
      <c r="S1047669" s="3547"/>
      <c r="T1047669" s="3546"/>
    </row>
    <row r="1047670" spans="17:20" s="3545" customFormat="1">
      <c r="Q1047670" s="3547"/>
      <c r="R1047670" s="3547"/>
      <c r="S1047670" s="3547"/>
      <c r="T1047670" s="3546"/>
    </row>
    <row r="1047671" spans="17:20" s="3545" customFormat="1">
      <c r="Q1047671" s="3547"/>
      <c r="R1047671" s="3547"/>
      <c r="S1047671" s="3547"/>
      <c r="T1047671" s="3546"/>
    </row>
    <row r="1047672" spans="17:20" s="3545" customFormat="1">
      <c r="Q1047672" s="3547"/>
      <c r="R1047672" s="3547"/>
      <c r="S1047672" s="3547"/>
      <c r="T1047672" s="3546"/>
    </row>
    <row r="1047673" spans="17:20" s="3545" customFormat="1">
      <c r="Q1047673" s="3547"/>
      <c r="R1047673" s="3547"/>
      <c r="S1047673" s="3547"/>
      <c r="T1047673" s="3546"/>
    </row>
    <row r="1047674" spans="17:20" s="3545" customFormat="1">
      <c r="Q1047674" s="3547"/>
      <c r="R1047674" s="3547"/>
      <c r="S1047674" s="3547"/>
      <c r="T1047674" s="3546"/>
    </row>
    <row r="1047675" spans="17:20" s="3545" customFormat="1">
      <c r="Q1047675" s="3547"/>
      <c r="R1047675" s="3547"/>
      <c r="S1047675" s="3547"/>
      <c r="T1047675" s="3546"/>
    </row>
    <row r="1047676" spans="17:20" s="3545" customFormat="1">
      <c r="Q1047676" s="3547"/>
      <c r="R1047676" s="3547"/>
      <c r="S1047676" s="3547"/>
      <c r="T1047676" s="3546"/>
    </row>
    <row r="1047677" spans="17:20" s="3545" customFormat="1">
      <c r="Q1047677" s="3547"/>
      <c r="R1047677" s="3547"/>
      <c r="S1047677" s="3547"/>
      <c r="T1047677" s="3546"/>
    </row>
    <row r="1047678" spans="17:20" s="3545" customFormat="1">
      <c r="Q1047678" s="3547"/>
      <c r="R1047678" s="3547"/>
      <c r="S1047678" s="3547"/>
      <c r="T1047678" s="3546"/>
    </row>
    <row r="1047679" spans="17:20" s="3545" customFormat="1">
      <c r="Q1047679" s="3547"/>
      <c r="R1047679" s="3547"/>
      <c r="S1047679" s="3547"/>
      <c r="T1047679" s="3546"/>
    </row>
    <row r="1047680" spans="17:20" s="3545" customFormat="1">
      <c r="Q1047680" s="3547"/>
      <c r="R1047680" s="3547"/>
      <c r="S1047680" s="3547"/>
      <c r="T1047680" s="3546"/>
    </row>
    <row r="1047681" spans="17:20" s="3545" customFormat="1">
      <c r="Q1047681" s="3547"/>
      <c r="R1047681" s="3547"/>
      <c r="S1047681" s="3547"/>
      <c r="T1047681" s="3546"/>
    </row>
    <row r="1047682" spans="17:20" s="3545" customFormat="1">
      <c r="Q1047682" s="3547"/>
      <c r="R1047682" s="3547"/>
      <c r="S1047682" s="3547"/>
      <c r="T1047682" s="3546"/>
    </row>
    <row r="1047683" spans="17:20" s="3545" customFormat="1">
      <c r="Q1047683" s="3547"/>
      <c r="R1047683" s="3547"/>
      <c r="S1047683" s="3547"/>
      <c r="T1047683" s="3546"/>
    </row>
    <row r="1047684" spans="17:20" s="3545" customFormat="1">
      <c r="Q1047684" s="3547"/>
      <c r="R1047684" s="3547"/>
      <c r="S1047684" s="3547"/>
      <c r="T1047684" s="3546"/>
    </row>
    <row r="1047685" spans="17:20" s="3545" customFormat="1">
      <c r="Q1047685" s="3547"/>
      <c r="R1047685" s="3547"/>
      <c r="S1047685" s="3547"/>
      <c r="T1047685" s="3546"/>
    </row>
    <row r="1047686" spans="17:20" s="3545" customFormat="1">
      <c r="Q1047686" s="3547"/>
      <c r="R1047686" s="3547"/>
      <c r="S1047686" s="3547"/>
      <c r="T1047686" s="3546"/>
    </row>
    <row r="1047687" spans="17:20" s="3545" customFormat="1">
      <c r="Q1047687" s="3547"/>
      <c r="R1047687" s="3547"/>
      <c r="S1047687" s="3547"/>
      <c r="T1047687" s="3546"/>
    </row>
    <row r="1047688" spans="17:20" s="3545" customFormat="1">
      <c r="Q1047688" s="3547"/>
      <c r="R1047688" s="3547"/>
      <c r="S1047688" s="3547"/>
      <c r="T1047688" s="3546"/>
    </row>
    <row r="1047689" spans="17:20" s="3545" customFormat="1">
      <c r="Q1047689" s="3547"/>
      <c r="R1047689" s="3547"/>
      <c r="S1047689" s="3547"/>
      <c r="T1047689" s="3546"/>
    </row>
    <row r="1047690" spans="17:20" s="3545" customFormat="1">
      <c r="Q1047690" s="3547"/>
      <c r="R1047690" s="3547"/>
      <c r="S1047690" s="3547"/>
      <c r="T1047690" s="3546"/>
    </row>
    <row r="1047691" spans="17:20" s="3545" customFormat="1">
      <c r="Q1047691" s="3547"/>
      <c r="R1047691" s="3547"/>
      <c r="S1047691" s="3547"/>
      <c r="T1047691" s="3546"/>
    </row>
    <row r="1047692" spans="17:20" s="3545" customFormat="1">
      <c r="Q1047692" s="3547"/>
      <c r="R1047692" s="3547"/>
      <c r="S1047692" s="3547"/>
      <c r="T1047692" s="3546"/>
    </row>
    <row r="1047693" spans="17:20" s="3545" customFormat="1">
      <c r="Q1047693" s="3547"/>
      <c r="R1047693" s="3547"/>
      <c r="S1047693" s="3547"/>
      <c r="T1047693" s="3546"/>
    </row>
    <row r="1047694" spans="17:20" s="3545" customFormat="1">
      <c r="Q1047694" s="3547"/>
      <c r="R1047694" s="3547"/>
      <c r="S1047694" s="3547"/>
      <c r="T1047694" s="3546"/>
    </row>
    <row r="1047695" spans="17:20" s="3545" customFormat="1">
      <c r="Q1047695" s="3547"/>
      <c r="R1047695" s="3547"/>
      <c r="S1047695" s="3547"/>
      <c r="T1047695" s="3546"/>
    </row>
    <row r="1047696" spans="17:20" s="3545" customFormat="1">
      <c r="Q1047696" s="3547"/>
      <c r="R1047696" s="3547"/>
      <c r="S1047696" s="3547"/>
      <c r="T1047696" s="3546"/>
    </row>
    <row r="1047697" spans="17:20" s="3545" customFormat="1">
      <c r="Q1047697" s="3547"/>
      <c r="R1047697" s="3547"/>
      <c r="S1047697" s="3547"/>
      <c r="T1047697" s="3546"/>
    </row>
    <row r="1047698" spans="17:20" s="3545" customFormat="1">
      <c r="Q1047698" s="3547"/>
      <c r="R1047698" s="3547"/>
      <c r="S1047698" s="3547"/>
      <c r="T1047698" s="3546"/>
    </row>
    <row r="1047699" spans="17:20" s="3545" customFormat="1"/>
    <row r="1047700" spans="17:20" s="3545" customFormat="1"/>
    <row r="1047701" spans="17:20" s="3545" customFormat="1"/>
    <row r="1047702" spans="17:20" s="3545" customFormat="1"/>
    <row r="1047703" spans="17:20" s="3545" customFormat="1"/>
    <row r="1047704" spans="17:20" s="3545" customFormat="1"/>
    <row r="1047705" spans="17:20" s="3545" customFormat="1"/>
    <row r="1047706" spans="17:20" s="3545" customFormat="1"/>
    <row r="1047707" spans="17:20" s="3545" customFormat="1"/>
    <row r="1047708" spans="17:20" s="3545" customFormat="1"/>
    <row r="1047709" spans="17:20" s="3545" customFormat="1"/>
    <row r="1047710" spans="17:20" s="3545" customFormat="1"/>
    <row r="1047711" spans="17:20" s="3545" customFormat="1"/>
    <row r="1047712" spans="17:20" s="3545" customFormat="1"/>
    <row r="1047713" s="3545" customFormat="1"/>
    <row r="1047714" s="3545" customFormat="1"/>
    <row r="1047715" s="3545" customFormat="1"/>
    <row r="1047716" s="3545" customFormat="1"/>
    <row r="1047717" s="3545" customFormat="1"/>
    <row r="1047718" s="3545" customFormat="1"/>
    <row r="1047719" s="3545" customFormat="1"/>
    <row r="1047720" s="3545" customFormat="1"/>
    <row r="1047721" s="3545" customFormat="1"/>
    <row r="1047722" s="3545" customFormat="1"/>
    <row r="1047723" s="3545" customFormat="1"/>
    <row r="1047724" s="3545" customFormat="1"/>
    <row r="1047725" s="3545" customFormat="1"/>
    <row r="1047726" s="3545" customFormat="1"/>
    <row r="1047727" s="3545" customFormat="1"/>
    <row r="1047728" s="3545" customFormat="1"/>
    <row r="1047729" s="3545" customFormat="1"/>
    <row r="1047730" s="3545" customFormat="1"/>
    <row r="1047731" s="3545" customFormat="1"/>
    <row r="1047732" s="3545" customFormat="1"/>
    <row r="1047733" s="3545" customFormat="1"/>
    <row r="1047734" s="3545" customFormat="1"/>
    <row r="1047735" s="3545" customFormat="1"/>
    <row r="1047736" s="3545" customFormat="1"/>
    <row r="1047737" s="3545" customFormat="1"/>
    <row r="1047738" s="3545" customFormat="1"/>
    <row r="1047739" s="3545" customFormat="1"/>
    <row r="1047740" s="3545" customFormat="1"/>
    <row r="1047741" s="3545" customFormat="1"/>
    <row r="1047742" s="3545" customFormat="1"/>
    <row r="1047743" s="3545" customFormat="1"/>
    <row r="1047744" s="3545" customFormat="1"/>
    <row r="1047745" s="3545" customFormat="1"/>
    <row r="1047746" s="3545" customFormat="1"/>
    <row r="1047747" s="3545" customFormat="1"/>
    <row r="1047748" s="3545" customFormat="1"/>
    <row r="1047749" s="3545" customFormat="1"/>
    <row r="1047750" s="3545" customFormat="1"/>
    <row r="1047751" s="3545" customFormat="1"/>
    <row r="1047752" s="3545" customFormat="1"/>
    <row r="1047753" s="3545" customFormat="1"/>
    <row r="1047754" s="3545" customFormat="1"/>
    <row r="1047755" s="3545" customFormat="1"/>
    <row r="1047756" s="3545" customFormat="1"/>
    <row r="1047757" s="3545" customFormat="1"/>
    <row r="1047758" s="3545" customFormat="1"/>
    <row r="1047759" s="3545" customFormat="1"/>
    <row r="1047760" s="3545" customFormat="1"/>
    <row r="1047761" s="3545" customFormat="1"/>
    <row r="1047762" s="3545" customFormat="1"/>
    <row r="1047763" s="3545" customFormat="1"/>
    <row r="1047764" s="3545" customFormat="1"/>
    <row r="1047765" s="3545" customFormat="1"/>
    <row r="1047766" s="3545" customFormat="1"/>
    <row r="1047767" s="3545" customFormat="1"/>
    <row r="1047768" s="3545" customFormat="1"/>
    <row r="1047769" s="3545" customFormat="1"/>
    <row r="1047770" s="3545" customFormat="1"/>
    <row r="1047771" s="3545" customFormat="1"/>
    <row r="1047772" s="3545" customFormat="1"/>
    <row r="1047773" s="3545" customFormat="1"/>
    <row r="1047774" s="3545" customFormat="1"/>
    <row r="1047775" s="3545" customFormat="1"/>
    <row r="1047776" s="3545" customFormat="1"/>
    <row r="1047777" s="3545" customFormat="1"/>
    <row r="1047778" s="3545" customFormat="1"/>
    <row r="1047779" s="3545" customFormat="1"/>
    <row r="1047780" s="3545" customFormat="1"/>
    <row r="1047781" s="3545" customFormat="1"/>
    <row r="1047782" s="3545" customFormat="1"/>
    <row r="1047783" s="3545" customFormat="1"/>
    <row r="1047784" s="3545" customFormat="1"/>
    <row r="1047785" s="3545" customFormat="1"/>
    <row r="1047786" s="3545" customFormat="1"/>
    <row r="1047787" s="3545" customFormat="1"/>
    <row r="1047788" s="3545" customFormat="1"/>
    <row r="1047789" s="3545" customFormat="1"/>
    <row r="1047790" s="3545" customFormat="1"/>
    <row r="1047791" s="3545" customFormat="1"/>
    <row r="1047792" s="3545" customFormat="1"/>
    <row r="1047793" s="3545" customFormat="1"/>
    <row r="1047794" s="3545" customFormat="1"/>
    <row r="1047795" s="3545" customFormat="1"/>
    <row r="1047796" s="3545" customFormat="1"/>
    <row r="1047797" s="3545" customFormat="1"/>
    <row r="1047798" s="3545" customFormat="1"/>
    <row r="1047799" s="3545" customFormat="1"/>
    <row r="1047800" s="3545" customFormat="1"/>
    <row r="1047801" s="3545" customFormat="1"/>
    <row r="1047802" s="3545" customFormat="1"/>
    <row r="1047803" s="3545" customFormat="1"/>
    <row r="1047804" s="3545" customFormat="1"/>
    <row r="1047805" s="3545" customFormat="1"/>
    <row r="1047806" s="3545" customFormat="1"/>
    <row r="1047807" s="3545" customFormat="1"/>
    <row r="1047808" s="3545" customFormat="1"/>
    <row r="1047809" s="3545" customFormat="1"/>
    <row r="1047810" s="3545" customFormat="1"/>
    <row r="1047811" s="3545" customFormat="1"/>
    <row r="1047812" s="3545" customFormat="1"/>
    <row r="1047813" s="3545" customFormat="1"/>
    <row r="1047814" s="3545" customFormat="1"/>
    <row r="1047815" s="3545" customFormat="1"/>
    <row r="1047816" s="3545" customFormat="1"/>
    <row r="1047817" s="3545" customFormat="1"/>
    <row r="1047818" s="3545" customFormat="1"/>
    <row r="1047819" s="3545" customFormat="1"/>
    <row r="1047820" s="3545" customFormat="1"/>
    <row r="1047821" s="3545" customFormat="1"/>
    <row r="1047822" s="3545" customFormat="1"/>
    <row r="1047823" s="3545" customFormat="1"/>
    <row r="1047824" s="3545" customFormat="1"/>
    <row r="1047825" s="3545" customFormat="1"/>
    <row r="1047826" s="3545" customFormat="1"/>
    <row r="1047827" s="3545" customFormat="1"/>
    <row r="1047828" s="3545" customFormat="1"/>
    <row r="1047829" s="3545" customFormat="1"/>
    <row r="1047830" s="3545" customFormat="1"/>
    <row r="1047831" s="3545" customFormat="1"/>
    <row r="1047832" s="3545" customFormat="1"/>
    <row r="1047833" s="3545" customFormat="1"/>
    <row r="1047834" s="3545" customFormat="1"/>
    <row r="1047835" s="3545" customFormat="1"/>
    <row r="1047836" s="3545" customFormat="1"/>
    <row r="1047837" s="3545" customFormat="1"/>
    <row r="1047838" s="3545" customFormat="1"/>
    <row r="1047839" s="3545" customFormat="1"/>
    <row r="1047840" s="3545" customFormat="1"/>
    <row r="1047841" s="3545" customFormat="1"/>
    <row r="1047842" s="3545" customFormat="1"/>
    <row r="1047843" s="3545" customFormat="1"/>
    <row r="1047844" s="3545" customFormat="1"/>
    <row r="1047845" s="3545" customFormat="1"/>
    <row r="1047846" s="3545" customFormat="1"/>
    <row r="1047847" s="3545" customFormat="1"/>
    <row r="1047848" s="3545" customFormat="1"/>
    <row r="1047849" s="3545" customFormat="1"/>
    <row r="1047850" s="3545" customFormat="1"/>
    <row r="1047851" s="3545" customFormat="1"/>
    <row r="1047852" s="3545" customFormat="1"/>
    <row r="1047853" s="3545" customFormat="1"/>
    <row r="1047854" s="3545" customFormat="1"/>
    <row r="1047855" s="3545" customFormat="1"/>
    <row r="1047856" s="3545" customFormat="1"/>
    <row r="1047857" s="3545" customFormat="1"/>
    <row r="1047858" s="3545" customFormat="1"/>
    <row r="1047859" s="3545" customFormat="1"/>
    <row r="1047860" s="3545" customFormat="1"/>
    <row r="1047861" s="3545" customFormat="1"/>
    <row r="1047862" s="3545" customFormat="1"/>
    <row r="1047863" s="3545" customFormat="1"/>
    <row r="1047864" s="3545" customFormat="1"/>
    <row r="1047865" s="3545" customFormat="1"/>
    <row r="1047866" s="3545" customFormat="1"/>
    <row r="1047867" s="3545" customFormat="1"/>
    <row r="1047868" s="3545" customFormat="1"/>
    <row r="1047869" s="3545" customFormat="1"/>
    <row r="1047870" s="3545" customFormat="1"/>
    <row r="1047871" s="3545" customFormat="1"/>
    <row r="1047872" s="3545" customFormat="1"/>
    <row r="1047873" s="3545" customFormat="1"/>
    <row r="1047874" s="3545" customFormat="1"/>
    <row r="1047875" s="3545" customFormat="1"/>
    <row r="1047876" s="3545" customFormat="1"/>
    <row r="1047877" s="3545" customFormat="1"/>
    <row r="1047878" s="3545" customFormat="1"/>
    <row r="1047879" s="3545" customFormat="1"/>
    <row r="1047880" s="3545" customFormat="1"/>
    <row r="1047881" s="3545" customFormat="1"/>
    <row r="1047882" s="3545" customFormat="1"/>
    <row r="1047883" s="3545" customFormat="1"/>
    <row r="1047884" s="3545" customFormat="1"/>
    <row r="1047885" s="3545" customFormat="1"/>
    <row r="1047886" s="3545" customFormat="1"/>
    <row r="1047887" s="3545" customFormat="1"/>
    <row r="1047888" s="3545" customFormat="1"/>
    <row r="1047889" s="3545" customFormat="1"/>
    <row r="1047890" s="3545" customFormat="1"/>
    <row r="1047891" s="3545" customFormat="1"/>
    <row r="1047892" s="3545" customFormat="1"/>
    <row r="1047893" s="3545" customFormat="1"/>
    <row r="1047894" s="3545" customFormat="1"/>
    <row r="1047895" s="3545" customFormat="1"/>
    <row r="1047896" s="3545" customFormat="1"/>
    <row r="1047897" s="3545" customFormat="1"/>
    <row r="1047898" s="3545" customFormat="1"/>
    <row r="1047899" s="3545" customFormat="1"/>
    <row r="1047900" s="3545" customFormat="1"/>
    <row r="1047901" s="3545" customFormat="1"/>
    <row r="1047902" s="3545" customFormat="1"/>
    <row r="1047903" s="3545" customFormat="1"/>
    <row r="1047904" s="3545" customFormat="1"/>
    <row r="1047905" s="3545" customFormat="1"/>
    <row r="1047906" s="3545" customFormat="1"/>
    <row r="1047907" s="3545" customFormat="1"/>
    <row r="1047908" s="3545" customFormat="1"/>
    <row r="1047909" s="3545" customFormat="1"/>
    <row r="1047910" s="3545" customFormat="1"/>
    <row r="1047911" s="3545" customFormat="1"/>
    <row r="1047912" s="3545" customFormat="1"/>
    <row r="1047913" s="3545" customFormat="1"/>
    <row r="1047914" s="3545" customFormat="1"/>
    <row r="1047915" s="3545" customFormat="1"/>
    <row r="1047916" s="3545" customFormat="1"/>
    <row r="1047917" s="3545" customFormat="1"/>
    <row r="1047918" s="3545" customFormat="1"/>
    <row r="1047919" s="3545" customFormat="1"/>
    <row r="1047920" s="3545" customFormat="1"/>
    <row r="1047921" s="3545" customFormat="1"/>
    <row r="1047922" s="3545" customFormat="1"/>
    <row r="1047923" s="3545" customFormat="1"/>
    <row r="1047924" s="3545" customFormat="1"/>
    <row r="1047925" s="3545" customFormat="1"/>
    <row r="1047926" s="3545" customFormat="1"/>
    <row r="1047927" s="3545" customFormat="1"/>
    <row r="1047928" s="3545" customFormat="1"/>
    <row r="1047929" s="3545" customFormat="1"/>
    <row r="1047930" s="3545" customFormat="1"/>
    <row r="1047931" s="3545" customFormat="1"/>
    <row r="1047932" s="3545" customFormat="1"/>
    <row r="1047933" s="3545" customFormat="1"/>
    <row r="1047934" s="3545" customFormat="1"/>
    <row r="1047935" s="3545" customFormat="1"/>
    <row r="1047936" s="3545" customFormat="1"/>
    <row r="1047937" s="3545" customFormat="1"/>
    <row r="1047938" s="3545" customFormat="1"/>
    <row r="1047939" s="3545" customFormat="1"/>
    <row r="1047940" s="3545" customFormat="1"/>
    <row r="1047941" s="3545" customFormat="1"/>
    <row r="1047942" s="3545" customFormat="1"/>
    <row r="1047943" s="3545" customFormat="1"/>
    <row r="1047944" s="3545" customFormat="1"/>
    <row r="1047945" s="3545" customFormat="1"/>
    <row r="1047946" s="3545" customFormat="1"/>
    <row r="1047947" s="3545" customFormat="1"/>
    <row r="1047948" s="3545" customFormat="1"/>
    <row r="1047949" s="3545" customFormat="1"/>
    <row r="1047950" s="3545" customFormat="1"/>
    <row r="1047951" s="3545" customFormat="1"/>
    <row r="1047952" s="3545" customFormat="1"/>
    <row r="1047953" s="3545" customFormat="1"/>
    <row r="1047954" s="3545" customFormat="1"/>
    <row r="1047955" s="3545" customFormat="1"/>
    <row r="1047956" s="3545" customFormat="1"/>
    <row r="1047957" s="3545" customFormat="1"/>
    <row r="1047958" s="3545" customFormat="1"/>
    <row r="1047959" s="3545" customFormat="1"/>
    <row r="1047960" s="3545" customFormat="1"/>
    <row r="1047961" s="3545" customFormat="1"/>
    <row r="1047962" s="3545" customFormat="1"/>
    <row r="1047963" s="3545" customFormat="1"/>
    <row r="1047964" s="3545" customFormat="1"/>
    <row r="1047965" s="3545" customFormat="1"/>
    <row r="1047966" s="3545" customFormat="1"/>
    <row r="1047967" s="3545" customFormat="1"/>
    <row r="1047968" s="3545" customFormat="1"/>
    <row r="1047969" s="3545" customFormat="1"/>
    <row r="1047970" s="3545" customFormat="1"/>
    <row r="1047971" s="3545" customFormat="1"/>
    <row r="1047972" s="3545" customFormat="1"/>
    <row r="1047973" s="3545" customFormat="1"/>
    <row r="1047974" s="3545" customFormat="1"/>
    <row r="1047975" s="3545" customFormat="1"/>
    <row r="1047976" s="3545" customFormat="1"/>
    <row r="1047977" s="3545" customFormat="1"/>
    <row r="1047978" s="3545" customFormat="1"/>
    <row r="1047979" s="3545" customFormat="1"/>
    <row r="1047980" s="3545" customFormat="1"/>
    <row r="1047981" s="3545" customFormat="1"/>
    <row r="1047982" s="3545" customFormat="1"/>
    <row r="1047983" s="3545" customFormat="1"/>
    <row r="1047984" s="3545" customFormat="1"/>
    <row r="1047985" s="3545" customFormat="1"/>
    <row r="1047986" s="3545" customFormat="1"/>
    <row r="1047987" s="3545" customFormat="1"/>
    <row r="1047988" s="3545" customFormat="1"/>
    <row r="1047989" s="3545" customFormat="1"/>
    <row r="1047990" s="3545" customFormat="1"/>
    <row r="1047991" s="3545" customFormat="1"/>
    <row r="1047992" s="3545" customFormat="1"/>
    <row r="1047993" s="3545" customFormat="1"/>
    <row r="1047994" s="3545" customFormat="1"/>
    <row r="1047995" s="3545" customFormat="1"/>
    <row r="1047996" s="3545" customFormat="1"/>
    <row r="1047997" s="3545" customFormat="1"/>
    <row r="1047998" s="3545" customFormat="1"/>
    <row r="1047999" s="3545" customFormat="1"/>
    <row r="1048000" s="3545" customFormat="1"/>
    <row r="1048001" s="3545" customFormat="1"/>
    <row r="1048002" s="3545" customFormat="1"/>
    <row r="1048003" s="3545" customFormat="1"/>
    <row r="1048004" s="3545" customFormat="1"/>
    <row r="1048005" s="3545" customFormat="1"/>
    <row r="1048006" s="3545" customFormat="1"/>
    <row r="1048007" s="3545" customFormat="1"/>
    <row r="1048008" s="3545" customFormat="1"/>
    <row r="1048009" s="3545" customFormat="1"/>
    <row r="1048010" s="3545" customFormat="1"/>
    <row r="1048011" s="3545" customFormat="1"/>
    <row r="1048012" s="3545" customFormat="1"/>
    <row r="1048013" s="3545" customFormat="1"/>
    <row r="1048014" s="3545" customFormat="1"/>
    <row r="1048015" s="3545" customFormat="1"/>
    <row r="1048016" s="3545" customFormat="1"/>
    <row r="1048017" s="3545" customFormat="1"/>
    <row r="1048018" s="3545" customFormat="1"/>
    <row r="1048019" s="3545" customFormat="1"/>
    <row r="1048020" s="3545" customFormat="1"/>
    <row r="1048021" s="3545" customFormat="1"/>
    <row r="1048022" s="3545" customFormat="1"/>
    <row r="1048023" s="3545" customFormat="1"/>
    <row r="1048024" s="3545" customFormat="1"/>
    <row r="1048025" s="3545" customFormat="1"/>
    <row r="1048026" s="3545" customFormat="1"/>
    <row r="1048027" s="3545" customFormat="1"/>
    <row r="1048028" s="3545" customFormat="1"/>
    <row r="1048029" s="3545" customFormat="1"/>
    <row r="1048030" s="3545" customFormat="1"/>
    <row r="1048031" s="3545" customFormat="1"/>
    <row r="1048032" s="3545" customFormat="1"/>
    <row r="1048033" s="3545" customFormat="1"/>
    <row r="1048034" s="3545" customFormat="1"/>
    <row r="1048035" s="3545" customFormat="1"/>
    <row r="1048036" s="3545" customFormat="1"/>
    <row r="1048037" s="3545" customFormat="1"/>
    <row r="1048038" s="3545" customFormat="1"/>
    <row r="1048039" s="3545" customFormat="1"/>
    <row r="1048040" s="3545" customFormat="1"/>
    <row r="1048041" s="3545" customFormat="1"/>
    <row r="1048042" s="3545" customFormat="1"/>
    <row r="1048043" s="3545" customFormat="1"/>
    <row r="1048044" s="3545" customFormat="1"/>
    <row r="1048045" s="3545" customFormat="1"/>
    <row r="1048046" s="3545" customFormat="1"/>
    <row r="1048047" s="3545" customFormat="1"/>
    <row r="1048048" s="3545" customFormat="1"/>
    <row r="1048049" s="3545" customFormat="1"/>
    <row r="1048050" s="3545" customFormat="1"/>
    <row r="1048051" s="3545" customFormat="1"/>
    <row r="1048052" s="3545" customFormat="1"/>
    <row r="1048053" s="3545" customFormat="1"/>
    <row r="1048054" s="3545" customFormat="1"/>
    <row r="1048055" s="3545" customFormat="1"/>
    <row r="1048056" s="3545" customFormat="1"/>
    <row r="1048057" s="3545" customFormat="1"/>
    <row r="1048058" s="3545" customFormat="1"/>
    <row r="1048059" s="3545" customFormat="1"/>
    <row r="1048060" s="3545" customFormat="1"/>
    <row r="1048061" s="3545" customFormat="1"/>
    <row r="1048062" s="3545" customFormat="1"/>
    <row r="1048063" s="3545" customFormat="1"/>
    <row r="1048064" s="3545" customFormat="1"/>
    <row r="1048065" s="3545" customFormat="1"/>
    <row r="1048066" s="3545" customFormat="1"/>
    <row r="1048067" s="3545" customFormat="1"/>
    <row r="1048068" s="3545" customFormat="1"/>
    <row r="1048069" s="3545" customFormat="1"/>
    <row r="1048070" s="3545" customFormat="1"/>
    <row r="1048071" s="3545" customFormat="1"/>
    <row r="1048072" s="3545" customFormat="1"/>
    <row r="1048073" s="3545" customFormat="1"/>
    <row r="1048074" s="3545" customFormat="1"/>
    <row r="1048075" s="3545" customFormat="1"/>
    <row r="1048076" s="3545" customFormat="1"/>
    <row r="1048077" s="3545" customFormat="1"/>
    <row r="1048078" s="3545" customFormat="1"/>
    <row r="1048079" s="3545" customFormat="1"/>
    <row r="1048080" s="3545" customFormat="1"/>
    <row r="1048081" s="3545" customFormat="1"/>
    <row r="1048082" s="3545" customFormat="1"/>
    <row r="1048083" s="3545" customFormat="1"/>
    <row r="1048084" s="3545" customFormat="1"/>
    <row r="1048085" s="3545" customFormat="1"/>
    <row r="1048086" s="3545" customFormat="1"/>
    <row r="1048087" s="3545" customFormat="1"/>
    <row r="1048088" s="3545" customFormat="1"/>
    <row r="1048089" s="3545" customFormat="1"/>
    <row r="1048090" s="3545" customFormat="1"/>
    <row r="1048091" s="3545" customFormat="1"/>
    <row r="1048092" s="3545" customFormat="1"/>
    <row r="1048093" s="3545" customFormat="1"/>
    <row r="1048094" s="3545" customFormat="1"/>
    <row r="1048095" s="3545" customFormat="1"/>
    <row r="1048096" s="3545" customFormat="1"/>
    <row r="1048097" s="3545" customFormat="1"/>
    <row r="1048098" s="3545" customFormat="1"/>
    <row r="1048099" s="3545" customFormat="1"/>
    <row r="1048100" s="3545" customFormat="1"/>
    <row r="1048101" s="3545" customFormat="1"/>
    <row r="1048102" s="3545" customFormat="1"/>
    <row r="1048103" s="3545" customFormat="1"/>
    <row r="1048104" s="3545" customFormat="1"/>
    <row r="1048105" s="3545" customFormat="1"/>
    <row r="1048106" s="3545" customFormat="1"/>
    <row r="1048107" s="3545" customFormat="1"/>
    <row r="1048108" s="3545" customFormat="1"/>
    <row r="1048109" s="3545" customFormat="1"/>
    <row r="1048110" s="3545" customFormat="1"/>
    <row r="1048111" s="3545" customFormat="1"/>
    <row r="1048112" s="3545" customFormat="1"/>
    <row r="1048113" s="3545" customFormat="1"/>
    <row r="1048114" s="3545" customFormat="1"/>
    <row r="1048115" s="3545" customFormat="1"/>
    <row r="1048116" s="3545" customFormat="1"/>
    <row r="1048117" s="3545" customFormat="1"/>
    <row r="1048118" s="3545" customFormat="1"/>
    <row r="1048119" s="3545" customFormat="1"/>
    <row r="1048120" s="3545" customFormat="1"/>
    <row r="1048121" s="3545" customFormat="1"/>
    <row r="1048122" s="3545" customFormat="1"/>
    <row r="1048123" s="3545" customFormat="1"/>
    <row r="1048124" s="3545" customFormat="1"/>
    <row r="1048125" s="3545" customFormat="1"/>
    <row r="1048126" s="3545" customFormat="1"/>
    <row r="1048127" s="3545" customFormat="1"/>
    <row r="1048128" s="3545" customFormat="1"/>
    <row r="1048129" s="3545" customFormat="1"/>
    <row r="1048130" s="3545" customFormat="1"/>
    <row r="1048131" s="3545" customFormat="1"/>
    <row r="1048132" s="3545" customFormat="1"/>
    <row r="1048133" s="3545" customFormat="1"/>
    <row r="1048134" s="3545" customFormat="1"/>
    <row r="1048135" s="3545" customFormat="1"/>
    <row r="1048136" s="3545" customFormat="1"/>
    <row r="1048137" s="3545" customFormat="1"/>
    <row r="1048138" s="3545" customFormat="1"/>
    <row r="1048139" s="3545" customFormat="1"/>
    <row r="1048140" s="3545" customFormat="1"/>
    <row r="1048141" s="3545" customFormat="1"/>
    <row r="1048142" s="3545" customFormat="1"/>
    <row r="1048143" s="3545" customFormat="1"/>
    <row r="1048144" s="3545" customFormat="1"/>
    <row r="1048145" s="3545" customFormat="1"/>
    <row r="1048146" s="3545" customFormat="1"/>
    <row r="1048147" s="3545" customFormat="1"/>
    <row r="1048148" s="3545" customFormat="1"/>
    <row r="1048149" s="3545" customFormat="1"/>
    <row r="1048150" s="3545" customFormat="1"/>
    <row r="1048151" s="3545" customFormat="1"/>
    <row r="1048152" s="3545" customFormat="1"/>
    <row r="1048153" s="3545" customFormat="1"/>
    <row r="1048154" s="3545" customFormat="1"/>
    <row r="1048155" s="3545" customFormat="1"/>
    <row r="1048156" s="3545" customFormat="1"/>
    <row r="1048157" s="3545" customFormat="1"/>
    <row r="1048158" s="3545" customFormat="1"/>
    <row r="1048159" s="3545" customFormat="1"/>
    <row r="1048160" s="3545" customFormat="1"/>
    <row r="1048161" s="3545" customFormat="1"/>
    <row r="1048162" s="3545" customFormat="1"/>
    <row r="1048163" s="3545" customFormat="1"/>
    <row r="1048164" s="3545" customFormat="1"/>
    <row r="1048165" s="3545" customFormat="1"/>
    <row r="1048166" s="3545" customFormat="1"/>
    <row r="1048167" s="3545" customFormat="1"/>
    <row r="1048168" s="3545" customFormat="1"/>
    <row r="1048169" s="3545" customFormat="1"/>
    <row r="1048170" s="3545" customFormat="1"/>
    <row r="1048171" s="3545" customFormat="1"/>
    <row r="1048172" s="3545" customFormat="1"/>
    <row r="1048173" s="3545" customFormat="1"/>
    <row r="1048174" s="3545" customFormat="1"/>
    <row r="1048175" s="3545" customFormat="1"/>
    <row r="1048176" s="3545" customFormat="1"/>
    <row r="1048177" s="3545" customFormat="1"/>
    <row r="1048178" s="3545" customFormat="1"/>
    <row r="1048179" s="3545" customFormat="1"/>
    <row r="1048180" s="3545" customFormat="1"/>
    <row r="1048181" s="3545" customFormat="1"/>
    <row r="1048182" s="3545" customFormat="1"/>
    <row r="1048183" s="3545" customFormat="1"/>
    <row r="1048184" s="3545" customFormat="1"/>
    <row r="1048185" s="3545" customFormat="1"/>
    <row r="1048186" s="3545" customFormat="1"/>
    <row r="1048187" s="3545" customFormat="1"/>
    <row r="1048188" s="3545" customFormat="1"/>
    <row r="1048189" s="3545" customFormat="1"/>
    <row r="1048190" s="3545" customFormat="1"/>
    <row r="1048191" s="3545" customFormat="1"/>
    <row r="1048192" s="3545" customFormat="1"/>
    <row r="1048193" s="3545" customFormat="1"/>
    <row r="1048194" s="3545" customFormat="1"/>
    <row r="1048195" s="3545" customFormat="1"/>
    <row r="1048196" s="3545" customFormat="1"/>
    <row r="1048197" s="3545" customFormat="1"/>
    <row r="1048198" s="3545" customFormat="1"/>
    <row r="1048199" s="3545" customFormat="1"/>
    <row r="1048200" s="3545" customFormat="1"/>
    <row r="1048201" s="3545" customFormat="1"/>
    <row r="1048202" s="3545" customFormat="1"/>
    <row r="1048203" s="3545" customFormat="1"/>
    <row r="1048204" s="3545" customFormat="1"/>
    <row r="1048205" s="3545" customFormat="1"/>
    <row r="1048206" s="3545" customFormat="1"/>
    <row r="1048207" s="3545" customFormat="1"/>
    <row r="1048208" s="3545" customFormat="1"/>
    <row r="1048209" s="3545" customFormat="1"/>
    <row r="1048210" s="3545" customFormat="1"/>
    <row r="1048211" s="3545" customFormat="1"/>
    <row r="1048212" s="3545" customFormat="1"/>
    <row r="1048213" s="3545" customFormat="1"/>
    <row r="1048214" s="3545" customFormat="1"/>
    <row r="1048215" s="3545" customFormat="1"/>
    <row r="1048216" s="3545" customFormat="1"/>
    <row r="1048217" s="3545" customFormat="1"/>
    <row r="1048218" s="3545" customFormat="1"/>
    <row r="1048219" s="3545" customFormat="1"/>
    <row r="1048220" s="3545" customFormat="1"/>
    <row r="1048221" s="3545" customFormat="1"/>
    <row r="1048222" s="3545" customFormat="1"/>
    <row r="1048223" s="3545" customFormat="1"/>
    <row r="1048224" s="3545" customFormat="1"/>
    <row r="1048225" s="3545" customFormat="1"/>
    <row r="1048226" s="3545" customFormat="1"/>
    <row r="1048227" s="3545" customFormat="1"/>
    <row r="1048228" s="3545" customFormat="1"/>
    <row r="1048229" s="3545" customFormat="1"/>
    <row r="1048230" s="3545" customFormat="1"/>
    <row r="1048231" s="3545" customFormat="1"/>
    <row r="1048232" s="3545" customFormat="1"/>
    <row r="1048233" s="3545" customFormat="1"/>
    <row r="1048234" s="3545" customFormat="1"/>
    <row r="1048235" s="3545" customFormat="1"/>
    <row r="1048236" s="3545" customFormat="1"/>
    <row r="1048237" s="3545" customFormat="1"/>
    <row r="1048238" s="3545" customFormat="1"/>
    <row r="1048239" s="3545" customFormat="1"/>
    <row r="1048240" s="3545" customFormat="1"/>
    <row r="1048241" s="3545" customFormat="1"/>
    <row r="1048242" s="3545" customFormat="1"/>
    <row r="1048243" s="3545" customFormat="1"/>
    <row r="1048244" s="3545" customFormat="1"/>
    <row r="1048245" s="3545" customFormat="1"/>
    <row r="1048246" s="3545" customFormat="1"/>
    <row r="1048247" s="3545" customFormat="1"/>
    <row r="1048248" s="3545" customFormat="1"/>
    <row r="1048249" s="3545" customFormat="1"/>
    <row r="1048250" s="3545" customFormat="1"/>
    <row r="1048251" s="3545" customFormat="1"/>
    <row r="1048252" s="3545" customFormat="1"/>
    <row r="1048253" s="3545" customFormat="1"/>
    <row r="1048254" s="3545" customFormat="1"/>
    <row r="1048255" s="3545" customFormat="1"/>
    <row r="1048256" s="3545" customFormat="1"/>
    <row r="1048257" s="3545" customFormat="1"/>
    <row r="1048258" s="3545" customFormat="1"/>
    <row r="1048259" s="3545" customFormat="1"/>
    <row r="1048260" s="3545" customFormat="1"/>
    <row r="1048261" s="3545" customFormat="1"/>
    <row r="1048262" s="3545" customFormat="1"/>
    <row r="1048263" s="3545" customFormat="1"/>
    <row r="1048264" s="3545" customFormat="1"/>
    <row r="1048265" s="3545" customFormat="1"/>
    <row r="1048266" s="3545" customFormat="1"/>
    <row r="1048267" s="3545" customFormat="1"/>
    <row r="1048268" s="3545" customFormat="1"/>
    <row r="1048269" s="3545" customFormat="1"/>
    <row r="1048270" s="3545" customFormat="1"/>
    <row r="1048271" s="3545" customFormat="1"/>
    <row r="1048272" s="3545" customFormat="1"/>
    <row r="1048273" s="3545" customFormat="1"/>
    <row r="1048274" s="3545" customFormat="1"/>
    <row r="1048275" s="3545" customFormat="1"/>
    <row r="1048276" s="3545" customFormat="1"/>
    <row r="1048277" s="3545" customFormat="1"/>
    <row r="1048278" s="3545" customFormat="1"/>
    <row r="1048279" s="3545" customFormat="1"/>
    <row r="1048280" s="3545" customFormat="1"/>
    <row r="1048281" s="3545" customFormat="1"/>
    <row r="1048282" s="3545" customFormat="1"/>
    <row r="1048283" s="3545" customFormat="1"/>
    <row r="1048284" s="3545" customFormat="1"/>
    <row r="1048285" s="3545" customFormat="1"/>
    <row r="1048286" s="3545" customFormat="1"/>
    <row r="1048287" s="3545" customFormat="1"/>
    <row r="1048288" s="3545" customFormat="1"/>
    <row r="1048289" s="3545" customFormat="1"/>
    <row r="1048290" s="3545" customFormat="1"/>
    <row r="1048291" s="3545" customFormat="1"/>
    <row r="1048292" s="3545" customFormat="1"/>
    <row r="1048293" s="3545" customFormat="1"/>
    <row r="1048294" s="3545" customFormat="1"/>
    <row r="1048295" s="3545" customFormat="1"/>
    <row r="1048296" s="3545" customFormat="1"/>
    <row r="1048297" s="3545" customFormat="1"/>
    <row r="1048298" s="3545" customFormat="1"/>
    <row r="1048299" s="3545" customFormat="1"/>
    <row r="1048300" s="3545" customFormat="1"/>
    <row r="1048301" s="3545" customFormat="1"/>
    <row r="1048302" s="3545" customFormat="1"/>
    <row r="1048303" s="3545" customFormat="1"/>
    <row r="1048304" s="3545" customFormat="1"/>
    <row r="1048305" s="3545" customFormat="1"/>
    <row r="1048306" s="3545" customFormat="1"/>
    <row r="1048307" s="3545" customFormat="1"/>
    <row r="1048308" s="3545" customFormat="1"/>
    <row r="1048309" s="3545" customFormat="1"/>
    <row r="1048310" s="3545" customFormat="1"/>
    <row r="1048311" s="3545" customFormat="1"/>
    <row r="1048312" s="3545" customFormat="1"/>
    <row r="1048313" s="3545" customFormat="1"/>
    <row r="1048314" s="3545" customFormat="1"/>
    <row r="1048315" s="3545" customFormat="1"/>
    <row r="1048316" s="3545" customFormat="1"/>
    <row r="1048317" s="3545" customFormat="1"/>
    <row r="1048318" s="3545" customFormat="1"/>
    <row r="1048319" s="3545" customFormat="1"/>
    <row r="1048320" s="3545" customFormat="1"/>
    <row r="1048321" s="3545" customFormat="1"/>
    <row r="1048322" s="3545" customFormat="1"/>
    <row r="1048323" s="3545" customFormat="1"/>
    <row r="1048324" s="3545" customFormat="1"/>
    <row r="1048325" s="3545" customFormat="1"/>
    <row r="1048326" s="3545" customFormat="1"/>
    <row r="1048327" s="3545" customFormat="1"/>
    <row r="1048328" s="3545" customFormat="1"/>
    <row r="1048329" s="3545" customFormat="1"/>
    <row r="1048330" s="3545" customFormat="1"/>
    <row r="1048331" s="3545" customFormat="1"/>
    <row r="1048332" s="3545" customFormat="1"/>
    <row r="1048333" s="3545" customFormat="1"/>
    <row r="1048334" s="3545" customFormat="1"/>
    <row r="1048335" s="3545" customFormat="1"/>
    <row r="1048336" s="3545" customFormat="1"/>
    <row r="1048337" s="3545" customFormat="1"/>
    <row r="1048338" s="3545" customFormat="1"/>
    <row r="1048339" s="3545" customFormat="1"/>
    <row r="1048340" s="3545" customFormat="1"/>
    <row r="1048341" s="3545" customFormat="1"/>
    <row r="1048342" s="3545" customFormat="1"/>
    <row r="1048343" s="3545" customFormat="1"/>
    <row r="1048344" s="3545" customFormat="1"/>
    <row r="1048345" s="3545" customFormat="1"/>
    <row r="1048346" s="3545" customFormat="1"/>
    <row r="1048347" s="3545" customFormat="1"/>
    <row r="1048348" s="3545" customFormat="1"/>
    <row r="1048349" s="3545" customFormat="1"/>
    <row r="1048350" s="3545" customFormat="1"/>
    <row r="1048351" s="3545" customFormat="1"/>
    <row r="1048352" s="3545" customFormat="1"/>
    <row r="1048353" s="3545" customFormat="1"/>
    <row r="1048354" s="3545" customFormat="1"/>
    <row r="1048355" s="3545" customFormat="1"/>
    <row r="1048356" s="3545" customFormat="1"/>
    <row r="1048357" s="3545" customFormat="1"/>
    <row r="1048358" s="3545" customFormat="1"/>
    <row r="1048359" s="3545" customFormat="1"/>
    <row r="1048360" s="3545" customFormat="1"/>
    <row r="1048361" s="3545" customFormat="1"/>
    <row r="1048362" s="3545" customFormat="1"/>
    <row r="1048363" s="3545" customFormat="1"/>
    <row r="1048364" s="3545" customFormat="1"/>
    <row r="1048365" s="3545" customFormat="1"/>
    <row r="1048366" s="3545" customFormat="1"/>
    <row r="1048367" s="3545" customFormat="1"/>
    <row r="1048368" s="3545" customFormat="1"/>
    <row r="1048369" s="3545" customFormat="1"/>
    <row r="1048370" s="3545" customFormat="1"/>
    <row r="1048371" s="3545" customFormat="1"/>
    <row r="1048372" s="3545" customFormat="1"/>
    <row r="1048373" s="3545" customFormat="1"/>
    <row r="1048374" s="3545" customFormat="1"/>
    <row r="1048375" s="3545" customFormat="1"/>
    <row r="1048376" s="3545" customFormat="1"/>
    <row r="1048377" s="3545" customFormat="1"/>
    <row r="1048378" s="3545" customFormat="1"/>
    <row r="1048379" s="3545" customFormat="1"/>
    <row r="1048380" s="3545" customFormat="1"/>
    <row r="1048381" s="3545" customFormat="1"/>
    <row r="1048382" s="3545" customFormat="1"/>
    <row r="1048383" s="3545" customFormat="1"/>
    <row r="1048384" s="3545" customFormat="1"/>
    <row r="1048385" s="3545" customFormat="1"/>
    <row r="1048386" s="3545" customFormat="1"/>
    <row r="1048387" s="3545" customFormat="1"/>
    <row r="1048388" s="3545" customFormat="1"/>
    <row r="1048389" s="3545" customFormat="1"/>
    <row r="1048390" s="3545" customFormat="1"/>
    <row r="1048391" s="3545" customFormat="1"/>
    <row r="1048392" s="3545" customFormat="1"/>
    <row r="1048393" s="3545" customFormat="1"/>
    <row r="1048394" s="3545" customFormat="1"/>
    <row r="1048395" s="3545" customFormat="1"/>
    <row r="1048396" s="3545" customFormat="1"/>
    <row r="1048397" s="3545" customFormat="1"/>
    <row r="1048398" s="3545" customFormat="1"/>
    <row r="1048399" s="3545" customFormat="1"/>
    <row r="1048400" s="3545" customFormat="1"/>
    <row r="1048401" s="3545" customFormat="1"/>
    <row r="1048402" s="3545" customFormat="1"/>
    <row r="1048403" s="3545" customFormat="1"/>
    <row r="1048404" s="3545" customFormat="1"/>
    <row r="1048405" s="3545" customFormat="1"/>
    <row r="1048406" s="3545" customFormat="1"/>
    <row r="1048407" s="3545" customFormat="1"/>
    <row r="1048408" s="3545" customFormat="1"/>
    <row r="1048409" s="3545" customFormat="1"/>
    <row r="1048410" s="3545" customFormat="1"/>
    <row r="1048411" s="3545" customFormat="1"/>
    <row r="1048412" s="3545" customFormat="1"/>
    <row r="1048413" s="3545" customFormat="1"/>
    <row r="1048414" s="3545" customFormat="1"/>
    <row r="1048415" s="3545" customFormat="1"/>
    <row r="1048416" s="3545" customFormat="1"/>
    <row r="1048417" s="3545" customFormat="1"/>
    <row r="1048418" s="3545" customFormat="1"/>
    <row r="1048419" s="3545" customFormat="1"/>
    <row r="1048420" s="3545" customFormat="1"/>
    <row r="1048421" s="3545" customFormat="1"/>
    <row r="1048422" s="3545" customFormat="1"/>
    <row r="1048423" s="3545" customFormat="1"/>
    <row r="1048424" s="3545" customFormat="1"/>
    <row r="1048425" s="3545" customFormat="1"/>
    <row r="1048426" s="3545" customFormat="1"/>
    <row r="1048427" s="3545" customFormat="1"/>
    <row r="1048428" s="3545" customFormat="1"/>
    <row r="1048429" s="3545" customFormat="1"/>
    <row r="1048430" s="3545" customFormat="1"/>
    <row r="1048431" s="3545" customFormat="1"/>
    <row r="1048432" s="3545" customFormat="1"/>
    <row r="1048433" s="3545" customFormat="1"/>
    <row r="1048434" s="3545" customFormat="1"/>
    <row r="1048435" s="3545" customFormat="1"/>
    <row r="1048436" s="3545" customFormat="1"/>
    <row r="1048437" s="3545" customFormat="1"/>
    <row r="1048438" s="3545" customFormat="1"/>
    <row r="1048439" s="3545" customFormat="1"/>
    <row r="1048440" s="3545" customFormat="1"/>
    <row r="1048441" s="3545" customFormat="1"/>
    <row r="1048442" s="3545" customFormat="1"/>
    <row r="1048443" s="3545" customFormat="1"/>
    <row r="1048444" s="3545" customFormat="1"/>
    <row r="1048445" s="3545" customFormat="1"/>
    <row r="1048446" s="3545" customFormat="1"/>
    <row r="1048447" s="3545" customFormat="1"/>
    <row r="1048448" s="3545" customFormat="1"/>
    <row r="1048449" s="3545" customFormat="1"/>
    <row r="1048450" s="3545" customFormat="1"/>
    <row r="1048451" s="3545" customFormat="1"/>
    <row r="1048452" s="3545" customFormat="1"/>
    <row r="1048453" s="3545" customFormat="1"/>
    <row r="1048454" s="3545" customFormat="1"/>
    <row r="1048455" s="3545" customFormat="1"/>
    <row r="1048456" s="3545" customFormat="1"/>
    <row r="1048457" s="3545" customFormat="1"/>
    <row r="1048458" s="3545" customFormat="1"/>
    <row r="1048459" s="3545" customFormat="1"/>
    <row r="1048460" s="3545" customFormat="1"/>
    <row r="1048461" s="3545" customFormat="1"/>
    <row r="1048462" s="3545" customFormat="1"/>
    <row r="1048463" s="3545" customFormat="1"/>
    <row r="1048464" s="3545" customFormat="1"/>
    <row r="1048465" s="3545" customFormat="1"/>
    <row r="1048466" s="3545" customFormat="1"/>
    <row r="1048467" s="3545" customFormat="1"/>
    <row r="1048468" s="3545" customFormat="1"/>
    <row r="1048469" s="3545" customFormat="1"/>
    <row r="1048470" s="3545" customFormat="1"/>
    <row r="1048471" s="3545" customFormat="1"/>
    <row r="1048472" s="3545" customFormat="1"/>
    <row r="1048473" s="3545" customFormat="1"/>
    <row r="1048474" s="3545" customFormat="1"/>
    <row r="1048475" s="3545" customFormat="1"/>
    <row r="1048476" s="3545" customFormat="1"/>
    <row r="1048477" s="3545" customFormat="1"/>
    <row r="1048478" s="3545" customFormat="1"/>
    <row r="1048479" s="3545" customFormat="1"/>
    <row r="1048480" s="3545" customFormat="1"/>
    <row r="1048481" s="3545" customFormat="1"/>
    <row r="1048482" s="3545" customFormat="1"/>
    <row r="1048483" s="3545" customFormat="1"/>
    <row r="1048484" s="3545" customFormat="1"/>
    <row r="1048485" s="3545" customFormat="1"/>
    <row r="1048486" s="3545" customFormat="1"/>
    <row r="1048487" s="3545" customFormat="1"/>
    <row r="1048488" s="3545" customFormat="1"/>
    <row r="1048489" s="3545" customFormat="1"/>
    <row r="1048490" s="3545" customFormat="1"/>
    <row r="1048491" s="3545" customFormat="1"/>
    <row r="1048492" s="3545" customFormat="1"/>
    <row r="1048493" s="3545" customFormat="1"/>
    <row r="1048494" s="3545" customFormat="1"/>
    <row r="1048495" s="3545" customFormat="1"/>
    <row r="1048496" s="3545" customFormat="1"/>
    <row r="1048497" s="3545" customFormat="1"/>
    <row r="1048498" s="3545" customFormat="1"/>
    <row r="1048499" s="3545" customFormat="1"/>
    <row r="1048500" s="3545" customFormat="1"/>
    <row r="1048501" s="3545" customFormat="1"/>
    <row r="1048502" s="3545" customFormat="1"/>
    <row r="1048503" s="3545" customFormat="1"/>
    <row r="1048504" s="3545" customFormat="1"/>
    <row r="1048505" s="3545" customFormat="1"/>
    <row r="1048506" s="3545" customFormat="1"/>
    <row r="1048507" s="3545" customFormat="1"/>
    <row r="1048508" s="3545" customFormat="1"/>
    <row r="1048509" s="3545" customFormat="1"/>
    <row r="1048510" s="3545" customFormat="1"/>
    <row r="1048511" s="3545" customFormat="1"/>
    <row r="1048512" s="3545" customFormat="1"/>
    <row r="1048513" s="3545" customFormat="1"/>
    <row r="1048514" s="3545" customFormat="1"/>
    <row r="1048515" s="3545" customFormat="1"/>
    <row r="1048516" s="3545" customFormat="1"/>
    <row r="1048517" s="3545" customFormat="1"/>
    <row r="1048518" s="3545" customFormat="1"/>
    <row r="1048519" s="3545" customFormat="1"/>
    <row r="1048520" s="3545" customFormat="1"/>
    <row r="1048521" s="3545" customFormat="1"/>
    <row r="1048522" s="3545" customFormat="1"/>
    <row r="1048523" s="3545" customFormat="1"/>
    <row r="1048524" s="3545" customFormat="1"/>
    <row r="1048525" s="3545" customFormat="1"/>
    <row r="1048526" s="3545" customFormat="1"/>
    <row r="1048527" s="3545" customFormat="1"/>
    <row r="1048528" s="3545" customFormat="1"/>
    <row r="1048529" s="3545" customFormat="1"/>
    <row r="1048530" s="3545" customFormat="1"/>
    <row r="1048531" s="3545" customFormat="1"/>
    <row r="1048532" s="3545" customFormat="1"/>
    <row r="1048533" s="3545" customFormat="1"/>
    <row r="1048534" s="3545" customFormat="1"/>
    <row r="1048535" s="3545" customFormat="1"/>
    <row r="1048536" s="3545" customFormat="1"/>
    <row r="1048537" s="3545" customFormat="1"/>
    <row r="1048538" s="3545" customFormat="1"/>
    <row r="1048539" s="3545" customFormat="1"/>
    <row r="1048540" s="3545" customFormat="1"/>
    <row r="1048541" s="3545" customFormat="1"/>
    <row r="1048542" s="3545" customFormat="1"/>
    <row r="1048543" s="3545" customFormat="1"/>
    <row r="1048544" s="3545" customFormat="1"/>
    <row r="1048545" s="3545" customFormat="1"/>
    <row r="1048546" s="3545" customFormat="1"/>
    <row r="1048547" s="3545" customFormat="1"/>
    <row r="1048548" s="3545" customFormat="1"/>
    <row r="1048549" s="3545" customFormat="1"/>
    <row r="1048550" s="3545" customFormat="1"/>
    <row r="1048551" s="3545" customFormat="1"/>
    <row r="1048552" s="3545" customFormat="1"/>
    <row r="1048553" s="3545" customFormat="1"/>
    <row r="1048554" s="3545" customFormat="1"/>
    <row r="1048555" s="3545" customFormat="1"/>
    <row r="1048556" s="3545" customFormat="1"/>
    <row r="1048557" s="3545" customFormat="1"/>
    <row r="1048558" s="3545" customFormat="1"/>
    <row r="1048559" s="3545" customFormat="1"/>
    <row r="1048560" s="3545" customFormat="1"/>
    <row r="1048561" s="3545" customFormat="1"/>
    <row r="1048562" s="3545" customFormat="1"/>
    <row r="1048563" s="3545" customFormat="1"/>
    <row r="1048564" s="3545" customFormat="1"/>
    <row r="1048565" s="3545" customFormat="1"/>
    <row r="1048566" s="3545" customFormat="1"/>
    <row r="1048567" s="3545" customFormat="1"/>
    <row r="1048568" s="3545" customFormat="1"/>
    <row r="1048569" s="3545" customFormat="1"/>
    <row r="1048570" s="3545" customFormat="1"/>
    <row r="1048571" s="3545" customFormat="1"/>
    <row r="1048572" s="3545" customFormat="1"/>
    <row r="1048573" s="3545" customFormat="1"/>
    <row r="1048574" s="3545" customFormat="1"/>
    <row r="1048575" s="3545" customFormat="1"/>
    <row r="1048576" s="3545" customFormat="1"/>
  </sheetData>
  <mergeCells count="969">
    <mergeCell ref="E121:E123"/>
    <mergeCell ref="E126:E128"/>
    <mergeCell ref="C129:C132"/>
    <mergeCell ref="C133:C136"/>
    <mergeCell ref="C138:C141"/>
    <mergeCell ref="C146:C147"/>
    <mergeCell ref="C151:C153"/>
    <mergeCell ref="D133:D136"/>
    <mergeCell ref="D138:D141"/>
    <mergeCell ref="D146:D147"/>
    <mergeCell ref="D151:D153"/>
    <mergeCell ref="H3:P3"/>
    <mergeCell ref="Q3:T3"/>
    <mergeCell ref="H69:K69"/>
    <mergeCell ref="H100:J100"/>
    <mergeCell ref="H137:J137"/>
    <mergeCell ref="H148:J148"/>
    <mergeCell ref="A112:A116"/>
    <mergeCell ref="A121:A125"/>
    <mergeCell ref="A126:A128"/>
    <mergeCell ref="A129:A132"/>
    <mergeCell ref="A133:A137"/>
    <mergeCell ref="C3:G3"/>
    <mergeCell ref="C112:C115"/>
    <mergeCell ref="C117:C118"/>
    <mergeCell ref="C121:C123"/>
    <mergeCell ref="C126:C128"/>
    <mergeCell ref="A74:A77"/>
    <mergeCell ref="A78:A85"/>
    <mergeCell ref="A86:A94"/>
    <mergeCell ref="A95:A98"/>
    <mergeCell ref="A99:A102"/>
    <mergeCell ref="A103:A108"/>
    <mergeCell ref="A36:A40"/>
    <mergeCell ref="A41:A51"/>
    <mergeCell ref="A52:A55"/>
    <mergeCell ref="A56:A64"/>
    <mergeCell ref="A65:A69"/>
    <mergeCell ref="A70:A73"/>
    <mergeCell ref="A170:A172"/>
    <mergeCell ref="A173:A186"/>
    <mergeCell ref="A187:A189"/>
    <mergeCell ref="H465:J465"/>
    <mergeCell ref="A3:A5"/>
    <mergeCell ref="A6:A11"/>
    <mergeCell ref="A12:A15"/>
    <mergeCell ref="A16:A20"/>
    <mergeCell ref="A21:A29"/>
    <mergeCell ref="A30:A35"/>
    <mergeCell ref="A138:A145"/>
    <mergeCell ref="A146:A150"/>
    <mergeCell ref="A151:A155"/>
    <mergeCell ref="A156:A161"/>
    <mergeCell ref="A162:A165"/>
    <mergeCell ref="A166:A169"/>
    <mergeCell ref="A297:A302"/>
    <mergeCell ref="A190:A195"/>
    <mergeCell ref="A196:A201"/>
    <mergeCell ref="A202:A212"/>
    <mergeCell ref="A213:A216"/>
    <mergeCell ref="A217:A220"/>
    <mergeCell ref="A221:A226"/>
    <mergeCell ref="A227:A230"/>
    <mergeCell ref="A231:A234"/>
    <mergeCell ref="A235:A241"/>
    <mergeCell ref="A340:A344"/>
    <mergeCell ref="A345:A346"/>
    <mergeCell ref="A242:A244"/>
    <mergeCell ref="A245:A250"/>
    <mergeCell ref="A252:A257"/>
    <mergeCell ref="A258:A264"/>
    <mergeCell ref="A265:A279"/>
    <mergeCell ref="A280:A287"/>
    <mergeCell ref="A288:A291"/>
    <mergeCell ref="A292:A296"/>
    <mergeCell ref="A380:A383"/>
    <mergeCell ref="A384:A386"/>
    <mergeCell ref="A387:A390"/>
    <mergeCell ref="A303:A309"/>
    <mergeCell ref="A310:A313"/>
    <mergeCell ref="A314:A320"/>
    <mergeCell ref="A321:A323"/>
    <mergeCell ref="A324:A328"/>
    <mergeCell ref="A330:A333"/>
    <mergeCell ref="A334:A339"/>
    <mergeCell ref="A347:A351"/>
    <mergeCell ref="A352:A356"/>
    <mergeCell ref="A357:A359"/>
    <mergeCell ref="A360:A364"/>
    <mergeCell ref="A365:A369"/>
    <mergeCell ref="A370:A379"/>
    <mergeCell ref="A472:A478"/>
    <mergeCell ref="A479:A481"/>
    <mergeCell ref="A482:A486"/>
    <mergeCell ref="A488:A490"/>
    <mergeCell ref="A491:A495"/>
    <mergeCell ref="A391:A397"/>
    <mergeCell ref="A398:A406"/>
    <mergeCell ref="A407:A415"/>
    <mergeCell ref="A416:A419"/>
    <mergeCell ref="A420:A425"/>
    <mergeCell ref="B95:B98"/>
    <mergeCell ref="B99:B102"/>
    <mergeCell ref="A457:A459"/>
    <mergeCell ref="A460:A461"/>
    <mergeCell ref="A463:A468"/>
    <mergeCell ref="A469:A471"/>
    <mergeCell ref="A426:A438"/>
    <mergeCell ref="A439:A441"/>
    <mergeCell ref="A442:A447"/>
    <mergeCell ref="A448:A455"/>
    <mergeCell ref="B56:B64"/>
    <mergeCell ref="B65:B69"/>
    <mergeCell ref="B70:B73"/>
    <mergeCell ref="B74:B77"/>
    <mergeCell ref="B78:B85"/>
    <mergeCell ref="B86:B94"/>
    <mergeCell ref="A526:A528"/>
    <mergeCell ref="A529:A531"/>
    <mergeCell ref="B6:B11"/>
    <mergeCell ref="B12:B15"/>
    <mergeCell ref="B16:B20"/>
    <mergeCell ref="B21:B29"/>
    <mergeCell ref="B30:B35"/>
    <mergeCell ref="B36:B40"/>
    <mergeCell ref="B41:B51"/>
    <mergeCell ref="B52:B55"/>
    <mergeCell ref="A496:A501"/>
    <mergeCell ref="A502:A507"/>
    <mergeCell ref="A508:A511"/>
    <mergeCell ref="A512:A515"/>
    <mergeCell ref="A516:A520"/>
    <mergeCell ref="A521:A525"/>
    <mergeCell ref="B196:B201"/>
    <mergeCell ref="B103:B108"/>
    <mergeCell ref="B112:B116"/>
    <mergeCell ref="B117:B120"/>
    <mergeCell ref="B121:B125"/>
    <mergeCell ref="B126:B128"/>
    <mergeCell ref="B129:B132"/>
    <mergeCell ref="B133:B137"/>
    <mergeCell ref="B138:B145"/>
    <mergeCell ref="B146:B150"/>
    <mergeCell ref="B242:B244"/>
    <mergeCell ref="B245:B250"/>
    <mergeCell ref="B151:B155"/>
    <mergeCell ref="B156:B161"/>
    <mergeCell ref="B162:B165"/>
    <mergeCell ref="B166:B169"/>
    <mergeCell ref="B170:B172"/>
    <mergeCell ref="B173:B186"/>
    <mergeCell ref="B187:B189"/>
    <mergeCell ref="B190:B195"/>
    <mergeCell ref="B297:B302"/>
    <mergeCell ref="B303:B309"/>
    <mergeCell ref="B310:B313"/>
    <mergeCell ref="B202:B212"/>
    <mergeCell ref="B213:B216"/>
    <mergeCell ref="B217:B220"/>
    <mergeCell ref="B221:B226"/>
    <mergeCell ref="B227:B230"/>
    <mergeCell ref="B231:B234"/>
    <mergeCell ref="B235:B241"/>
    <mergeCell ref="B252:B257"/>
    <mergeCell ref="B258:B264"/>
    <mergeCell ref="B265:B279"/>
    <mergeCell ref="B280:B287"/>
    <mergeCell ref="B288:B291"/>
    <mergeCell ref="B292:B296"/>
    <mergeCell ref="B398:B406"/>
    <mergeCell ref="B314:B320"/>
    <mergeCell ref="B321:B323"/>
    <mergeCell ref="B324:B328"/>
    <mergeCell ref="B330:B333"/>
    <mergeCell ref="B334:B339"/>
    <mergeCell ref="B340:B344"/>
    <mergeCell ref="B345:B346"/>
    <mergeCell ref="B347:B351"/>
    <mergeCell ref="B352:B356"/>
    <mergeCell ref="B365:B369"/>
    <mergeCell ref="B370:B379"/>
    <mergeCell ref="B380:B383"/>
    <mergeCell ref="B384:B386"/>
    <mergeCell ref="B387:B390"/>
    <mergeCell ref="B391:B397"/>
    <mergeCell ref="B491:B495"/>
    <mergeCell ref="B496:B501"/>
    <mergeCell ref="B502:B507"/>
    <mergeCell ref="B407:B415"/>
    <mergeCell ref="B416:B419"/>
    <mergeCell ref="B420:B425"/>
    <mergeCell ref="B426:B438"/>
    <mergeCell ref="B439:B441"/>
    <mergeCell ref="B442:B447"/>
    <mergeCell ref="B448:B455"/>
    <mergeCell ref="C86:C90"/>
    <mergeCell ref="C95:C98"/>
    <mergeCell ref="C99:C102"/>
    <mergeCell ref="C103:C108"/>
    <mergeCell ref="B463:B468"/>
    <mergeCell ref="B469:B471"/>
    <mergeCell ref="B457:B459"/>
    <mergeCell ref="B460:B462"/>
    <mergeCell ref="B357:B359"/>
    <mergeCell ref="B360:B364"/>
    <mergeCell ref="C52:C55"/>
    <mergeCell ref="C56:C58"/>
    <mergeCell ref="C65:C69"/>
    <mergeCell ref="C70:C73"/>
    <mergeCell ref="C74:C77"/>
    <mergeCell ref="C78:C80"/>
    <mergeCell ref="B526:B528"/>
    <mergeCell ref="B529:B531"/>
    <mergeCell ref="C4:C5"/>
    <mergeCell ref="C6:C11"/>
    <mergeCell ref="C12:C15"/>
    <mergeCell ref="C16:C20"/>
    <mergeCell ref="C21:C28"/>
    <mergeCell ref="C30:C35"/>
    <mergeCell ref="C36:C40"/>
    <mergeCell ref="C41:C43"/>
    <mergeCell ref="C178:C179"/>
    <mergeCell ref="C181:C182"/>
    <mergeCell ref="B508:B511"/>
    <mergeCell ref="B512:B515"/>
    <mergeCell ref="B516:B520"/>
    <mergeCell ref="B521:B525"/>
    <mergeCell ref="B472:B478"/>
    <mergeCell ref="B479:B481"/>
    <mergeCell ref="B482:B486"/>
    <mergeCell ref="B488:B490"/>
    <mergeCell ref="C213:C216"/>
    <mergeCell ref="C217:C220"/>
    <mergeCell ref="C221:C223"/>
    <mergeCell ref="C156:C158"/>
    <mergeCell ref="C159:C161"/>
    <mergeCell ref="C162:C165"/>
    <mergeCell ref="C166:C169"/>
    <mergeCell ref="C170:C172"/>
    <mergeCell ref="C173:C175"/>
    <mergeCell ref="C176:C177"/>
    <mergeCell ref="C183:C186"/>
    <mergeCell ref="C187:C189"/>
    <mergeCell ref="C190:C195"/>
    <mergeCell ref="C196:C201"/>
    <mergeCell ref="C202:C207"/>
    <mergeCell ref="C209:C211"/>
    <mergeCell ref="C324:C326"/>
    <mergeCell ref="C227:C230"/>
    <mergeCell ref="C231:C234"/>
    <mergeCell ref="C235:C238"/>
    <mergeCell ref="C242:C244"/>
    <mergeCell ref="C245:C247"/>
    <mergeCell ref="C252:C255"/>
    <mergeCell ref="C258:C262"/>
    <mergeCell ref="C265:C267"/>
    <mergeCell ref="C280:C283"/>
    <mergeCell ref="C360:C362"/>
    <mergeCell ref="C365:C368"/>
    <mergeCell ref="C288:C291"/>
    <mergeCell ref="C292:C296"/>
    <mergeCell ref="C297:C302"/>
    <mergeCell ref="C303:C304"/>
    <mergeCell ref="C310:C313"/>
    <mergeCell ref="C314:C316"/>
    <mergeCell ref="C319:C320"/>
    <mergeCell ref="C321:C323"/>
    <mergeCell ref="C394:C395"/>
    <mergeCell ref="C407:C408"/>
    <mergeCell ref="C416:C418"/>
    <mergeCell ref="C330:C333"/>
    <mergeCell ref="C334:C339"/>
    <mergeCell ref="C340:C344"/>
    <mergeCell ref="C345:C346"/>
    <mergeCell ref="C347:C348"/>
    <mergeCell ref="C352:C355"/>
    <mergeCell ref="C357:C359"/>
    <mergeCell ref="C370:C372"/>
    <mergeCell ref="C373:C374"/>
    <mergeCell ref="C380:C383"/>
    <mergeCell ref="C384:C386"/>
    <mergeCell ref="C387:C390"/>
    <mergeCell ref="C391:C392"/>
    <mergeCell ref="C488:C490"/>
    <mergeCell ref="C491:C495"/>
    <mergeCell ref="C496:C501"/>
    <mergeCell ref="C502:C507"/>
    <mergeCell ref="C508:C511"/>
    <mergeCell ref="C420:C423"/>
    <mergeCell ref="C426:C434"/>
    <mergeCell ref="C439:C441"/>
    <mergeCell ref="C442:C444"/>
    <mergeCell ref="C448:C451"/>
    <mergeCell ref="D126:D128"/>
    <mergeCell ref="D129:D132"/>
    <mergeCell ref="C472:C474"/>
    <mergeCell ref="C477:C478"/>
    <mergeCell ref="C479:C480"/>
    <mergeCell ref="C482:C486"/>
    <mergeCell ref="C457:C459"/>
    <mergeCell ref="C460:C461"/>
    <mergeCell ref="C463:C465"/>
    <mergeCell ref="C469:C471"/>
    <mergeCell ref="D78:D80"/>
    <mergeCell ref="D86:D90"/>
    <mergeCell ref="D103:D108"/>
    <mergeCell ref="D112:D115"/>
    <mergeCell ref="D117:D118"/>
    <mergeCell ref="D121:D123"/>
    <mergeCell ref="D41:D43"/>
    <mergeCell ref="D52:D55"/>
    <mergeCell ref="D56:D58"/>
    <mergeCell ref="D65:D69"/>
    <mergeCell ref="D70:D73"/>
    <mergeCell ref="D74:D77"/>
    <mergeCell ref="C512:C515"/>
    <mergeCell ref="C516:C520"/>
    <mergeCell ref="C526:C527"/>
    <mergeCell ref="C529:C530"/>
    <mergeCell ref="D4:D5"/>
    <mergeCell ref="D6:D11"/>
    <mergeCell ref="D12:D15"/>
    <mergeCell ref="D21:D28"/>
    <mergeCell ref="D30:D35"/>
    <mergeCell ref="D36:D40"/>
    <mergeCell ref="D242:D244"/>
    <mergeCell ref="D156:D158"/>
    <mergeCell ref="D159:D161"/>
    <mergeCell ref="D162:D165"/>
    <mergeCell ref="D166:D169"/>
    <mergeCell ref="D170:D172"/>
    <mergeCell ref="D173:D175"/>
    <mergeCell ref="D176:D177"/>
    <mergeCell ref="D178:D179"/>
    <mergeCell ref="D181:D182"/>
    <mergeCell ref="D297:D302"/>
    <mergeCell ref="D303:D304"/>
    <mergeCell ref="D183:D186"/>
    <mergeCell ref="D187:D189"/>
    <mergeCell ref="D190:D195"/>
    <mergeCell ref="D196:D201"/>
    <mergeCell ref="D202:D207"/>
    <mergeCell ref="D221:D223"/>
    <mergeCell ref="D231:D234"/>
    <mergeCell ref="D235:D238"/>
    <mergeCell ref="D340:D344"/>
    <mergeCell ref="D345:D346"/>
    <mergeCell ref="D347:D348"/>
    <mergeCell ref="D245:D247"/>
    <mergeCell ref="D252:D255"/>
    <mergeCell ref="D258:D262"/>
    <mergeCell ref="D265:D267"/>
    <mergeCell ref="D280:D283"/>
    <mergeCell ref="D288:D291"/>
    <mergeCell ref="D292:D296"/>
    <mergeCell ref="D373:D374"/>
    <mergeCell ref="D384:D386"/>
    <mergeCell ref="D387:D390"/>
    <mergeCell ref="D391:D392"/>
    <mergeCell ref="D310:D313"/>
    <mergeCell ref="D314:D316"/>
    <mergeCell ref="D321:D323"/>
    <mergeCell ref="D324:D326"/>
    <mergeCell ref="D330:D333"/>
    <mergeCell ref="D334:D339"/>
    <mergeCell ref="D442:D444"/>
    <mergeCell ref="D448:D451"/>
    <mergeCell ref="D457:D459"/>
    <mergeCell ref="D460:D461"/>
    <mergeCell ref="D463:D465"/>
    <mergeCell ref="D352:D355"/>
    <mergeCell ref="D357:D359"/>
    <mergeCell ref="D360:D362"/>
    <mergeCell ref="D365:D368"/>
    <mergeCell ref="D370:D372"/>
    <mergeCell ref="D479:D480"/>
    <mergeCell ref="D482:D486"/>
    <mergeCell ref="D488:D490"/>
    <mergeCell ref="D491:D494"/>
    <mergeCell ref="D496:D501"/>
    <mergeCell ref="D508:D511"/>
    <mergeCell ref="E103:E108"/>
    <mergeCell ref="E112:E115"/>
    <mergeCell ref="E117:E118"/>
    <mergeCell ref="D469:D471"/>
    <mergeCell ref="D472:D473"/>
    <mergeCell ref="D477:D478"/>
    <mergeCell ref="D394:D395"/>
    <mergeCell ref="D407:D408"/>
    <mergeCell ref="D420:D423"/>
    <mergeCell ref="D426:D434"/>
    <mergeCell ref="E70:E73"/>
    <mergeCell ref="E74:E77"/>
    <mergeCell ref="E78:E80"/>
    <mergeCell ref="E86:E90"/>
    <mergeCell ref="E95:E98"/>
    <mergeCell ref="E99:E102"/>
    <mergeCell ref="E30:E35"/>
    <mergeCell ref="E36:E40"/>
    <mergeCell ref="E41:E43"/>
    <mergeCell ref="E52:E55"/>
    <mergeCell ref="E56:E57"/>
    <mergeCell ref="E65:E69"/>
    <mergeCell ref="E166:E169"/>
    <mergeCell ref="D512:D515"/>
    <mergeCell ref="D516:D520"/>
    <mergeCell ref="D526:D527"/>
    <mergeCell ref="D529:D530"/>
    <mergeCell ref="E4:E5"/>
    <mergeCell ref="E6:E11"/>
    <mergeCell ref="E12:E15"/>
    <mergeCell ref="E16:E20"/>
    <mergeCell ref="E21:E28"/>
    <mergeCell ref="E190:E195"/>
    <mergeCell ref="E196:E201"/>
    <mergeCell ref="E129:E132"/>
    <mergeCell ref="E133:E136"/>
    <mergeCell ref="E138:E141"/>
    <mergeCell ref="E146:E147"/>
    <mergeCell ref="E151:E153"/>
    <mergeCell ref="E156:E158"/>
    <mergeCell ref="E159:E161"/>
    <mergeCell ref="E162:E165"/>
    <mergeCell ref="E231:E234"/>
    <mergeCell ref="E235:E238"/>
    <mergeCell ref="E242:E244"/>
    <mergeCell ref="E170:E172"/>
    <mergeCell ref="E173:E175"/>
    <mergeCell ref="E176:E177"/>
    <mergeCell ref="E178:E179"/>
    <mergeCell ref="E181:E182"/>
    <mergeCell ref="E183:E186"/>
    <mergeCell ref="E187:E189"/>
    <mergeCell ref="E202:E207"/>
    <mergeCell ref="E209:E211"/>
    <mergeCell ref="E213:E216"/>
    <mergeCell ref="E217:E220"/>
    <mergeCell ref="E221:E223"/>
    <mergeCell ref="E227:E230"/>
    <mergeCell ref="E345:E346"/>
    <mergeCell ref="E245:E247"/>
    <mergeCell ref="E252:E255"/>
    <mergeCell ref="E258:E262"/>
    <mergeCell ref="E265:E267"/>
    <mergeCell ref="E280:E283"/>
    <mergeCell ref="E288:E291"/>
    <mergeCell ref="E292:E296"/>
    <mergeCell ref="E297:E302"/>
    <mergeCell ref="E303:E304"/>
    <mergeCell ref="E380:E383"/>
    <mergeCell ref="E384:E386"/>
    <mergeCell ref="E310:E313"/>
    <mergeCell ref="E314:E316"/>
    <mergeCell ref="E319:E320"/>
    <mergeCell ref="E321:E323"/>
    <mergeCell ref="E324:E326"/>
    <mergeCell ref="E330:E333"/>
    <mergeCell ref="E334:E339"/>
    <mergeCell ref="E340:E344"/>
    <mergeCell ref="E426:E434"/>
    <mergeCell ref="E439:E441"/>
    <mergeCell ref="E442:E444"/>
    <mergeCell ref="E347:E348"/>
    <mergeCell ref="E352:E355"/>
    <mergeCell ref="E357:E359"/>
    <mergeCell ref="E360:E362"/>
    <mergeCell ref="E365:E368"/>
    <mergeCell ref="E370:E372"/>
    <mergeCell ref="E373:E374"/>
    <mergeCell ref="E387:E390"/>
    <mergeCell ref="E391:E392"/>
    <mergeCell ref="E394:E395"/>
    <mergeCell ref="E407:E408"/>
    <mergeCell ref="E416:E418"/>
    <mergeCell ref="E420:E423"/>
    <mergeCell ref="E508:E511"/>
    <mergeCell ref="E512:E515"/>
    <mergeCell ref="E516:E520"/>
    <mergeCell ref="E526:E527"/>
    <mergeCell ref="E529:E530"/>
    <mergeCell ref="E448:E451"/>
    <mergeCell ref="E457:E459"/>
    <mergeCell ref="E460:E461"/>
    <mergeCell ref="E463:E465"/>
    <mergeCell ref="E469:E471"/>
    <mergeCell ref="F52:F55"/>
    <mergeCell ref="F56:F58"/>
    <mergeCell ref="E488:E490"/>
    <mergeCell ref="E491:E495"/>
    <mergeCell ref="E496:E501"/>
    <mergeCell ref="E502:E507"/>
    <mergeCell ref="E472:E473"/>
    <mergeCell ref="E477:E478"/>
    <mergeCell ref="E479:E480"/>
    <mergeCell ref="E482:E486"/>
    <mergeCell ref="F99:F102"/>
    <mergeCell ref="F103:F108"/>
    <mergeCell ref="F112:F115"/>
    <mergeCell ref="F4:F5"/>
    <mergeCell ref="F6:F11"/>
    <mergeCell ref="F12:F15"/>
    <mergeCell ref="F21:F28"/>
    <mergeCell ref="F30:F35"/>
    <mergeCell ref="F36:F40"/>
    <mergeCell ref="F41:F43"/>
    <mergeCell ref="F65:F69"/>
    <mergeCell ref="F70:F73"/>
    <mergeCell ref="F74:F77"/>
    <mergeCell ref="F78:F80"/>
    <mergeCell ref="F86:F90"/>
    <mergeCell ref="F95:F98"/>
    <mergeCell ref="F196:F201"/>
    <mergeCell ref="F117:F118"/>
    <mergeCell ref="F121:F123"/>
    <mergeCell ref="F126:F128"/>
    <mergeCell ref="F129:F132"/>
    <mergeCell ref="F133:F136"/>
    <mergeCell ref="F138:F141"/>
    <mergeCell ref="F146:F147"/>
    <mergeCell ref="F151:F153"/>
    <mergeCell ref="F156:F158"/>
    <mergeCell ref="F235:F238"/>
    <mergeCell ref="F242:F244"/>
    <mergeCell ref="F159:F161"/>
    <mergeCell ref="F162:F165"/>
    <mergeCell ref="F166:F169"/>
    <mergeCell ref="F170:F172"/>
    <mergeCell ref="F173:F180"/>
    <mergeCell ref="F183:F186"/>
    <mergeCell ref="F187:F189"/>
    <mergeCell ref="F190:F195"/>
    <mergeCell ref="F292:F296"/>
    <mergeCell ref="F297:F302"/>
    <mergeCell ref="F303:F304"/>
    <mergeCell ref="F202:F207"/>
    <mergeCell ref="F209:F211"/>
    <mergeCell ref="F213:F216"/>
    <mergeCell ref="F217:F220"/>
    <mergeCell ref="F221:F223"/>
    <mergeCell ref="F227:F230"/>
    <mergeCell ref="F231:F234"/>
    <mergeCell ref="F245:F247"/>
    <mergeCell ref="F252:F255"/>
    <mergeCell ref="F258:F262"/>
    <mergeCell ref="F265:F267"/>
    <mergeCell ref="F280:F283"/>
    <mergeCell ref="F288:F291"/>
    <mergeCell ref="F384:F386"/>
    <mergeCell ref="F310:F313"/>
    <mergeCell ref="F314:F316"/>
    <mergeCell ref="F319:F320"/>
    <mergeCell ref="F321:F323"/>
    <mergeCell ref="F324:F326"/>
    <mergeCell ref="F330:F333"/>
    <mergeCell ref="F334:F339"/>
    <mergeCell ref="F340:F344"/>
    <mergeCell ref="F345:F346"/>
    <mergeCell ref="F439:F441"/>
    <mergeCell ref="F442:F444"/>
    <mergeCell ref="F347:F348"/>
    <mergeCell ref="F352:F355"/>
    <mergeCell ref="F357:F359"/>
    <mergeCell ref="F360:F362"/>
    <mergeCell ref="F365:F368"/>
    <mergeCell ref="F370:F372"/>
    <mergeCell ref="F373:F374"/>
    <mergeCell ref="F380:F383"/>
    <mergeCell ref="F391:F392"/>
    <mergeCell ref="F394:F395"/>
    <mergeCell ref="F407:F412"/>
    <mergeCell ref="F416:F418"/>
    <mergeCell ref="F420:F423"/>
    <mergeCell ref="F426:F434"/>
    <mergeCell ref="F512:F515"/>
    <mergeCell ref="F516:F520"/>
    <mergeCell ref="F526:F527"/>
    <mergeCell ref="F529:F530"/>
    <mergeCell ref="F448:F451"/>
    <mergeCell ref="F457:F459"/>
    <mergeCell ref="F460:F461"/>
    <mergeCell ref="F463:F465"/>
    <mergeCell ref="F469:F471"/>
    <mergeCell ref="F472:F473"/>
    <mergeCell ref="G56:G58"/>
    <mergeCell ref="F488:F490"/>
    <mergeCell ref="F491:F495"/>
    <mergeCell ref="F496:F501"/>
    <mergeCell ref="F502:F507"/>
    <mergeCell ref="F508:F511"/>
    <mergeCell ref="F477:F478"/>
    <mergeCell ref="F479:F480"/>
    <mergeCell ref="F482:F486"/>
    <mergeCell ref="F387:F390"/>
    <mergeCell ref="G103:G108"/>
    <mergeCell ref="G112:G115"/>
    <mergeCell ref="G4:G5"/>
    <mergeCell ref="G6:G11"/>
    <mergeCell ref="G12:G15"/>
    <mergeCell ref="G21:G28"/>
    <mergeCell ref="G30:G35"/>
    <mergeCell ref="G36:G40"/>
    <mergeCell ref="G41:G43"/>
    <mergeCell ref="G52:G55"/>
    <mergeCell ref="G146:G147"/>
    <mergeCell ref="G151:G153"/>
    <mergeCell ref="G156:G158"/>
    <mergeCell ref="G65:G69"/>
    <mergeCell ref="G70:G73"/>
    <mergeCell ref="G74:G77"/>
    <mergeCell ref="G78:G80"/>
    <mergeCell ref="G86:G90"/>
    <mergeCell ref="G95:G98"/>
    <mergeCell ref="G99:G102"/>
    <mergeCell ref="G117:G118"/>
    <mergeCell ref="G121:G123"/>
    <mergeCell ref="G126:G128"/>
    <mergeCell ref="G129:G132"/>
    <mergeCell ref="G133:G136"/>
    <mergeCell ref="G138:G141"/>
    <mergeCell ref="G242:G244"/>
    <mergeCell ref="G159:G161"/>
    <mergeCell ref="G162:G165"/>
    <mergeCell ref="G166:G169"/>
    <mergeCell ref="G170:G172"/>
    <mergeCell ref="G173:G180"/>
    <mergeCell ref="G183:G186"/>
    <mergeCell ref="G187:G189"/>
    <mergeCell ref="G190:G195"/>
    <mergeCell ref="G196:G201"/>
    <mergeCell ref="G297:G302"/>
    <mergeCell ref="G303:G304"/>
    <mergeCell ref="G202:G207"/>
    <mergeCell ref="G209:G211"/>
    <mergeCell ref="G213:G216"/>
    <mergeCell ref="G217:G220"/>
    <mergeCell ref="G221:G223"/>
    <mergeCell ref="G227:G230"/>
    <mergeCell ref="G231:G234"/>
    <mergeCell ref="G235:G238"/>
    <mergeCell ref="G334:G339"/>
    <mergeCell ref="G340:G344"/>
    <mergeCell ref="G345:G346"/>
    <mergeCell ref="G245:G247"/>
    <mergeCell ref="G252:G255"/>
    <mergeCell ref="G258:G262"/>
    <mergeCell ref="G265:G267"/>
    <mergeCell ref="G280:G283"/>
    <mergeCell ref="G288:G291"/>
    <mergeCell ref="G292:G296"/>
    <mergeCell ref="G310:G313"/>
    <mergeCell ref="G314:G316"/>
    <mergeCell ref="G319:G320"/>
    <mergeCell ref="G321:G323"/>
    <mergeCell ref="G324:G326"/>
    <mergeCell ref="G330:G333"/>
    <mergeCell ref="G442:G444"/>
    <mergeCell ref="G347:G348"/>
    <mergeCell ref="G352:G355"/>
    <mergeCell ref="G357:G359"/>
    <mergeCell ref="G360:G362"/>
    <mergeCell ref="G365:G368"/>
    <mergeCell ref="G370:G372"/>
    <mergeCell ref="G373:G374"/>
    <mergeCell ref="G380:G383"/>
    <mergeCell ref="G384:G386"/>
    <mergeCell ref="G479:G480"/>
    <mergeCell ref="G482:G486"/>
    <mergeCell ref="G387:G390"/>
    <mergeCell ref="G391:G392"/>
    <mergeCell ref="G394:G395"/>
    <mergeCell ref="G407:G412"/>
    <mergeCell ref="G416:G418"/>
    <mergeCell ref="G420:G423"/>
    <mergeCell ref="G426:G434"/>
    <mergeCell ref="G439:G441"/>
    <mergeCell ref="G516:G520"/>
    <mergeCell ref="G526:G527"/>
    <mergeCell ref="G529:G530"/>
    <mergeCell ref="G448:G451"/>
    <mergeCell ref="G457:G459"/>
    <mergeCell ref="G460:G461"/>
    <mergeCell ref="G463:G465"/>
    <mergeCell ref="G469:G471"/>
    <mergeCell ref="G472:G473"/>
    <mergeCell ref="G477:G478"/>
    <mergeCell ref="G488:G490"/>
    <mergeCell ref="G491:G495"/>
    <mergeCell ref="G496:G501"/>
    <mergeCell ref="G502:G507"/>
    <mergeCell ref="G508:G511"/>
    <mergeCell ref="G512:G515"/>
    <mergeCell ref="H4:H5"/>
    <mergeCell ref="H427:H428"/>
    <mergeCell ref="H429:H430"/>
    <mergeCell ref="H431:H432"/>
    <mergeCell ref="H433:H434"/>
    <mergeCell ref="I4:I5"/>
    <mergeCell ref="I427:I428"/>
    <mergeCell ref="I429:I430"/>
    <mergeCell ref="I431:I432"/>
    <mergeCell ref="I433:I434"/>
    <mergeCell ref="J433:J434"/>
    <mergeCell ref="K4:K5"/>
    <mergeCell ref="K427:K428"/>
    <mergeCell ref="K429:K430"/>
    <mergeCell ref="K431:K432"/>
    <mergeCell ref="K433:K434"/>
    <mergeCell ref="H155:J155"/>
    <mergeCell ref="J4:J5"/>
    <mergeCell ref="J6:J7"/>
    <mergeCell ref="J8:J11"/>
    <mergeCell ref="J427:J428"/>
    <mergeCell ref="J429:J430"/>
    <mergeCell ref="J431:J432"/>
    <mergeCell ref="Q153:Q157"/>
    <mergeCell ref="P4:P5"/>
    <mergeCell ref="P21:P24"/>
    <mergeCell ref="Q4:Q5"/>
    <mergeCell ref="Q26:Q29"/>
    <mergeCell ref="Q41:Q45"/>
    <mergeCell ref="Q46:Q48"/>
    <mergeCell ref="Q61:Q64"/>
    <mergeCell ref="Q83:Q87"/>
    <mergeCell ref="Q91:Q95"/>
    <mergeCell ref="Q205:Q208"/>
    <mergeCell ref="Q215:Q216"/>
    <mergeCell ref="Q100:Q101"/>
    <mergeCell ref="Q108:Q111"/>
    <mergeCell ref="Q120:Q122"/>
    <mergeCell ref="Q123:Q126"/>
    <mergeCell ref="Q128:Q132"/>
    <mergeCell ref="Q136:Q138"/>
    <mergeCell ref="Q144:Q147"/>
    <mergeCell ref="Q148:Q149"/>
    <mergeCell ref="Q288:Q292"/>
    <mergeCell ref="Q297:Q304"/>
    <mergeCell ref="Q312:Q315"/>
    <mergeCell ref="Q161:Q162"/>
    <mergeCell ref="Q166:Q168"/>
    <mergeCell ref="Q171:Q173"/>
    <mergeCell ref="Q174:Q176"/>
    <mergeCell ref="Q185:Q187"/>
    <mergeCell ref="Q188:Q197"/>
    <mergeCell ref="Q198:Q201"/>
    <mergeCell ref="Q370:Q375"/>
    <mergeCell ref="Q376:Q381"/>
    <mergeCell ref="Q382:Q386"/>
    <mergeCell ref="Q394:Q396"/>
    <mergeCell ref="Q221:Q226"/>
    <mergeCell ref="Q247:Q249"/>
    <mergeCell ref="Q264:Q269"/>
    <mergeCell ref="Q271:Q273"/>
    <mergeCell ref="Q274:Q276"/>
    <mergeCell ref="Q281:Q284"/>
    <mergeCell ref="Q441:Q446"/>
    <mergeCell ref="Q448:Q452"/>
    <mergeCell ref="Q458:Q463"/>
    <mergeCell ref="Q471:Q474"/>
    <mergeCell ref="Q477:Q485"/>
    <mergeCell ref="Q335:Q336"/>
    <mergeCell ref="Q349:Q351"/>
    <mergeCell ref="Q356:Q358"/>
    <mergeCell ref="Q359:Q361"/>
    <mergeCell ref="Q365:Q368"/>
    <mergeCell ref="Q527:Q529"/>
    <mergeCell ref="Q533:Q535"/>
    <mergeCell ref="Q539:Q542"/>
    <mergeCell ref="Q544:Q545"/>
    <mergeCell ref="Q549:Q553"/>
    <mergeCell ref="Q554:Q555"/>
    <mergeCell ref="R166:R168"/>
    <mergeCell ref="R171:R173"/>
    <mergeCell ref="R174:R176"/>
    <mergeCell ref="Q496:Q498"/>
    <mergeCell ref="Q510:Q511"/>
    <mergeCell ref="Q524:Q525"/>
    <mergeCell ref="Q400:Q403"/>
    <mergeCell ref="Q408:Q410"/>
    <mergeCell ref="Q413:Q416"/>
    <mergeCell ref="Q418:Q424"/>
    <mergeCell ref="R128:R132"/>
    <mergeCell ref="R136:R138"/>
    <mergeCell ref="R144:R147"/>
    <mergeCell ref="R148:R149"/>
    <mergeCell ref="R153:R157"/>
    <mergeCell ref="R161:R162"/>
    <mergeCell ref="Q152:S152"/>
    <mergeCell ref="R83:R87"/>
    <mergeCell ref="R91:R95"/>
    <mergeCell ref="R100:R101"/>
    <mergeCell ref="R108:R111"/>
    <mergeCell ref="R120:R122"/>
    <mergeCell ref="R123:R126"/>
    <mergeCell ref="R271:R273"/>
    <mergeCell ref="Q565:Q567"/>
    <mergeCell ref="Q589:Q592"/>
    <mergeCell ref="Q603:Q604"/>
    <mergeCell ref="Q606:Q607"/>
    <mergeCell ref="R4:R5"/>
    <mergeCell ref="R26:R29"/>
    <mergeCell ref="R41:R45"/>
    <mergeCell ref="R46:R48"/>
    <mergeCell ref="R61:R64"/>
    <mergeCell ref="R356:R358"/>
    <mergeCell ref="R359:R361"/>
    <mergeCell ref="R185:R187"/>
    <mergeCell ref="R188:R197"/>
    <mergeCell ref="R198:R201"/>
    <mergeCell ref="R205:R208"/>
    <mergeCell ref="R215:R216"/>
    <mergeCell ref="R221:R226"/>
    <mergeCell ref="R247:R249"/>
    <mergeCell ref="R264:R269"/>
    <mergeCell ref="R408:R410"/>
    <mergeCell ref="R413:R416"/>
    <mergeCell ref="R418:R424"/>
    <mergeCell ref="R274:R276"/>
    <mergeCell ref="R281:R284"/>
    <mergeCell ref="R288:R292"/>
    <mergeCell ref="R297:R304"/>
    <mergeCell ref="R312:R315"/>
    <mergeCell ref="R335:R336"/>
    <mergeCell ref="R349:R351"/>
    <mergeCell ref="R365:R368"/>
    <mergeCell ref="R370:R375"/>
    <mergeCell ref="R376:R381"/>
    <mergeCell ref="R382:R386"/>
    <mergeCell ref="R394:R396"/>
    <mergeCell ref="R400:R403"/>
    <mergeCell ref="R554:R555"/>
    <mergeCell ref="R565:R567"/>
    <mergeCell ref="R589:R592"/>
    <mergeCell ref="R603:R604"/>
    <mergeCell ref="R606:R607"/>
    <mergeCell ref="R441:R446"/>
    <mergeCell ref="R448:R452"/>
    <mergeCell ref="R458:R463"/>
    <mergeCell ref="R471:R474"/>
    <mergeCell ref="R477:R485"/>
    <mergeCell ref="S100:S101"/>
    <mergeCell ref="S120:S122"/>
    <mergeCell ref="R533:R535"/>
    <mergeCell ref="R539:R542"/>
    <mergeCell ref="R544:R545"/>
    <mergeCell ref="R549:R553"/>
    <mergeCell ref="R496:R498"/>
    <mergeCell ref="R510:R511"/>
    <mergeCell ref="R524:R525"/>
    <mergeCell ref="R527:R529"/>
    <mergeCell ref="S166:S168"/>
    <mergeCell ref="S171:S173"/>
    <mergeCell ref="S174:S176"/>
    <mergeCell ref="S4:S5"/>
    <mergeCell ref="S26:S29"/>
    <mergeCell ref="S41:S45"/>
    <mergeCell ref="S46:S48"/>
    <mergeCell ref="S61:S64"/>
    <mergeCell ref="S83:S87"/>
    <mergeCell ref="S91:S95"/>
    <mergeCell ref="S123:S126"/>
    <mergeCell ref="S136:S138"/>
    <mergeCell ref="S144:S147"/>
    <mergeCell ref="S148:S149"/>
    <mergeCell ref="S153:S157"/>
    <mergeCell ref="S161:S162"/>
    <mergeCell ref="S365:S368"/>
    <mergeCell ref="S185:S187"/>
    <mergeCell ref="S188:S197"/>
    <mergeCell ref="S198:S201"/>
    <mergeCell ref="S205:S208"/>
    <mergeCell ref="S215:S216"/>
    <mergeCell ref="S221:S226"/>
    <mergeCell ref="S247:S249"/>
    <mergeCell ref="S264:S267"/>
    <mergeCell ref="S271:S273"/>
    <mergeCell ref="S288:S292"/>
    <mergeCell ref="S297:S304"/>
    <mergeCell ref="S335:S336"/>
    <mergeCell ref="S349:S351"/>
    <mergeCell ref="S356:S358"/>
    <mergeCell ref="S359:S361"/>
    <mergeCell ref="S527:S529"/>
    <mergeCell ref="S539:S542"/>
    <mergeCell ref="S544:S545"/>
    <mergeCell ref="S370:S375"/>
    <mergeCell ref="S376:S381"/>
    <mergeCell ref="S382:S386"/>
    <mergeCell ref="S394:S395"/>
    <mergeCell ref="S400:S403"/>
    <mergeCell ref="S408:S410"/>
    <mergeCell ref="S413:S416"/>
    <mergeCell ref="T153:T157"/>
    <mergeCell ref="T161:T162"/>
    <mergeCell ref="T166:T168"/>
    <mergeCell ref="T171:T173"/>
    <mergeCell ref="S448:S452"/>
    <mergeCell ref="S458:S463"/>
    <mergeCell ref="S418:S424"/>
    <mergeCell ref="S441:S442"/>
    <mergeCell ref="S274:S276"/>
    <mergeCell ref="S281:S284"/>
    <mergeCell ref="T120:T122"/>
    <mergeCell ref="T123:T126"/>
    <mergeCell ref="T128:T132"/>
    <mergeCell ref="T136:T138"/>
    <mergeCell ref="T144:T147"/>
    <mergeCell ref="T148:T151"/>
    <mergeCell ref="S603:S604"/>
    <mergeCell ref="S606:S607"/>
    <mergeCell ref="T4:T5"/>
    <mergeCell ref="T26:T29"/>
    <mergeCell ref="T41:T45"/>
    <mergeCell ref="T46:T48"/>
    <mergeCell ref="T61:T64"/>
    <mergeCell ref="T83:T87"/>
    <mergeCell ref="T91:T95"/>
    <mergeCell ref="T100:T101"/>
    <mergeCell ref="T221:T226"/>
    <mergeCell ref="T247:T249"/>
    <mergeCell ref="S549:S553"/>
    <mergeCell ref="S554:S555"/>
    <mergeCell ref="S565:S567"/>
    <mergeCell ref="S589:S592"/>
    <mergeCell ref="S477:S485"/>
    <mergeCell ref="S496:S498"/>
    <mergeCell ref="S510:S511"/>
    <mergeCell ref="S524:S525"/>
    <mergeCell ref="T335:T336"/>
    <mergeCell ref="T349:T351"/>
    <mergeCell ref="T356:T358"/>
    <mergeCell ref="T174:T176"/>
    <mergeCell ref="T177:T179"/>
    <mergeCell ref="T185:T187"/>
    <mergeCell ref="T188:T197"/>
    <mergeCell ref="T198:T201"/>
    <mergeCell ref="T205:T208"/>
    <mergeCell ref="T215:T216"/>
    <mergeCell ref="T264:T267"/>
    <mergeCell ref="T271:T273"/>
    <mergeCell ref="T274:T276"/>
    <mergeCell ref="T281:T284"/>
    <mergeCell ref="T288:T292"/>
    <mergeCell ref="T297:T304"/>
    <mergeCell ref="T524:T525"/>
    <mergeCell ref="T359:T361"/>
    <mergeCell ref="T365:T368"/>
    <mergeCell ref="T370:T375"/>
    <mergeCell ref="T376:T381"/>
    <mergeCell ref="T382:T386"/>
    <mergeCell ref="T394:T395"/>
    <mergeCell ref="T400:T403"/>
    <mergeCell ref="T408:T410"/>
    <mergeCell ref="T413:T416"/>
    <mergeCell ref="T603:T604"/>
    <mergeCell ref="Q150:S151"/>
    <mergeCell ref="T418:T424"/>
    <mergeCell ref="T441:T442"/>
    <mergeCell ref="T448:T452"/>
    <mergeCell ref="T458:T463"/>
    <mergeCell ref="T471:T474"/>
    <mergeCell ref="T477:T485"/>
    <mergeCell ref="T496:T498"/>
    <mergeCell ref="T510:T511"/>
    <mergeCell ref="T539:T541"/>
    <mergeCell ref="T544:T545"/>
    <mergeCell ref="T549:T553"/>
    <mergeCell ref="T554:T555"/>
    <mergeCell ref="T565:T567"/>
    <mergeCell ref="T589:T592"/>
  </mergeCells>
  <phoneticPr fontId="135" type="noConversion"/>
  <pageMargins left="0.75" right="0.75" top="1" bottom="1" header="0.5" footer="0.5"/>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873</v>
      </c>
      <c r="B1" s="663"/>
      <c r="C1" s="1287"/>
      <c r="D1" s="1271" t="s">
        <v>43</v>
      </c>
      <c r="E1" s="1272" t="s">
        <v>674</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874</v>
      </c>
      <c r="B2" s="3124" t="e">
        <f ca="1">ROUND(D2/10000,4)</f>
        <v>#DIV/0!</v>
      </c>
      <c r="C2" s="1289" t="s">
        <v>875</v>
      </c>
      <c r="D2" s="1375" t="e">
        <f ca="1">C40+J29+L46</f>
        <v>#DIV/0!</v>
      </c>
      <c r="E2" s="1295" t="s">
        <v>876</v>
      </c>
      <c r="F2" s="1296"/>
      <c r="G2" s="2479"/>
      <c r="H2" s="2469"/>
      <c r="I2" s="2469"/>
      <c r="J2" s="2469"/>
      <c r="K2" s="2470"/>
      <c r="L2" s="2469"/>
      <c r="M2" s="2469"/>
    </row>
    <row r="3" spans="1:37" ht="18" customHeight="1" thickBot="1">
      <c r="A3" s="1297" t="s">
        <v>877</v>
      </c>
      <c r="B3" s="1298">
        <f ca="1">IF(ISERROR(D2/F43),0,ROUND(D2/F43,0))</f>
        <v>0</v>
      </c>
      <c r="C3" s="1289" t="s">
        <v>878</v>
      </c>
      <c r="D3" s="1289"/>
      <c r="E3" s="1295"/>
      <c r="F3" s="1296"/>
      <c r="G3" s="2479"/>
      <c r="H3" s="649" t="s">
        <v>872</v>
      </c>
      <c r="I3" s="1290"/>
      <c r="J3" s="1290"/>
      <c r="K3" s="1291"/>
      <c r="L3" s="1290"/>
      <c r="M3" s="1290"/>
    </row>
    <row r="4" spans="1:37" ht="18" customHeight="1">
      <c r="A4" s="287" t="s">
        <v>879</v>
      </c>
      <c r="B4" s="288" t="s">
        <v>880</v>
      </c>
      <c r="C4" s="288" t="s">
        <v>881</v>
      </c>
      <c r="D4" s="288" t="s">
        <v>882</v>
      </c>
      <c r="E4" s="289" t="s">
        <v>883</v>
      </c>
      <c r="F4" s="290"/>
      <c r="G4" s="1292"/>
      <c r="H4" s="287" t="s">
        <v>879</v>
      </c>
      <c r="I4" s="288" t="s">
        <v>880</v>
      </c>
      <c r="J4" s="288" t="s">
        <v>881</v>
      </c>
      <c r="K4" s="288" t="s">
        <v>882</v>
      </c>
      <c r="L4" s="289" t="s">
        <v>883</v>
      </c>
      <c r="M4" s="290"/>
    </row>
    <row r="5" spans="1:37" ht="18" customHeight="1">
      <c r="A5" s="291">
        <v>1</v>
      </c>
      <c r="B5" s="292" t="s">
        <v>884</v>
      </c>
      <c r="C5" s="1007">
        <f ca="1">C6+C10+C12</f>
        <v>0</v>
      </c>
      <c r="D5" s="1273" t="s">
        <v>885</v>
      </c>
      <c r="E5" s="1008"/>
      <c r="F5" s="1009"/>
      <c r="G5" s="1292"/>
      <c r="H5" s="291">
        <v>1</v>
      </c>
      <c r="I5" s="292" t="s">
        <v>884</v>
      </c>
      <c r="J5" s="1007">
        <f ca="1">J6+J10+J12</f>
        <v>0</v>
      </c>
      <c r="K5" s="1273" t="s">
        <v>885</v>
      </c>
      <c r="L5" s="1008"/>
      <c r="M5" s="1009"/>
    </row>
    <row r="6" spans="1:37" ht="18" customHeight="1">
      <c r="A6" s="1006" t="s">
        <v>398</v>
      </c>
      <c r="B6" s="3394" t="s">
        <v>690</v>
      </c>
      <c r="C6" s="1011">
        <f ca="1">ROUND(F6*F8*F7*(1-F9),0)</f>
        <v>0</v>
      </c>
      <c r="D6" s="147" t="s">
        <v>2102</v>
      </c>
      <c r="E6" s="294" t="s">
        <v>692</v>
      </c>
      <c r="F6" s="295">
        <f ca="1">INDIRECT("'数据-取费表'!u"&amp;$G$1)</f>
        <v>0</v>
      </c>
      <c r="G6" s="1292"/>
      <c r="H6" s="1006" t="s">
        <v>398</v>
      </c>
      <c r="I6" s="3394" t="s">
        <v>690</v>
      </c>
      <c r="J6" s="293">
        <f ca="1">ROUND(M6*M8*M7*(1-M9),0)</f>
        <v>0</v>
      </c>
      <c r="K6" s="1284" t="s">
        <v>2103</v>
      </c>
      <c r="L6" s="294" t="s">
        <v>692</v>
      </c>
      <c r="M6" s="295">
        <f ca="1">INDIRECT("'数据-取费表'!z"&amp;$G$1)</f>
        <v>0</v>
      </c>
    </row>
    <row r="7" spans="1:37" ht="18" customHeight="1">
      <c r="A7" s="1010"/>
      <c r="B7" s="3395"/>
      <c r="C7" s="1012"/>
      <c r="D7" s="299"/>
      <c r="E7" s="1013" t="s">
        <v>693</v>
      </c>
      <c r="F7" s="295">
        <f ca="1">IF(INDIRECT("'数据-取费表'!ah"&amp;$G$1)="",INDIRECT("'数据-取费表'!k"&amp;$G$1),INDIRECT("'数据-取费表'!ah"&amp;$G$1))</f>
        <v>0</v>
      </c>
      <c r="G7" s="1292"/>
      <c r="H7" s="296"/>
      <c r="I7" s="3395"/>
      <c r="J7" s="298"/>
      <c r="K7" s="299"/>
      <c r="L7" s="294" t="s">
        <v>693</v>
      </c>
      <c r="M7" s="295">
        <f ca="1">F7</f>
        <v>0</v>
      </c>
    </row>
    <row r="8" spans="1:37" ht="18" customHeight="1">
      <c r="A8" s="296"/>
      <c r="B8" s="3395"/>
      <c r="C8" s="298"/>
      <c r="D8" s="299"/>
      <c r="E8" s="294" t="s">
        <v>694</v>
      </c>
      <c r="F8" s="295">
        <f ca="1">INDIRECT("'数据-取费表'!ai"&amp;$G$1)</f>
        <v>0</v>
      </c>
      <c r="G8" s="1292"/>
      <c r="H8" s="296"/>
      <c r="I8" s="3395"/>
      <c r="J8" s="298"/>
      <c r="K8" s="299"/>
      <c r="L8" s="294" t="s">
        <v>694</v>
      </c>
      <c r="M8" s="295">
        <f ca="1">INDIRECT("'数据-取费表'!ai"&amp;$G$1)</f>
        <v>0</v>
      </c>
    </row>
    <row r="9" spans="1:37" ht="18" customHeight="1">
      <c r="A9" s="296"/>
      <c r="B9" s="3396"/>
      <c r="C9" s="298"/>
      <c r="D9" s="299"/>
      <c r="E9" s="294" t="s">
        <v>695</v>
      </c>
      <c r="F9" s="304">
        <f ca="1">INDIRECT("'数据-取费表'!w"&amp;$G$1)</f>
        <v>0</v>
      </c>
      <c r="G9" s="1292"/>
      <c r="H9" s="296"/>
      <c r="I9" s="3396"/>
      <c r="J9" s="298"/>
      <c r="K9" s="299"/>
      <c r="L9" s="305" t="s">
        <v>695</v>
      </c>
      <c r="M9" s="306">
        <f ca="1">INDIRECT("'数据-取费表'!ab"&amp;$G$1)</f>
        <v>0</v>
      </c>
    </row>
    <row r="10" spans="1:37" ht="18" customHeight="1">
      <c r="A10" s="1006" t="s">
        <v>402</v>
      </c>
      <c r="B10" s="1274" t="s">
        <v>696</v>
      </c>
      <c r="C10" s="308">
        <f ca="1">ROUND(IF(F10="押一",C6/12*F11,IF(F10="押二",C6/12*2*F11,IF(F10="押三",C6/12*3*F11,C11*F11))),0)</f>
        <v>0</v>
      </c>
      <c r="D10" s="150" t="s">
        <v>2112</v>
      </c>
      <c r="E10" s="305" t="s">
        <v>697</v>
      </c>
      <c r="F10" s="1053"/>
      <c r="G10" s="1292"/>
      <c r="H10" s="1006" t="s">
        <v>402</v>
      </c>
      <c r="I10" s="1274" t="s">
        <v>696</v>
      </c>
      <c r="J10" s="293">
        <f ca="1">ROUND(IF(M10="押一",J6/12*M11,IF(M10="押二",J6/12*2*M11,IF(M10="押三",J6/12*3*M11,J11*M11))),0)</f>
        <v>0</v>
      </c>
      <c r="K10" s="1285" t="s">
        <v>2114</v>
      </c>
      <c r="L10" s="305" t="s">
        <v>697</v>
      </c>
      <c r="M10" s="1053"/>
    </row>
    <row r="11" spans="1:37" ht="18" customHeight="1">
      <c r="A11" s="300"/>
      <c r="B11" s="1275" t="s">
        <v>886</v>
      </c>
      <c r="C11" s="905"/>
      <c r="D11" s="299"/>
      <c r="E11" s="305" t="s">
        <v>698</v>
      </c>
      <c r="F11" s="306">
        <f ca="1">'数据-取费表'!B39</f>
        <v>1.4999999999999999E-2</v>
      </c>
      <c r="G11" s="1292"/>
      <c r="H11" s="1014"/>
      <c r="I11" s="1275" t="s">
        <v>887</v>
      </c>
      <c r="J11" s="905"/>
      <c r="K11" s="646"/>
      <c r="L11" s="305" t="s">
        <v>698</v>
      </c>
      <c r="M11" s="809">
        <f ca="1">'数据-取费表'!B39</f>
        <v>1.4999999999999999E-2</v>
      </c>
    </row>
    <row r="12" spans="1:37" ht="18" customHeight="1" thickBot="1">
      <c r="A12" s="1020" t="s">
        <v>437</v>
      </c>
      <c r="B12" s="1277" t="s">
        <v>699</v>
      </c>
      <c r="C12" s="1021"/>
      <c r="D12" s="1022"/>
      <c r="E12" s="1027"/>
      <c r="F12" s="1023"/>
      <c r="G12" s="1292"/>
      <c r="H12" s="1020" t="s">
        <v>437</v>
      </c>
      <c r="I12" s="1277" t="s">
        <v>699</v>
      </c>
      <c r="J12" s="1021"/>
      <c r="K12" s="1035"/>
      <c r="L12" s="1027"/>
      <c r="M12" s="1036"/>
    </row>
    <row r="13" spans="1:37" ht="18" customHeight="1" thickTop="1">
      <c r="A13" s="1016">
        <v>2</v>
      </c>
      <c r="B13" s="1017" t="s">
        <v>700</v>
      </c>
      <c r="C13" s="302">
        <f ca="1">ROUND(C29*F13,0)</f>
        <v>0</v>
      </c>
      <c r="D13" s="1018" t="s">
        <v>701</v>
      </c>
      <c r="E13" s="1018" t="s">
        <v>702</v>
      </c>
      <c r="F13" s="1019">
        <f ca="1">INDIRECT("'数据-取费表'!y"&amp;$G$1)</f>
        <v>0</v>
      </c>
      <c r="G13" s="1292"/>
      <c r="H13" s="1016">
        <v>2</v>
      </c>
      <c r="I13" s="1017" t="s">
        <v>700</v>
      </c>
      <c r="J13" s="1005">
        <f ca="1">ROUND(J14*J15,0)</f>
        <v>0</v>
      </c>
      <c r="K13" s="1024" t="s">
        <v>701</v>
      </c>
      <c r="L13" s="1299"/>
      <c r="M13" s="1300"/>
    </row>
    <row r="14" spans="1:37" ht="18" customHeight="1">
      <c r="A14" s="928" t="s">
        <v>397</v>
      </c>
      <c r="B14" s="294" t="s">
        <v>703</v>
      </c>
      <c r="C14" s="310">
        <f ca="1">ROUND(INDIRECT("'数据-取费表'!l"&amp;$G$1)*F43+'数据-取费表'!L14*INDIRECT("'数据-取费表'!S"&amp;$G$1),0)</f>
        <v>0</v>
      </c>
      <c r="D14" s="1257" t="s">
        <v>704</v>
      </c>
      <c r="E14" s="1255"/>
      <c r="F14" s="311"/>
      <c r="G14" s="1292"/>
      <c r="H14" s="928" t="s">
        <v>398</v>
      </c>
      <c r="I14" s="294" t="s">
        <v>705</v>
      </c>
      <c r="J14" s="21">
        <f ca="1">C29</f>
        <v>0</v>
      </c>
      <c r="K14" s="12"/>
      <c r="L14" s="759"/>
      <c r="M14" s="760"/>
    </row>
    <row r="15" spans="1:37" s="1304" customFormat="1" ht="18" customHeight="1" thickBot="1">
      <c r="A15" s="928" t="s">
        <v>399</v>
      </c>
      <c r="B15" s="294" t="s">
        <v>706</v>
      </c>
      <c r="C15" s="21">
        <f ca="1">ROUND(C14*F15,0)</f>
        <v>0</v>
      </c>
      <c r="D15" s="312" t="s">
        <v>707</v>
      </c>
      <c r="E15" s="312" t="s">
        <v>708</v>
      </c>
      <c r="F15" s="313">
        <f>'数据-取费表'!B33</f>
        <v>0.05</v>
      </c>
      <c r="G15" s="1303"/>
      <c r="H15" s="1026" t="s">
        <v>402</v>
      </c>
      <c r="I15" s="1027" t="s">
        <v>702</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676</v>
      </c>
      <c r="B16" s="294" t="s">
        <v>709</v>
      </c>
      <c r="C16" s="21">
        <f ca="1">ROUND(INDIRECT("'数据-取费表'!l"&amp;$G$1)*F43*F16,0)</f>
        <v>0</v>
      </c>
      <c r="D16" s="294" t="s">
        <v>707</v>
      </c>
      <c r="E16" s="294" t="s">
        <v>708</v>
      </c>
      <c r="F16" s="314">
        <f ca="1">IF(INDIRECT("'数据-取费表'!c"&amp;$G$1)="住宅",'数据-取费表'!B34,0)</f>
        <v>0</v>
      </c>
      <c r="G16" s="1292"/>
      <c r="H16" s="1016" t="s">
        <v>393</v>
      </c>
      <c r="I16" s="1017" t="s">
        <v>710</v>
      </c>
      <c r="J16" s="302">
        <f ca="1">ROUND(J17+J22+J23+J24,0)</f>
        <v>0</v>
      </c>
      <c r="K16" s="1024" t="s">
        <v>711</v>
      </c>
      <c r="L16" s="1025"/>
      <c r="M16" s="1009"/>
    </row>
    <row r="17" spans="1:37" s="1304" customFormat="1" ht="18" customHeight="1">
      <c r="A17" s="928" t="s">
        <v>677</v>
      </c>
      <c r="B17" s="294" t="s">
        <v>712</v>
      </c>
      <c r="C17" s="21">
        <f ca="1">ROUND(F17*(F43+INDIRECT("'数据-取费表'!S"&amp;$G$1)),0)</f>
        <v>0</v>
      </c>
      <c r="D17" s="294" t="s">
        <v>713</v>
      </c>
      <c r="E17" s="294" t="s">
        <v>714</v>
      </c>
      <c r="F17" s="23">
        <f>'数据-取费表'!B35</f>
        <v>200</v>
      </c>
      <c r="G17" s="1303"/>
      <c r="H17" s="928" t="s">
        <v>398</v>
      </c>
      <c r="I17" s="294" t="s">
        <v>715</v>
      </c>
      <c r="J17" s="2140">
        <f ca="1">ROUND(IF(AND(项目基本情况!B11="自然人",项目基本情况!B10="北京市"),J6*M17/(1+'数据-取费表'!C42),J18+J19+J20),0)</f>
        <v>0</v>
      </c>
      <c r="K17" s="1257" t="s">
        <v>716</v>
      </c>
      <c r="L17" s="1256" t="s">
        <v>717</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678</v>
      </c>
      <c r="B18" s="294" t="s">
        <v>718</v>
      </c>
      <c r="C18" s="21">
        <f ca="1">ROUND(C14*F18,0)</f>
        <v>0</v>
      </c>
      <c r="D18" s="294" t="s">
        <v>707</v>
      </c>
      <c r="E18" s="294" t="s">
        <v>708</v>
      </c>
      <c r="F18" s="314">
        <f>'数据-取费表'!B36</f>
        <v>0.02</v>
      </c>
      <c r="G18" s="1303"/>
      <c r="H18" s="928" t="s">
        <v>397</v>
      </c>
      <c r="I18" s="294" t="s">
        <v>719</v>
      </c>
      <c r="J18" s="21">
        <f ca="1">ROUND(J6*M18/(1+'数据-取费表'!C42),0)</f>
        <v>0</v>
      </c>
      <c r="K18" s="1256" t="s">
        <v>720</v>
      </c>
      <c r="L18" s="294" t="s">
        <v>708</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721</v>
      </c>
      <c r="C19" s="21">
        <f ca="1">SUM(C14:C18)</f>
        <v>0</v>
      </c>
      <c r="D19" s="123" t="s">
        <v>722</v>
      </c>
      <c r="E19" s="1269"/>
      <c r="F19" s="23"/>
      <c r="G19" s="1292"/>
      <c r="H19" s="928" t="s">
        <v>399</v>
      </c>
      <c r="I19" s="294" t="s">
        <v>723</v>
      </c>
      <c r="J19" s="21">
        <f ca="1">IF(K19="按租金收入计税",ROUND(J6*M19/(1+'数据-取费表'!C42),0),ROUND(C29*M19*0.7,0))</f>
        <v>0</v>
      </c>
      <c r="K19" s="1278" t="s">
        <v>3322</v>
      </c>
      <c r="L19" s="294" t="s">
        <v>708</v>
      </c>
      <c r="M19" s="314">
        <f>IF(K19="按租金收入计税",'数据-取费表'!B51,'数据-取费表'!B50)</f>
        <v>0.12</v>
      </c>
    </row>
    <row r="20" spans="1:37" s="1304" customFormat="1" ht="18" customHeight="1">
      <c r="A20" s="928" t="s">
        <v>402</v>
      </c>
      <c r="B20" s="294" t="s">
        <v>724</v>
      </c>
      <c r="C20" s="21">
        <f ca="1">ROUND(C19*F20,0)</f>
        <v>0</v>
      </c>
      <c r="D20" s="315" t="s">
        <v>725</v>
      </c>
      <c r="E20" s="294" t="s">
        <v>708</v>
      </c>
      <c r="F20" s="314">
        <f>'数据-取费表'!B37</f>
        <v>0.02</v>
      </c>
      <c r="G20" s="1303"/>
      <c r="H20" s="928" t="s">
        <v>676</v>
      </c>
      <c r="I20" s="147" t="s">
        <v>726</v>
      </c>
      <c r="J20" s="22">
        <f ca="1">ROUND(M20*M21,0)</f>
        <v>0</v>
      </c>
      <c r="K20" s="316" t="s">
        <v>727</v>
      </c>
      <c r="L20" s="294" t="s">
        <v>728</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729</v>
      </c>
      <c r="C21" s="21" t="s">
        <v>0</v>
      </c>
      <c r="D21" s="315" t="s">
        <v>730</v>
      </c>
      <c r="E21" s="294" t="s">
        <v>731</v>
      </c>
      <c r="F21" s="314">
        <f>'数据-取费表'!B38</f>
        <v>0.02</v>
      </c>
      <c r="G21" s="1303"/>
      <c r="H21" s="318"/>
      <c r="I21" s="303"/>
      <c r="J21" s="26"/>
      <c r="K21" s="319"/>
      <c r="L21" s="294" t="s">
        <v>732</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679</v>
      </c>
      <c r="B22" s="294" t="s">
        <v>733</v>
      </c>
      <c r="C22" s="21"/>
      <c r="D22" s="123" t="str">
        <f>IF(F23&lt;=1,"单利计息。","复利计息。")&amp;"建造成本、管理费用、销售费用产生的利息。"</f>
        <v>复利计息。建造成本、管理费用、销售费用产生的利息。</v>
      </c>
      <c r="E22" s="1269"/>
      <c r="F22" s="23"/>
      <c r="G22" s="1292"/>
      <c r="H22" s="928" t="s">
        <v>402</v>
      </c>
      <c r="I22" s="294" t="s">
        <v>734</v>
      </c>
      <c r="J22" s="21">
        <f ca="1">ROUND(J14*M22,0)</f>
        <v>0</v>
      </c>
      <c r="K22" s="1256" t="s">
        <v>735</v>
      </c>
      <c r="L22" s="294" t="s">
        <v>708</v>
      </c>
      <c r="M22" s="320">
        <f ca="1">INDIRECT("'数据-取费表'!Ak"&amp;$G$1)</f>
        <v>0</v>
      </c>
    </row>
    <row r="23" spans="1:37" s="1304" customFormat="1" ht="18" customHeight="1">
      <c r="A23" s="928" t="s">
        <v>397</v>
      </c>
      <c r="B23" s="294" t="s">
        <v>736</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737</v>
      </c>
      <c r="F23" s="317">
        <f>'数据-取费表'!B20</f>
        <v>3</v>
      </c>
      <c r="G23" s="1303"/>
      <c r="H23" s="928" t="s">
        <v>437</v>
      </c>
      <c r="I23" s="294" t="s">
        <v>738</v>
      </c>
      <c r="J23" s="21">
        <f ca="1">ROUND(J13*M23,0)</f>
        <v>0</v>
      </c>
      <c r="K23" s="1256" t="s">
        <v>739</v>
      </c>
      <c r="L23" s="294" t="s">
        <v>740</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741</v>
      </c>
      <c r="B24" s="294" t="s">
        <v>742</v>
      </c>
      <c r="C24" s="21">
        <f ca="1">ROUND(IF('数据-取费表'!B22&lt;=1,F21*F24*F23/2,F21*(POWER((1+F24),F23/2)-1)),4)</f>
        <v>8.9999999999999998E-4</v>
      </c>
      <c r="D24" s="138" t="str">
        <f>IF(F23&lt;=1,"销售费用×利率×(建设周期÷2)","销售费用×((1+利率)^(建设周期÷2)-1)")</f>
        <v>销售费用×((1+利率)^(建设周期÷2)-1)</v>
      </c>
      <c r="E24" s="294" t="s">
        <v>743</v>
      </c>
      <c r="F24" s="322">
        <f ca="1">'数据-取费表'!B40</f>
        <v>0.03</v>
      </c>
      <c r="G24" s="1303"/>
      <c r="H24" s="1026" t="s">
        <v>680</v>
      </c>
      <c r="I24" s="1027" t="s">
        <v>724</v>
      </c>
      <c r="J24" s="1028">
        <f ca="1">ROUND(J5*M24,0)</f>
        <v>0</v>
      </c>
      <c r="K24" s="1029" t="s">
        <v>744</v>
      </c>
      <c r="L24" s="1027" t="s">
        <v>740</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745</v>
      </c>
      <c r="B25" s="294" t="s">
        <v>746</v>
      </c>
      <c r="C25" s="21"/>
      <c r="D25" s="123" t="s">
        <v>747</v>
      </c>
      <c r="E25" s="1269"/>
      <c r="F25" s="23"/>
      <c r="G25" s="1292"/>
      <c r="H25" s="1016" t="s">
        <v>394</v>
      </c>
      <c r="I25" s="1031" t="s">
        <v>748</v>
      </c>
      <c r="J25" s="302">
        <f ca="1">J5-J16</f>
        <v>0</v>
      </c>
      <c r="K25" s="1032" t="s">
        <v>749</v>
      </c>
      <c r="L25" s="1033"/>
      <c r="M25" s="1034"/>
    </row>
    <row r="26" spans="1:37" ht="18" customHeight="1">
      <c r="A26" s="928" t="s">
        <v>397</v>
      </c>
      <c r="B26" s="294" t="s">
        <v>750</v>
      </c>
      <c r="C26" s="21">
        <f ca="1">ROUND((C19+C20)*F26,0)</f>
        <v>0</v>
      </c>
      <c r="D26" s="315" t="s">
        <v>751</v>
      </c>
      <c r="E26" s="305" t="s">
        <v>752</v>
      </c>
      <c r="F26" s="304">
        <f ca="1">INDIRECT("'数据-取费表'!q"&amp;$G$1)</f>
        <v>0</v>
      </c>
      <c r="G26" s="1292"/>
      <c r="H26" s="291" t="s">
        <v>395</v>
      </c>
      <c r="I26" s="292" t="s">
        <v>753</v>
      </c>
      <c r="J26" s="293">
        <f ca="1">IF(J5&lt;&gt;0,ROUND(J25*(1-((1+M28)/(1+M26))^M27)/(M26-M28),0),0)</f>
        <v>0</v>
      </c>
      <c r="K26" s="316" t="s">
        <v>754</v>
      </c>
      <c r="L26" s="294" t="s">
        <v>755</v>
      </c>
      <c r="M26" s="304">
        <f ca="1">INDIRECT("'数据-取费表'!I"&amp;$G$1)</f>
        <v>0</v>
      </c>
    </row>
    <row r="27" spans="1:37" ht="18" customHeight="1">
      <c r="A27" s="928" t="s">
        <v>399</v>
      </c>
      <c r="B27" s="294" t="s">
        <v>756</v>
      </c>
      <c r="C27" s="21">
        <f ca="1">ROUND(F21*F26,4)</f>
        <v>0</v>
      </c>
      <c r="D27" s="315" t="s">
        <v>757</v>
      </c>
      <c r="E27" s="312"/>
      <c r="F27" s="313"/>
      <c r="G27" s="1292"/>
      <c r="H27" s="296"/>
      <c r="I27" s="297"/>
      <c r="J27" s="298"/>
      <c r="K27" s="323" t="s">
        <v>758</v>
      </c>
      <c r="L27" s="294" t="s">
        <v>759</v>
      </c>
      <c r="M27" s="324">
        <f ca="1">INDIRECT("'数据-取费表'!ag"&amp;$G$1)</f>
        <v>0</v>
      </c>
    </row>
    <row r="28" spans="1:37" s="1304" customFormat="1" ht="18" customHeight="1">
      <c r="A28" s="928" t="s">
        <v>400</v>
      </c>
      <c r="B28" s="294" t="s">
        <v>760</v>
      </c>
      <c r="C28" s="21">
        <f>ROUND(F28/(1+'数据-取费表'!C42),4)</f>
        <v>5.33E-2</v>
      </c>
      <c r="D28" s="315" t="s">
        <v>761</v>
      </c>
      <c r="E28" s="294" t="s">
        <v>708</v>
      </c>
      <c r="F28" s="314">
        <f>'数据-取费表'!B41</f>
        <v>5.6000000000000001E-2</v>
      </c>
      <c r="G28" s="1303"/>
      <c r="H28" s="300"/>
      <c r="I28" s="301"/>
      <c r="J28" s="302"/>
      <c r="K28" s="319"/>
      <c r="L28" s="294" t="s">
        <v>762</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763</v>
      </c>
      <c r="C29" s="1028">
        <f ca="1">ROUND((C19+C20+C23+C26)/(1-F21-C24-C27-C28),0)</f>
        <v>0</v>
      </c>
      <c r="D29" s="1029"/>
      <c r="E29" s="1027"/>
      <c r="F29" s="1030"/>
      <c r="G29" s="1303"/>
      <c r="H29" s="325" t="s">
        <v>396</v>
      </c>
      <c r="I29" s="326" t="s">
        <v>764</v>
      </c>
      <c r="J29" s="327">
        <f ca="1">ROUND(J26/(1+F40)^F41,0)</f>
        <v>0</v>
      </c>
      <c r="K29" s="328" t="s">
        <v>765</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710</v>
      </c>
      <c r="C30" s="302">
        <f ca="1">ROUND(C31+C36+C37+C38,0)</f>
        <v>0</v>
      </c>
      <c r="D30" s="1024" t="s">
        <v>711</v>
      </c>
      <c r="E30" s="1025"/>
      <c r="F30" s="1009"/>
      <c r="G30" s="1292"/>
      <c r="H30" s="2471"/>
      <c r="I30" s="1305"/>
      <c r="J30" s="1306"/>
      <c r="K30" s="121"/>
      <c r="L30" s="2472"/>
      <c r="M30" s="2473"/>
    </row>
    <row r="31" spans="1:37" ht="18" customHeight="1">
      <c r="A31" s="928" t="s">
        <v>398</v>
      </c>
      <c r="B31" s="294" t="s">
        <v>715</v>
      </c>
      <c r="C31" s="2140">
        <f ca="1">ROUND(IF(AND(项目基本情况!B11="自然人",项目基本情况!B10="北京市"),C6*F31/(1+'数据-取费表'!C42),C32+C33+C34),0)</f>
        <v>0</v>
      </c>
      <c r="D31" s="1257" t="s">
        <v>716</v>
      </c>
      <c r="E31" s="1256" t="s">
        <v>766</v>
      </c>
      <c r="F31" s="2139" t="str">
        <f>IF(项目基本情况!B11="企业","——",IF(M47="住宅",IF(F6*F7*F8/12/(1+'数据-取费表'!F30)&gt;100000,4%,2.5%),IF(F6*F7*F8/12/(1+'数据-取费表'!F30)&gt;100000,12%,7%)))</f>
        <v>——</v>
      </c>
      <c r="G31" s="1292"/>
      <c r="H31" s="2570" t="s">
        <v>2293</v>
      </c>
      <c r="I31" s="1305"/>
      <c r="J31" s="1306"/>
      <c r="K31" s="121"/>
      <c r="L31" s="2472"/>
      <c r="M31" s="2473"/>
    </row>
    <row r="32" spans="1:37" ht="18" customHeight="1">
      <c r="A32" s="928" t="s">
        <v>397</v>
      </c>
      <c r="B32" s="294" t="s">
        <v>719</v>
      </c>
      <c r="C32" s="21">
        <f ca="1">IF(项目基本情况!B11="自然人","——",ROUND(C6*F32/(1+'数据-取费表'!C42),0))</f>
        <v>0</v>
      </c>
      <c r="D32" s="1256" t="s">
        <v>720</v>
      </c>
      <c r="E32" s="294" t="s">
        <v>708</v>
      </c>
      <c r="F32" s="322">
        <f>'数据-取费表'!B41</f>
        <v>5.6000000000000001E-2</v>
      </c>
      <c r="G32" s="1292"/>
      <c r="H32" s="2471"/>
      <c r="I32" s="1305"/>
      <c r="J32" s="1306"/>
      <c r="K32" s="121"/>
      <c r="L32" s="2472"/>
      <c r="M32" s="2473"/>
    </row>
    <row r="33" spans="1:18" ht="18" customHeight="1">
      <c r="A33" s="928" t="s">
        <v>399</v>
      </c>
      <c r="B33" s="294" t="s">
        <v>723</v>
      </c>
      <c r="C33" s="21">
        <f ca="1">IF(项目基本情况!B11="自然人","——",IF(D33="按租金收入计税",ROUND(C6*F33/(1+'数据-取费表'!C42),0),IF(D33="按房产原值计税",ROUND(C29*F33*0.7,0),INDIRECT("'数据-取费表'!Aj"&amp;$G$1))))</f>
        <v>0</v>
      </c>
      <c r="D33" s="1278" t="s">
        <v>3322</v>
      </c>
      <c r="E33" s="294" t="s">
        <v>708</v>
      </c>
      <c r="F33" s="314">
        <f>IF(D33="按票据","——",IF(D33="按租金收入计税",'数据-取费表'!B51,'数据-取费表'!B50))</f>
        <v>0.12</v>
      </c>
      <c r="G33" s="1292"/>
      <c r="H33" s="2474"/>
      <c r="I33" s="1305"/>
      <c r="J33" s="1306"/>
      <c r="K33" s="2475"/>
      <c r="L33" s="2474"/>
      <c r="M33" s="2474"/>
    </row>
    <row r="34" spans="1:18" ht="18" customHeight="1">
      <c r="A34" s="1006" t="s">
        <v>676</v>
      </c>
      <c r="B34" s="147" t="s">
        <v>726</v>
      </c>
      <c r="C34" s="22">
        <f ca="1">IF(项目基本情况!B11="自然人","——",ROUND(F34*F35,0))</f>
        <v>0</v>
      </c>
      <c r="D34" s="316" t="s">
        <v>727</v>
      </c>
      <c r="E34" s="294" t="s">
        <v>728</v>
      </c>
      <c r="F34" s="317">
        <f>'数据-取费表'!B52</f>
        <v>0</v>
      </c>
      <c r="G34" s="1292"/>
      <c r="H34" s="2471"/>
      <c r="I34" s="1305"/>
      <c r="J34" s="1306"/>
      <c r="K34" s="2476"/>
      <c r="L34" s="2477"/>
      <c r="M34" s="2477"/>
    </row>
    <row r="35" spans="1:18" ht="18" customHeight="1">
      <c r="A35" s="1040"/>
      <c r="B35" s="1038"/>
      <c r="C35" s="26"/>
      <c r="D35" s="319"/>
      <c r="E35" s="294" t="s">
        <v>732</v>
      </c>
      <c r="F35" s="295">
        <f ca="1">INDIRECT("'数据-取费表'!r"&amp;$G$1)</f>
        <v>0</v>
      </c>
      <c r="G35" s="1292"/>
      <c r="H35" s="2471"/>
      <c r="I35" s="1305"/>
      <c r="J35" s="1306"/>
      <c r="K35" s="2475"/>
      <c r="L35" s="2474"/>
      <c r="M35" s="2474"/>
    </row>
    <row r="36" spans="1:18" ht="18" customHeight="1">
      <c r="A36" s="1039" t="s">
        <v>402</v>
      </c>
      <c r="B36" s="294" t="s">
        <v>734</v>
      </c>
      <c r="C36" s="21">
        <f ca="1">ROUND(C29*F36,0)</f>
        <v>0</v>
      </c>
      <c r="D36" s="1256" t="s">
        <v>767</v>
      </c>
      <c r="E36" s="294" t="s">
        <v>708</v>
      </c>
      <c r="F36" s="320">
        <f ca="1">INDIRECT("'数据-取费表'!Ak"&amp;$G$1)</f>
        <v>0</v>
      </c>
      <c r="G36" s="1292"/>
      <c r="H36" s="2474"/>
      <c r="I36" s="1305"/>
      <c r="J36" s="1306"/>
      <c r="K36" s="2331"/>
      <c r="L36" s="2474"/>
      <c r="M36" s="2474"/>
    </row>
    <row r="37" spans="1:18" ht="18" customHeight="1">
      <c r="A37" s="928" t="s">
        <v>437</v>
      </c>
      <c r="B37" s="294" t="s">
        <v>738</v>
      </c>
      <c r="C37" s="21">
        <f ca="1">ROUND(C13*F37,0)</f>
        <v>0</v>
      </c>
      <c r="D37" s="1256" t="s">
        <v>739</v>
      </c>
      <c r="E37" s="294" t="s">
        <v>740</v>
      </c>
      <c r="F37" s="321">
        <f ca="1">INDIRECT("'数据-取费表'!Al"&amp;$G$1)</f>
        <v>0</v>
      </c>
      <c r="G37" s="1292"/>
      <c r="H37" s="2474"/>
      <c r="I37" s="1305"/>
      <c r="J37" s="1306"/>
      <c r="K37" s="2331"/>
      <c r="L37" s="2474"/>
      <c r="M37" s="2474"/>
    </row>
    <row r="38" spans="1:18" ht="18" customHeight="1" thickBot="1">
      <c r="A38" s="1026" t="s">
        <v>680</v>
      </c>
      <c r="B38" s="1027" t="s">
        <v>724</v>
      </c>
      <c r="C38" s="1028">
        <f ca="1">ROUND(C5*F38,0)</f>
        <v>0</v>
      </c>
      <c r="D38" s="1029" t="s">
        <v>744</v>
      </c>
      <c r="E38" s="1027" t="s">
        <v>740</v>
      </c>
      <c r="F38" s="1023">
        <f ca="1">INDIRECT("'数据-取费表'!Am"&amp;$G$1)</f>
        <v>0</v>
      </c>
      <c r="G38" s="1292"/>
      <c r="H38" s="2474"/>
      <c r="I38" s="1305"/>
      <c r="J38" s="1306"/>
      <c r="K38" s="2472"/>
      <c r="L38" s="2474"/>
      <c r="M38" s="2474"/>
    </row>
    <row r="39" spans="1:18" ht="24.6" customHeight="1" thickTop="1">
      <c r="A39" s="1016" t="s">
        <v>394</v>
      </c>
      <c r="B39" s="1031" t="s">
        <v>768</v>
      </c>
      <c r="C39" s="302">
        <f ca="1">C5-C30</f>
        <v>0</v>
      </c>
      <c r="D39" s="1032" t="s">
        <v>769</v>
      </c>
      <c r="E39" s="1033"/>
      <c r="F39" s="1034"/>
      <c r="G39" s="1292"/>
      <c r="H39" s="2474"/>
      <c r="I39" s="1305"/>
      <c r="J39" s="1306"/>
      <c r="K39" s="2472"/>
      <c r="L39" s="2474"/>
      <c r="M39" s="2474"/>
    </row>
    <row r="40" spans="1:18" ht="18" customHeight="1">
      <c r="A40" s="291" t="s">
        <v>395</v>
      </c>
      <c r="B40" s="292" t="s">
        <v>770</v>
      </c>
      <c r="C40" s="293" t="e">
        <f ca="1">ROUND(C39*(1-((1+F42)/(1+F40))^F41)/(F40-F42),0)</f>
        <v>#DIV/0!</v>
      </c>
      <c r="D40" s="316" t="s">
        <v>754</v>
      </c>
      <c r="E40" s="294" t="s">
        <v>755</v>
      </c>
      <c r="F40" s="304">
        <f ca="1">INDIRECT("'数据-取费表'!I"&amp;$G$1)</f>
        <v>0</v>
      </c>
      <c r="G40" s="1292"/>
      <c r="H40" s="1366"/>
      <c r="I40" s="1305"/>
      <c r="J40" s="1306"/>
      <c r="K40" s="2472"/>
      <c r="L40" s="1366"/>
      <c r="M40" s="1366"/>
    </row>
    <row r="41" spans="1:18" ht="18" customHeight="1">
      <c r="A41" s="296"/>
      <c r="B41" s="297"/>
      <c r="C41" s="298"/>
      <c r="D41" s="323" t="s">
        <v>771</v>
      </c>
      <c r="E41" s="294" t="s">
        <v>759</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762</v>
      </c>
      <c r="F42" s="304">
        <f ca="1">INDIRECT("'数据-取费表'!v"&amp;$G$1)</f>
        <v>0</v>
      </c>
      <c r="G42" s="1292"/>
      <c r="H42" s="121"/>
      <c r="I42" s="1305"/>
      <c r="J42" s="1306"/>
      <c r="K42" s="2331"/>
      <c r="L42" s="121"/>
      <c r="M42" s="121"/>
    </row>
    <row r="43" spans="1:18" ht="18" customHeight="1" thickBot="1">
      <c r="A43" s="325" t="s">
        <v>396</v>
      </c>
      <c r="B43" s="326" t="s">
        <v>772</v>
      </c>
      <c r="C43" s="327" t="e">
        <f ca="1">ROUND(C40/F43,0)</f>
        <v>#DIV/0!</v>
      </c>
      <c r="D43" s="328" t="s">
        <v>773</v>
      </c>
      <c r="E43" s="329" t="s">
        <v>774</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3338</v>
      </c>
      <c r="B45" s="1307"/>
      <c r="C45" s="1376" t="e">
        <f ca="1">ROUND((C68-C40)/10000,4)</f>
        <v>#DIV/0!</v>
      </c>
      <c r="D45" s="3131" t="s">
        <v>3339</v>
      </c>
      <c r="E45" s="1307"/>
      <c r="F45" s="1307"/>
      <c r="O45" s="1310" t="s">
        <v>804</v>
      </c>
      <c r="P45" s="1366"/>
      <c r="Q45" s="1366"/>
      <c r="R45" s="1366"/>
    </row>
    <row r="46" spans="1:18" s="1292" customFormat="1" ht="13.5" thickBot="1">
      <c r="A46" s="1311" t="s">
        <v>805</v>
      </c>
      <c r="C46" s="1312" t="e">
        <f ca="1">ROUND(C45,0)</f>
        <v>#DIV/0!</v>
      </c>
      <c r="D46" s="1313" t="str">
        <f>C2</f>
        <v>万元</v>
      </c>
      <c r="I46" s="1314" t="s">
        <v>806</v>
      </c>
      <c r="J46" s="1315"/>
      <c r="K46" s="1316"/>
      <c r="L46" s="1317" t="e">
        <f ca="1">IF(M47="住宅",0,IF(L48&gt;J51,L60,J60))</f>
        <v>#DIV/0!</v>
      </c>
      <c r="O46" s="1318" t="s">
        <v>807</v>
      </c>
      <c r="P46" s="1319" t="s">
        <v>808</v>
      </c>
      <c r="Q46" s="1320" t="s">
        <v>809</v>
      </c>
      <c r="R46" s="1320" t="s">
        <v>810</v>
      </c>
    </row>
    <row r="47" spans="1:18" s="1292" customFormat="1" ht="13.5" thickBot="1">
      <c r="A47" s="892" t="s">
        <v>683</v>
      </c>
      <c r="B47" s="924" t="s">
        <v>684</v>
      </c>
      <c r="C47" s="924" t="s">
        <v>685</v>
      </c>
      <c r="D47" s="924" t="s">
        <v>686</v>
      </c>
      <c r="E47" s="995" t="s">
        <v>687</v>
      </c>
      <c r="F47" s="996"/>
      <c r="G47" s="681"/>
      <c r="I47" s="1321" t="s">
        <v>811</v>
      </c>
      <c r="J47" s="1322"/>
      <c r="K47" s="1323" t="s">
        <v>812</v>
      </c>
      <c r="L47" s="1324">
        <f ca="1">INDIRECT("'数据-取费表'!d"&amp;$G$1)</f>
        <v>0</v>
      </c>
      <c r="M47" s="1288" t="str">
        <f>IF(ISNUMBER(FIND("住宅",C1)),"住宅","非住宅")</f>
        <v>非住宅</v>
      </c>
      <c r="O47" s="1325" t="s">
        <v>403</v>
      </c>
      <c r="P47" s="1326" t="s">
        <v>813</v>
      </c>
      <c r="Q47" s="1327" t="e">
        <f ca="1">C40+J29</f>
        <v>#DIV/0!</v>
      </c>
      <c r="R47" s="1327" t="s">
        <v>814</v>
      </c>
    </row>
    <row r="48" spans="1:18" s="1292" customFormat="1" ht="28.5" thickBot="1">
      <c r="A48" s="1047" t="s">
        <v>438</v>
      </c>
      <c r="B48" s="292" t="s">
        <v>688</v>
      </c>
      <c r="C48" s="1268">
        <f ca="1">C49+C53+C55</f>
        <v>0</v>
      </c>
      <c r="D48" s="1049"/>
      <c r="E48" s="1050"/>
      <c r="F48" s="908"/>
      <c r="G48" s="681"/>
      <c r="H48" s="682"/>
      <c r="I48" s="1328" t="s">
        <v>815</v>
      </c>
      <c r="J48" s="1329"/>
      <c r="K48" s="1330" t="s">
        <v>816</v>
      </c>
      <c r="L48" s="1331">
        <f ca="1">INDIRECT("'数据-取费表'!f"&amp;$G$1)</f>
        <v>0</v>
      </c>
      <c r="O48" s="1325" t="s">
        <v>404</v>
      </c>
      <c r="P48" s="1326" t="s">
        <v>817</v>
      </c>
      <c r="Q48" s="1327" t="e">
        <f ca="1">J60</f>
        <v>#DIV/0!</v>
      </c>
      <c r="R48" s="1327" t="s">
        <v>818</v>
      </c>
    </row>
    <row r="49" spans="1:18" s="1292" customFormat="1" ht="13.5" thickBot="1">
      <c r="A49" s="921" t="s">
        <v>439</v>
      </c>
      <c r="B49" s="1279" t="s">
        <v>775</v>
      </c>
      <c r="C49" s="1051">
        <f ca="1">ROUND(F49*F51*F50*(1-F52),0)</f>
        <v>0</v>
      </c>
      <c r="D49" s="992" t="s">
        <v>691</v>
      </c>
      <c r="E49" s="1280" t="s">
        <v>776</v>
      </c>
      <c r="F49" s="997"/>
      <c r="H49" s="682"/>
      <c r="I49" s="1328" t="s">
        <v>819</v>
      </c>
      <c r="J49" s="1332"/>
      <c r="K49" s="1330" t="s">
        <v>820</v>
      </c>
      <c r="L49" s="1333"/>
      <c r="O49" s="1334" t="s">
        <v>405</v>
      </c>
      <c r="P49" s="1326" t="s">
        <v>821</v>
      </c>
      <c r="Q49" s="1327">
        <f ca="1">C29</f>
        <v>0</v>
      </c>
      <c r="R49" s="1327" t="s">
        <v>814</v>
      </c>
    </row>
    <row r="50" spans="1:18" s="1292" customFormat="1" ht="13.5" thickBot="1">
      <c r="A50" s="922"/>
      <c r="B50" s="925"/>
      <c r="C50" s="926"/>
      <c r="D50" s="899"/>
      <c r="E50" s="993" t="s">
        <v>693</v>
      </c>
      <c r="F50" s="994">
        <f ca="1">F7</f>
        <v>0</v>
      </c>
      <c r="H50" s="682"/>
      <c r="I50" s="1328" t="s">
        <v>822</v>
      </c>
      <c r="J50" s="1335">
        <f>SUMPRODUCT((I63:I65=J47)*(J62:L62=J48)*(J63:L65))</f>
        <v>0</v>
      </c>
      <c r="K50" s="1330" t="s">
        <v>823</v>
      </c>
      <c r="L50" s="1333"/>
      <c r="M50" s="1336"/>
      <c r="O50" s="1334" t="s">
        <v>406</v>
      </c>
      <c r="P50" s="1326" t="s">
        <v>824</v>
      </c>
      <c r="Q50" s="1337" t="e">
        <f ca="1">J58</f>
        <v>#DIV/0!</v>
      </c>
      <c r="R50" s="1327"/>
    </row>
    <row r="51" spans="1:18" s="1292" customFormat="1" ht="13.5" thickBot="1">
      <c r="A51" s="923"/>
      <c r="B51" s="925"/>
      <c r="C51" s="926"/>
      <c r="D51" s="899"/>
      <c r="E51" s="927" t="s">
        <v>694</v>
      </c>
      <c r="F51" s="295">
        <f ca="1">F8</f>
        <v>0</v>
      </c>
      <c r="I51" s="1338" t="s">
        <v>825</v>
      </c>
      <c r="J51" s="1331">
        <f>IF(J49="",J50,J49+J50-YEAR('数据-取费表'!B2))</f>
        <v>0</v>
      </c>
      <c r="K51" s="1339" t="s">
        <v>826</v>
      </c>
      <c r="L51" s="1340">
        <f ca="1">ROUND(-PV(INDIRECT("'数据-取费表'!h"&amp;$G$1),J51,(C39-C13*C76),0),0)</f>
        <v>0</v>
      </c>
      <c r="M51" s="1341"/>
      <c r="O51" s="1334" t="s">
        <v>407</v>
      </c>
      <c r="P51" s="1326" t="s">
        <v>827</v>
      </c>
      <c r="Q51" s="1337">
        <f>J52</f>
        <v>0</v>
      </c>
      <c r="R51" s="1327"/>
    </row>
    <row r="52" spans="1:18" s="1292" customFormat="1" ht="13.5" thickBot="1">
      <c r="A52" s="923"/>
      <c r="B52" s="925"/>
      <c r="C52" s="926"/>
      <c r="D52" s="899"/>
      <c r="E52" s="927" t="s">
        <v>695</v>
      </c>
      <c r="F52" s="991"/>
      <c r="I52" s="1342" t="s">
        <v>828</v>
      </c>
      <c r="J52" s="1343"/>
      <c r="K52" s="1342" t="s">
        <v>829</v>
      </c>
      <c r="L52" s="1343"/>
      <c r="O52" s="1334" t="s">
        <v>408</v>
      </c>
      <c r="P52" s="1326" t="s">
        <v>830</v>
      </c>
      <c r="Q52" s="1327">
        <f ca="1">J53</f>
        <v>0</v>
      </c>
      <c r="R52" s="1327" t="s">
        <v>831</v>
      </c>
    </row>
    <row r="53" spans="1:18" s="1292" customFormat="1" ht="30.75" customHeight="1" thickBot="1">
      <c r="A53" s="1048" t="s">
        <v>440</v>
      </c>
      <c r="B53" s="315" t="s">
        <v>696</v>
      </c>
      <c r="C53" s="308">
        <f ca="1">ROUND(IF(F53="押一",C49/12*F11,IF(F53="押二",C49/12*2*F11,IF(F53="押三",C49/12*3*F11,C54*F11))),0)</f>
        <v>0</v>
      </c>
      <c r="D53" s="150" t="s">
        <v>2115</v>
      </c>
      <c r="E53" s="305" t="s">
        <v>697</v>
      </c>
      <c r="F53" s="1053"/>
      <c r="I53" s="1344" t="s">
        <v>832</v>
      </c>
      <c r="J53" s="2006">
        <f ca="1">IF(M47="住宅",IF(D1="——",MAX(J51,L48),MAX(J51,L48-'数据-取费表'!B24)),IF(D1="——",MIN(J51,L48),MIN(J51,L48-'数据-取费表'!B24)))</f>
        <v>0</v>
      </c>
      <c r="K53" s="3392" t="s">
        <v>833</v>
      </c>
      <c r="L53" s="3393"/>
      <c r="O53" s="1325" t="s">
        <v>409</v>
      </c>
      <c r="P53" s="1326" t="s">
        <v>834</v>
      </c>
      <c r="Q53" s="1327" t="e">
        <f ca="1">Q47+Q48</f>
        <v>#DIV/0!</v>
      </c>
      <c r="R53" s="1327" t="s">
        <v>410</v>
      </c>
    </row>
    <row r="54" spans="1:18" s="1292" customFormat="1" ht="13.5" thickBot="1">
      <c r="A54" s="921"/>
      <c r="B54" s="1377" t="s">
        <v>887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835</v>
      </c>
      <c r="P54" s="1289"/>
      <c r="Q54" s="1289"/>
      <c r="R54" s="1289"/>
    </row>
    <row r="55" spans="1:18" s="1292" customFormat="1" ht="13.5" thickBot="1">
      <c r="A55" s="1020" t="s">
        <v>437</v>
      </c>
      <c r="B55" s="1277" t="s">
        <v>699</v>
      </c>
      <c r="C55" s="1021"/>
      <c r="D55" s="150"/>
      <c r="E55" s="1282"/>
      <c r="F55" s="1345"/>
      <c r="I55" s="1348" t="s">
        <v>836</v>
      </c>
      <c r="J55" s="1349" t="e">
        <f ca="1">ROUND(IF(J47="钢混",J57/J50,1-(1-2%)*(J50-J57)/J50),3)</f>
        <v>#DIV/0!</v>
      </c>
      <c r="K55" s="1350" t="s">
        <v>837</v>
      </c>
      <c r="L55" s="1351"/>
      <c r="O55" s="1318" t="s">
        <v>807</v>
      </c>
      <c r="P55" s="1319" t="s">
        <v>808</v>
      </c>
      <c r="Q55" s="1320" t="s">
        <v>809</v>
      </c>
      <c r="R55" s="1320" t="s">
        <v>810</v>
      </c>
    </row>
    <row r="56" spans="1:18" s="1292" customFormat="1" ht="36" customHeight="1" thickTop="1" thickBot="1">
      <c r="A56" s="903">
        <v>2</v>
      </c>
      <c r="B56" s="904" t="s">
        <v>700</v>
      </c>
      <c r="C56" s="224">
        <f ca="1">C13</f>
        <v>0</v>
      </c>
      <c r="D56" s="1352"/>
      <c r="E56" s="1353"/>
      <c r="F56" s="1345"/>
      <c r="I56" s="1354" t="s">
        <v>838</v>
      </c>
      <c r="J56" s="1355"/>
      <c r="K56" s="1328" t="s">
        <v>839</v>
      </c>
      <c r="L56" s="1331">
        <f ca="1">IF(L48&lt;J51,"——",L48-J51)</f>
        <v>0</v>
      </c>
      <c r="O56" s="1325" t="s">
        <v>403</v>
      </c>
      <c r="P56" s="1326" t="s">
        <v>813</v>
      </c>
      <c r="Q56" s="1327" t="e">
        <f ca="1">C40+J29</f>
        <v>#DIV/0!</v>
      </c>
      <c r="R56" s="1327" t="s">
        <v>814</v>
      </c>
    </row>
    <row r="57" spans="1:18" s="1292" customFormat="1" ht="24.75" thickBot="1">
      <c r="A57" s="1356"/>
      <c r="B57" s="896" t="s">
        <v>763</v>
      </c>
      <c r="C57" s="230">
        <f ca="1">C29</f>
        <v>0</v>
      </c>
      <c r="D57" s="1357"/>
      <c r="E57" s="1358"/>
      <c r="F57" s="1359"/>
      <c r="I57" s="1360" t="s">
        <v>840</v>
      </c>
      <c r="J57" s="1361">
        <f ca="1">IF(OR(M47="住宅",J51&lt;L48,J56="是"),"——",J51-L48)</f>
        <v>0</v>
      </c>
      <c r="K57" s="1328" t="s">
        <v>888</v>
      </c>
      <c r="L57" s="1331">
        <f ca="1">IF(L48&lt;J51,"——",IF(L55="比较法",L49,IF(L55="基准地价",L50,L51)))</f>
        <v>0</v>
      </c>
      <c r="O57" s="1325" t="s">
        <v>404</v>
      </c>
      <c r="P57" s="1326" t="s">
        <v>889</v>
      </c>
      <c r="Q57" s="1327" t="e">
        <f ca="1">L60</f>
        <v>#DIV/0!</v>
      </c>
      <c r="R57" s="1327" t="s">
        <v>890</v>
      </c>
    </row>
    <row r="58" spans="1:18" s="1292" customFormat="1" ht="24.75" thickBot="1">
      <c r="A58" s="307" t="s">
        <v>393</v>
      </c>
      <c r="B58" s="904" t="s">
        <v>710</v>
      </c>
      <c r="C58" s="308">
        <f ca="1">ROUND(C59+C64+C65+C66,0)</f>
        <v>0</v>
      </c>
      <c r="D58" s="906" t="s">
        <v>711</v>
      </c>
      <c r="E58" s="907"/>
      <c r="F58" s="908"/>
      <c r="I58" s="1360" t="s">
        <v>844</v>
      </c>
      <c r="J58" s="1362" t="e">
        <f ca="1">IF(J55&lt;0.4,0.4,J55)</f>
        <v>#DIV/0!</v>
      </c>
      <c r="K58" s="1339" t="s">
        <v>891</v>
      </c>
      <c r="L58" s="1331" t="e">
        <f ca="1">ROUND(POWER(1+L52,L47-L48)*(POWER(1+L52,L48)-1)/(POWER(1+L52,L47)-1),4)</f>
        <v>#DIV/0!</v>
      </c>
      <c r="O58" s="1334" t="s">
        <v>405</v>
      </c>
      <c r="P58" s="1326" t="s">
        <v>846</v>
      </c>
      <c r="Q58" s="1327">
        <f>IF(L55="比较法",L49,IF(L55="基准地价",L50,0))</f>
        <v>0</v>
      </c>
      <c r="R58" s="1327" t="s">
        <v>814</v>
      </c>
    </row>
    <row r="59" spans="1:18" s="1292" customFormat="1" ht="24.75" thickBot="1">
      <c r="A59" s="928" t="s">
        <v>398</v>
      </c>
      <c r="B59" s="896" t="s">
        <v>715</v>
      </c>
      <c r="C59" s="2140">
        <f ca="1">ROUND(IF(AND(项目基本情况!B11="自然人",项目基本情况!B10="北京市"),C49*F59/(1+'数据-取费表'!C42),C60+C61+C62),0)</f>
        <v>0</v>
      </c>
      <c r="D59" s="909" t="s">
        <v>716</v>
      </c>
      <c r="E59" s="910" t="s">
        <v>717</v>
      </c>
      <c r="F59" s="2139" t="str">
        <f>IF(项目基本情况!B11="企业","——",IF('数据-取费表'!B10="住宅",IF(F49*F50*F51/12/(1+'数据-取费表'!F30)&gt;100000,4%,2.5%),IF(F49*F50*F51/12/(1+'数据-取费表'!F30)&gt;100000,12%,7%)))</f>
        <v>——</v>
      </c>
      <c r="I59" s="1360" t="s">
        <v>847</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848</v>
      </c>
      <c r="Q59" s="1337">
        <f>L52</f>
        <v>0</v>
      </c>
      <c r="R59" s="1327"/>
    </row>
    <row r="60" spans="1:18" s="1292" customFormat="1" ht="16.5" thickBot="1">
      <c r="A60" s="928" t="s">
        <v>397</v>
      </c>
      <c r="B60" s="896" t="s">
        <v>719</v>
      </c>
      <c r="C60" s="21">
        <f ca="1">IF(项目基本情况!B11="自然人","——",ROUND(C48*F60/(1+'数据-取费表'!C42),0))</f>
        <v>0</v>
      </c>
      <c r="D60" s="910" t="s">
        <v>720</v>
      </c>
      <c r="E60" s="896" t="s">
        <v>708</v>
      </c>
      <c r="F60" s="322">
        <f t="shared" ref="F60:F66" si="0">F32</f>
        <v>5.6000000000000001E-2</v>
      </c>
      <c r="I60" s="1363" t="s">
        <v>849</v>
      </c>
      <c r="J60" s="1364" t="e">
        <f ca="1">IF(OR(M47="住宅",J51&lt;L48,J56="是"),"0",ROUND(J59/(1+J52)^J53,0))</f>
        <v>#DIV/0!</v>
      </c>
      <c r="K60" s="1365" t="s">
        <v>850</v>
      </c>
      <c r="L60" s="1364" t="e">
        <f ca="1">IF(OR(M47="住宅",L48&lt;J51),0,ROUND(L57*(L58/L59-1),0))</f>
        <v>#DIV/0!</v>
      </c>
      <c r="O60" s="1334" t="s">
        <v>407</v>
      </c>
      <c r="P60" s="1326" t="s">
        <v>851</v>
      </c>
      <c r="Q60" s="1327" t="e">
        <f ca="1">L58</f>
        <v>#DIV/0!</v>
      </c>
      <c r="R60" s="1327" t="s">
        <v>852</v>
      </c>
    </row>
    <row r="61" spans="1:18" s="1292" customFormat="1" ht="13.5" thickBot="1">
      <c r="A61" s="928" t="s">
        <v>777</v>
      </c>
      <c r="B61" s="896" t="s">
        <v>778</v>
      </c>
      <c r="C61" s="21">
        <f ca="1">IF(项目基本情况!B11="自然人","——",IF(D61="按租金收入计税",ROUND(C49*F61/(1+'数据-取费表'!C42),0),IF(D61="按房产原值计税",ROUND(C57*F61*0.7,0),INDIRECT("'数据-取费表'!Aj"&amp;$G$1))))</f>
        <v>0</v>
      </c>
      <c r="D61" s="1278" t="s">
        <v>3322</v>
      </c>
      <c r="E61" s="896" t="s">
        <v>779</v>
      </c>
      <c r="F61" s="314">
        <f t="shared" si="0"/>
        <v>0.12</v>
      </c>
      <c r="I61" s="1366"/>
      <c r="J61" s="1366"/>
      <c r="K61" s="1366"/>
      <c r="L61" s="1366"/>
      <c r="O61" s="1334" t="s">
        <v>408</v>
      </c>
      <c r="P61" s="1326" t="str">
        <f>K59</f>
        <v>建筑物剩余耐用年限下的土地年期修正系数Kn</v>
      </c>
      <c r="Q61" s="1327" t="e">
        <f ca="1">L59</f>
        <v>#DIV/0!</v>
      </c>
      <c r="R61" s="1327" t="s">
        <v>853</v>
      </c>
    </row>
    <row r="62" spans="1:18" s="1292" customFormat="1" ht="13.5" thickBot="1">
      <c r="A62" s="928" t="s">
        <v>780</v>
      </c>
      <c r="B62" s="895" t="s">
        <v>781</v>
      </c>
      <c r="C62" s="22">
        <f ca="1">IF(项目基本情况!B11="自然人","——",ROUND(F62*F63,0))</f>
        <v>0</v>
      </c>
      <c r="D62" s="911" t="s">
        <v>782</v>
      </c>
      <c r="E62" s="896" t="s">
        <v>783</v>
      </c>
      <c r="F62" s="317">
        <f t="shared" si="0"/>
        <v>0</v>
      </c>
      <c r="I62" s="1367" t="s">
        <v>854</v>
      </c>
      <c r="J62" s="610" t="s">
        <v>855</v>
      </c>
      <c r="K62" s="610" t="s">
        <v>856</v>
      </c>
      <c r="L62" s="610" t="s">
        <v>857</v>
      </c>
      <c r="M62" s="1368" t="s">
        <v>858</v>
      </c>
      <c r="O62" s="1325" t="s">
        <v>409</v>
      </c>
      <c r="P62" s="1326" t="s">
        <v>859</v>
      </c>
      <c r="Q62" s="1327" t="e">
        <f ca="1">Q56+Q57</f>
        <v>#DIV/0!</v>
      </c>
      <c r="R62" s="1327" t="s">
        <v>410</v>
      </c>
    </row>
    <row r="63" spans="1:18" s="1292" customFormat="1" ht="13.5" thickBot="1">
      <c r="A63" s="318"/>
      <c r="B63" s="902"/>
      <c r="C63" s="26"/>
      <c r="D63" s="912"/>
      <c r="E63" s="896" t="s">
        <v>784</v>
      </c>
      <c r="F63" s="295">
        <f t="shared" ca="1" si="0"/>
        <v>0</v>
      </c>
      <c r="I63" s="1367" t="s">
        <v>860</v>
      </c>
      <c r="J63" s="610">
        <v>70</v>
      </c>
      <c r="K63" s="610">
        <v>50</v>
      </c>
      <c r="L63" s="610">
        <v>80</v>
      </c>
      <c r="M63" s="1369">
        <v>0.02</v>
      </c>
      <c r="O63" s="1310" t="s">
        <v>861</v>
      </c>
      <c r="P63" s="1289"/>
      <c r="Q63" s="1289"/>
      <c r="R63" s="1289"/>
    </row>
    <row r="64" spans="1:18" s="1292" customFormat="1" ht="13.5" thickBot="1">
      <c r="A64" s="928" t="s">
        <v>785</v>
      </c>
      <c r="B64" s="896" t="s">
        <v>786</v>
      </c>
      <c r="C64" s="21">
        <f ca="1">ROUND(C57*F64,0)</f>
        <v>0</v>
      </c>
      <c r="D64" s="910" t="s">
        <v>787</v>
      </c>
      <c r="E64" s="896" t="s">
        <v>779</v>
      </c>
      <c r="F64" s="320">
        <f t="shared" ca="1" si="0"/>
        <v>0</v>
      </c>
      <c r="I64" s="1367" t="s">
        <v>862</v>
      </c>
      <c r="J64" s="610">
        <v>50</v>
      </c>
      <c r="K64" s="610">
        <v>35</v>
      </c>
      <c r="L64" s="610">
        <v>60</v>
      </c>
      <c r="M64" s="1368">
        <v>0</v>
      </c>
      <c r="O64" s="1318" t="s">
        <v>807</v>
      </c>
      <c r="P64" s="1319" t="s">
        <v>808</v>
      </c>
      <c r="Q64" s="1320" t="s">
        <v>809</v>
      </c>
      <c r="R64" s="1320" t="s">
        <v>810</v>
      </c>
    </row>
    <row r="65" spans="1:18" s="1292" customFormat="1" ht="13.5" thickBot="1">
      <c r="A65" s="928" t="s">
        <v>788</v>
      </c>
      <c r="B65" s="896" t="s">
        <v>738</v>
      </c>
      <c r="C65" s="21">
        <f ca="1">ROUND(C56*F65,0)</f>
        <v>0</v>
      </c>
      <c r="D65" s="910" t="s">
        <v>739</v>
      </c>
      <c r="E65" s="896" t="s">
        <v>740</v>
      </c>
      <c r="F65" s="321">
        <f t="shared" ca="1" si="0"/>
        <v>0</v>
      </c>
      <c r="I65" s="1367" t="s">
        <v>863</v>
      </c>
      <c r="J65" s="610">
        <v>40</v>
      </c>
      <c r="K65" s="610">
        <v>30</v>
      </c>
      <c r="L65" s="610">
        <v>50</v>
      </c>
      <c r="M65" s="1369">
        <v>0.02</v>
      </c>
      <c r="O65" s="1325" t="s">
        <v>403</v>
      </c>
      <c r="P65" s="1326" t="s">
        <v>864</v>
      </c>
      <c r="Q65" s="1327" t="e">
        <f ca="1">C40+J29</f>
        <v>#DIV/0!</v>
      </c>
      <c r="R65" s="1327" t="s">
        <v>814</v>
      </c>
    </row>
    <row r="66" spans="1:18" s="1292" customFormat="1" ht="16.5" thickBot="1">
      <c r="A66" s="928" t="s">
        <v>789</v>
      </c>
      <c r="B66" s="896" t="s">
        <v>724</v>
      </c>
      <c r="C66" s="21">
        <f ca="1">ROUND(C48*F66,0)</f>
        <v>0</v>
      </c>
      <c r="D66" s="910" t="s">
        <v>790</v>
      </c>
      <c r="E66" s="896" t="s">
        <v>708</v>
      </c>
      <c r="F66" s="304">
        <f t="shared" ca="1" si="0"/>
        <v>0</v>
      </c>
      <c r="O66" s="1325" t="s">
        <v>404</v>
      </c>
      <c r="P66" s="1326" t="s">
        <v>842</v>
      </c>
      <c r="Q66" s="1327" t="e">
        <f ca="1">L60</f>
        <v>#DIV/0!</v>
      </c>
      <c r="R66" s="1327" t="s">
        <v>865</v>
      </c>
    </row>
    <row r="67" spans="1:18" s="1292" customFormat="1" ht="16.5" thickBot="1">
      <c r="A67" s="903" t="s">
        <v>394</v>
      </c>
      <c r="B67" s="913" t="s">
        <v>748</v>
      </c>
      <c r="C67" s="308">
        <f ca="1">C48-C58</f>
        <v>0</v>
      </c>
      <c r="D67" s="909" t="s">
        <v>749</v>
      </c>
      <c r="E67" s="914"/>
      <c r="F67" s="915"/>
      <c r="O67" s="1334" t="s">
        <v>405</v>
      </c>
      <c r="P67" s="1326" t="s">
        <v>846</v>
      </c>
      <c r="Q67" s="1370">
        <f ca="1">L51</f>
        <v>0</v>
      </c>
      <c r="R67" s="1327" t="s">
        <v>866</v>
      </c>
    </row>
    <row r="68" spans="1:18" s="1292" customFormat="1" ht="16.5" thickBot="1">
      <c r="A68" s="893" t="s">
        <v>395</v>
      </c>
      <c r="B68" s="894" t="s">
        <v>770</v>
      </c>
      <c r="C68" s="293" t="e">
        <f ca="1">ROUND(C67*(1-((1+F70)/(1+F68))^F69)/(F68-F70),0)</f>
        <v>#DIV/0!</v>
      </c>
      <c r="D68" s="911" t="s">
        <v>754</v>
      </c>
      <c r="E68" s="896" t="s">
        <v>755</v>
      </c>
      <c r="F68" s="304">
        <f ca="1">F40</f>
        <v>0</v>
      </c>
      <c r="O68" s="1334" t="s">
        <v>406</v>
      </c>
      <c r="P68" s="1371" t="s">
        <v>867</v>
      </c>
      <c r="Q68" s="1327">
        <f ca="1">ROUND(Q69-Q70*Q71,0)</f>
        <v>0</v>
      </c>
      <c r="R68" s="1327" t="s">
        <v>414</v>
      </c>
    </row>
    <row r="69" spans="1:18" s="1292" customFormat="1" ht="13.5" thickBot="1">
      <c r="A69" s="897"/>
      <c r="B69" s="898"/>
      <c r="C69" s="298"/>
      <c r="D69" s="916" t="s">
        <v>758</v>
      </c>
      <c r="E69" s="896" t="s">
        <v>759</v>
      </c>
      <c r="F69" s="324">
        <f ca="1">F41</f>
        <v>0</v>
      </c>
      <c r="O69" s="1334" t="s">
        <v>411</v>
      </c>
      <c r="P69" s="1371" t="s">
        <v>868</v>
      </c>
      <c r="Q69" s="1327">
        <f ca="1">C39</f>
        <v>0</v>
      </c>
      <c r="R69" s="1327" t="s">
        <v>814</v>
      </c>
    </row>
    <row r="70" spans="1:18" s="1292" customFormat="1" ht="13.5" thickBot="1">
      <c r="A70" s="900"/>
      <c r="B70" s="901"/>
      <c r="C70" s="302"/>
      <c r="D70" s="912"/>
      <c r="E70" s="896" t="s">
        <v>762</v>
      </c>
      <c r="F70" s="991"/>
      <c r="O70" s="1334" t="s">
        <v>412</v>
      </c>
      <c r="P70" s="1371" t="s">
        <v>869</v>
      </c>
      <c r="Q70" s="1327">
        <f ca="1">C13</f>
        <v>0</v>
      </c>
      <c r="R70" s="1327" t="s">
        <v>814</v>
      </c>
    </row>
    <row r="71" spans="1:18" s="1292" customFormat="1" ht="13.5" thickBot="1">
      <c r="A71" s="917" t="s">
        <v>396</v>
      </c>
      <c r="B71" s="918" t="s">
        <v>772</v>
      </c>
      <c r="C71" s="327" t="e">
        <f ca="1">ROUND(C68/F71,0)</f>
        <v>#DIV/0!</v>
      </c>
      <c r="D71" s="919" t="s">
        <v>773</v>
      </c>
      <c r="E71" s="920" t="s">
        <v>774</v>
      </c>
      <c r="F71" s="330">
        <f ca="1">F43</f>
        <v>0</v>
      </c>
      <c r="O71" s="1334" t="s">
        <v>413</v>
      </c>
      <c r="P71" s="1371" t="s">
        <v>870</v>
      </c>
      <c r="Q71" s="1337">
        <f ca="1">C76</f>
        <v>0</v>
      </c>
      <c r="R71" s="1327"/>
    </row>
    <row r="72" spans="1:18" s="1292" customFormat="1" ht="13.5" thickBot="1">
      <c r="B72" s="685"/>
      <c r="C72" s="685"/>
      <c r="O72" s="1334" t="s">
        <v>407</v>
      </c>
      <c r="P72" s="1326" t="s">
        <v>848</v>
      </c>
      <c r="Q72" s="1337">
        <f>L52</f>
        <v>0</v>
      </c>
      <c r="R72" s="1327"/>
    </row>
    <row r="73" spans="1:18" ht="16.5" thickBot="1">
      <c r="A73" s="1292"/>
      <c r="B73" s="685"/>
      <c r="C73" s="685"/>
      <c r="D73" s="1292"/>
      <c r="E73" s="1292"/>
      <c r="F73" s="1292"/>
      <c r="O73" s="1334" t="s">
        <v>408</v>
      </c>
      <c r="P73" s="1326" t="s">
        <v>851</v>
      </c>
      <c r="Q73" s="1327" t="e">
        <f ca="1">L58</f>
        <v>#DIV/0!</v>
      </c>
      <c r="R73" s="1327" t="s">
        <v>852</v>
      </c>
    </row>
    <row r="74" spans="1:18" ht="13.5" thickBot="1">
      <c r="A74" s="1292"/>
      <c r="B74" s="265" t="s">
        <v>871</v>
      </c>
      <c r="C74" s="1373"/>
      <c r="D74" s="1292"/>
      <c r="E74" s="1292"/>
      <c r="F74" s="1292"/>
      <c r="O74" s="1334" t="s">
        <v>415</v>
      </c>
      <c r="P74" s="1326" t="str">
        <f>K59</f>
        <v>建筑物剩余耐用年限下的土地年期修正系数Kn</v>
      </c>
      <c r="Q74" s="1327" t="e">
        <f ca="1">L59</f>
        <v>#DIV/0!</v>
      </c>
      <c r="R74" s="1327" t="s">
        <v>853</v>
      </c>
    </row>
    <row r="75" spans="1:18" ht="13.5" thickBot="1">
      <c r="A75" s="1292"/>
      <c r="B75" s="331" t="s">
        <v>791</v>
      </c>
      <c r="C75" s="332">
        <f ca="1">ROUND(C13*C76,0)</f>
        <v>0</v>
      </c>
      <c r="D75" s="1292"/>
      <c r="E75" s="1292"/>
      <c r="F75" s="1292"/>
      <c r="K75" s="1309"/>
      <c r="L75" s="1292"/>
      <c r="O75" s="1325" t="s">
        <v>409</v>
      </c>
      <c r="P75" s="1326" t="s">
        <v>834</v>
      </c>
      <c r="Q75" s="1327" t="e">
        <f ca="1">Q65+Q66</f>
        <v>#DIV/0!</v>
      </c>
      <c r="R75" s="1327" t="s">
        <v>410</v>
      </c>
    </row>
    <row r="76" spans="1:18">
      <c r="B76" s="333" t="s">
        <v>792</v>
      </c>
      <c r="C76" s="334">
        <f ca="1">INDIRECT("'数据-取费表'!j"&amp;$G$1)</f>
        <v>0</v>
      </c>
      <c r="I76" s="1292"/>
      <c r="J76" s="1292"/>
      <c r="K76" s="1309"/>
      <c r="L76" s="1292"/>
    </row>
    <row r="77" spans="1:18">
      <c r="B77" s="335" t="s">
        <v>793</v>
      </c>
      <c r="C77" s="336"/>
      <c r="I77" s="1292"/>
      <c r="J77" s="1292"/>
      <c r="K77" s="1309"/>
      <c r="L77" s="1292"/>
    </row>
    <row r="78" spans="1:18">
      <c r="B78" s="262" t="s">
        <v>794</v>
      </c>
      <c r="C78" s="337"/>
    </row>
    <row r="79" spans="1:18">
      <c r="B79" s="331" t="s">
        <v>795</v>
      </c>
      <c r="C79" s="266" t="e">
        <f ca="1">1-C80</f>
        <v>#DIV/0!</v>
      </c>
    </row>
    <row r="80" spans="1:18">
      <c r="B80" s="331" t="s">
        <v>796</v>
      </c>
      <c r="C80" s="266" t="e">
        <f ca="1">ROUND(C75/C39,3)</f>
        <v>#DIV/0!</v>
      </c>
    </row>
    <row r="81" spans="2:3">
      <c r="B81" s="262" t="s">
        <v>797</v>
      </c>
      <c r="C81" s="230"/>
    </row>
    <row r="82" spans="2:3">
      <c r="B82" s="265" t="s">
        <v>798</v>
      </c>
      <c r="C82" s="267" t="e">
        <f ca="1">1-C83</f>
        <v>#DIV/0!</v>
      </c>
    </row>
    <row r="83" spans="2:3">
      <c r="B83" s="265" t="s">
        <v>799</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2422</v>
      </c>
      <c r="B1" s="2584"/>
      <c r="C1" s="2596"/>
      <c r="D1" s="2596"/>
      <c r="E1" s="2585"/>
      <c r="F1" s="2586"/>
      <c r="G1" s="2587"/>
      <c r="J1" s="2590" t="s">
        <v>2301</v>
      </c>
      <c r="K1" s="2591"/>
      <c r="L1" s="2591"/>
      <c r="M1" s="2591"/>
      <c r="N1" s="2591"/>
      <c r="O1" s="2591"/>
      <c r="P1" s="2591"/>
      <c r="Q1" s="2591"/>
      <c r="R1" s="2592"/>
      <c r="S1" s="2593"/>
      <c r="T1" s="2593"/>
      <c r="U1" s="2593"/>
    </row>
    <row r="2" spans="1:22" s="2605" customFormat="1" ht="13.15" customHeight="1">
      <c r="A2" s="1293" t="s">
        <v>2302</v>
      </c>
      <c r="B2" s="2595" t="e">
        <f>IF(D2="——",C40,C40+E2)</f>
        <v>#DIV/0!</v>
      </c>
      <c r="C2" s="2596" t="s">
        <v>2303</v>
      </c>
      <c r="D2" s="3139" t="s">
        <v>3345</v>
      </c>
      <c r="E2" s="3140"/>
      <c r="F2" s="2598"/>
      <c r="G2" s="2599"/>
      <c r="H2" s="2600"/>
      <c r="I2" s="2601"/>
      <c r="J2" s="3404" t="s">
        <v>2304</v>
      </c>
      <c r="K2" s="3405"/>
      <c r="L2" s="2602" t="s">
        <v>2305</v>
      </c>
      <c r="M2" s="2602" t="s">
        <v>2306</v>
      </c>
      <c r="N2" s="2602" t="s">
        <v>2307</v>
      </c>
      <c r="O2" s="2602" t="s">
        <v>2308</v>
      </c>
      <c r="P2" s="2602" t="s">
        <v>2309</v>
      </c>
      <c r="Q2" s="2603" t="s">
        <v>2310</v>
      </c>
      <c r="R2" s="2604" t="s">
        <v>2311</v>
      </c>
      <c r="S2" s="2593"/>
      <c r="T2" s="2593"/>
      <c r="U2" s="2593"/>
      <c r="V2" s="2601"/>
    </row>
    <row r="3" spans="1:22" s="2605" customFormat="1" ht="13.15" customHeight="1">
      <c r="A3" s="2606" t="s">
        <v>2312</v>
      </c>
      <c r="B3" s="2607" t="e">
        <f>ROUND(B2*10000/B4,0)</f>
        <v>#DIV/0!</v>
      </c>
      <c r="C3" s="2596" t="s">
        <v>2313</v>
      </c>
      <c r="D3" s="2596"/>
      <c r="E3" s="2597"/>
      <c r="F3" s="2598"/>
      <c r="G3" s="2599"/>
      <c r="H3" s="2600"/>
      <c r="I3" s="2601"/>
      <c r="J3" s="3406" t="s">
        <v>2314</v>
      </c>
      <c r="K3" s="3407"/>
      <c r="L3" s="2608"/>
      <c r="M3" s="2608"/>
      <c r="N3" s="2608"/>
      <c r="O3" s="2608"/>
      <c r="P3" s="2608"/>
      <c r="Q3" s="2609"/>
      <c r="R3" s="2610">
        <f>SUM(L3:Q3)</f>
        <v>0</v>
      </c>
      <c r="S3" s="2593"/>
      <c r="T3" s="2593"/>
      <c r="U3" s="2593"/>
      <c r="V3" s="2601"/>
    </row>
    <row r="4" spans="1:22" s="2605" customFormat="1" ht="13.15" customHeight="1">
      <c r="A4" s="2611" t="s">
        <v>2315</v>
      </c>
      <c r="B4" s="2612"/>
      <c r="C4" s="2596"/>
      <c r="D4" s="2596"/>
      <c r="E4" s="2597"/>
      <c r="F4" s="2598"/>
      <c r="G4" s="2599"/>
      <c r="H4" s="2600"/>
      <c r="I4" s="2601"/>
      <c r="J4" s="3406" t="s">
        <v>2316</v>
      </c>
      <c r="K4" s="3407"/>
      <c r="L4" s="2613"/>
      <c r="M4" s="2613"/>
      <c r="N4" s="2613"/>
      <c r="O4" s="2613"/>
      <c r="P4" s="2613"/>
      <c r="Q4" s="2614"/>
      <c r="R4" s="2615">
        <f>SUM(L4:Q4)</f>
        <v>0</v>
      </c>
      <c r="S4" s="2593"/>
      <c r="T4" s="2593"/>
      <c r="U4" s="2593"/>
      <c r="V4" s="2601"/>
    </row>
    <row r="5" spans="1:22" s="2605" customFormat="1" ht="13.15" customHeight="1" thickBot="1">
      <c r="A5" s="2616" t="s">
        <v>2317</v>
      </c>
      <c r="B5" s="2617"/>
      <c r="C5" s="2596"/>
      <c r="D5" s="2618"/>
      <c r="E5" s="2598"/>
      <c r="F5" s="2598"/>
      <c r="G5" s="2599"/>
      <c r="H5" s="2600"/>
      <c r="I5" s="2601"/>
      <c r="J5" s="2619" t="s">
        <v>2318</v>
      </c>
      <c r="K5" s="2620"/>
      <c r="L5" s="2620"/>
      <c r="M5" s="2621"/>
      <c r="N5" s="2621"/>
      <c r="O5" s="2621"/>
      <c r="P5" s="2621"/>
      <c r="Q5" s="2621"/>
      <c r="R5" s="2604">
        <f>SUM(R14,R19,R24,R25,R27,R28)</f>
        <v>0</v>
      </c>
      <c r="S5" s="2593"/>
      <c r="T5" s="2593" t="s">
        <v>2319</v>
      </c>
      <c r="U5" s="2593" t="e">
        <f>ROUND(R5*10000/365/R3,1)</f>
        <v>#DIV/0!</v>
      </c>
      <c r="V5" s="2601"/>
    </row>
    <row r="6" spans="1:22" s="2605" customFormat="1" ht="13.15" customHeight="1" thickBot="1">
      <c r="A6" s="3412" t="s">
        <v>2320</v>
      </c>
      <c r="B6" s="3413"/>
      <c r="C6" s="3414"/>
      <c r="D6" s="2622"/>
      <c r="E6" s="2623"/>
      <c r="F6" s="2624"/>
      <c r="G6" s="2625"/>
      <c r="H6" s="2600"/>
      <c r="I6" s="2601"/>
      <c r="J6" s="3398">
        <v>1</v>
      </c>
      <c r="K6" s="3399" t="s">
        <v>2321</v>
      </c>
      <c r="L6" s="2626" t="s">
        <v>2322</v>
      </c>
      <c r="M6" s="2627" t="s">
        <v>2323</v>
      </c>
      <c r="N6" s="2627" t="s">
        <v>2324</v>
      </c>
      <c r="O6" s="2627" t="s">
        <v>2325</v>
      </c>
      <c r="P6" s="2627" t="s">
        <v>2326</v>
      </c>
      <c r="Q6" s="2627" t="s">
        <v>2327</v>
      </c>
      <c r="R6" s="2610" t="s">
        <v>2328</v>
      </c>
      <c r="S6" s="2593"/>
      <c r="T6" s="2593" t="s">
        <v>2329</v>
      </c>
      <c r="U6" s="2593"/>
      <c r="V6" s="2601"/>
    </row>
    <row r="7" spans="1:22" s="2605" customFormat="1" ht="13.15" customHeight="1">
      <c r="A7" s="2628" t="s">
        <v>2330</v>
      </c>
      <c r="B7" s="2629"/>
      <c r="C7" s="2630"/>
      <c r="D7" s="2631">
        <f>SUM(D9,D10,D11,D17,0)</f>
        <v>0</v>
      </c>
      <c r="E7" s="2632" t="e">
        <f>E9+E10+E11+E17</f>
        <v>#DIV/0!</v>
      </c>
      <c r="F7" s="2633"/>
      <c r="G7" s="2634"/>
      <c r="H7" s="2600"/>
      <c r="I7" s="2601"/>
      <c r="J7" s="3398"/>
      <c r="K7" s="3400"/>
      <c r="L7" s="2635" t="s">
        <v>2331</v>
      </c>
      <c r="M7" s="2636"/>
      <c r="N7" s="2612"/>
      <c r="O7" s="2637"/>
      <c r="P7" s="2637"/>
      <c r="Q7" s="2638">
        <v>365</v>
      </c>
      <c r="R7" s="2639">
        <f>ROUND(M7*N7*O7*P7*Q7/10000,0)</f>
        <v>0</v>
      </c>
      <c r="S7" s="2593"/>
      <c r="T7" s="2593" t="s">
        <v>2332</v>
      </c>
      <c r="U7" s="2593"/>
      <c r="V7" s="2601"/>
    </row>
    <row r="8" spans="1:22" s="2605" customFormat="1" ht="13.15" customHeight="1">
      <c r="A8" s="2640" t="s">
        <v>2333</v>
      </c>
      <c r="B8" s="3415" t="s">
        <v>2334</v>
      </c>
      <c r="C8" s="3416"/>
      <c r="D8" s="2641" t="s">
        <v>2335</v>
      </c>
      <c r="E8" s="2642" t="s">
        <v>2336</v>
      </c>
      <c r="F8" s="2643" t="s">
        <v>2337</v>
      </c>
      <c r="G8" s="2644"/>
      <c r="H8" s="2600"/>
      <c r="I8" s="2601"/>
      <c r="J8" s="3398"/>
      <c r="K8" s="3400"/>
      <c r="L8" s="2635" t="s">
        <v>2338</v>
      </c>
      <c r="M8" s="2636"/>
      <c r="N8" s="2612"/>
      <c r="O8" s="2637"/>
      <c r="P8" s="2637"/>
      <c r="Q8" s="2638">
        <v>365</v>
      </c>
      <c r="R8" s="2639">
        <f t="shared" ref="R8:R13" si="0">ROUND(M8*N8*O8*P8*Q8/10000,0)</f>
        <v>0</v>
      </c>
      <c r="S8" s="2593"/>
      <c r="T8" s="2593" t="s">
        <v>2339</v>
      </c>
      <c r="U8" s="2593"/>
      <c r="V8" s="2601"/>
    </row>
    <row r="9" spans="1:22" s="2605" customFormat="1" ht="13.15" customHeight="1">
      <c r="A9" s="2640">
        <v>1</v>
      </c>
      <c r="B9" s="3415" t="s">
        <v>2340</v>
      </c>
      <c r="C9" s="3416"/>
      <c r="D9" s="2641">
        <f>ROUND(D6*E9,0)</f>
        <v>0</v>
      </c>
      <c r="E9" s="2645"/>
      <c r="F9" s="2646" t="s">
        <v>2341</v>
      </c>
      <c r="G9" s="2625"/>
      <c r="H9" s="2600"/>
      <c r="I9" s="2601"/>
      <c r="J9" s="3398"/>
      <c r="K9" s="3400"/>
      <c r="L9" s="2635" t="s">
        <v>2342</v>
      </c>
      <c r="M9" s="2636"/>
      <c r="N9" s="2612"/>
      <c r="O9" s="2637"/>
      <c r="P9" s="2637"/>
      <c r="Q9" s="2638">
        <v>365</v>
      </c>
      <c r="R9" s="2639">
        <f t="shared" si="0"/>
        <v>0</v>
      </c>
      <c r="S9" s="2593"/>
      <c r="T9" s="2593"/>
      <c r="U9" s="2593"/>
      <c r="V9" s="2601"/>
    </row>
    <row r="10" spans="1:22" s="2605" customFormat="1" ht="13.15" customHeight="1">
      <c r="A10" s="2640">
        <v>2</v>
      </c>
      <c r="B10" s="3415" t="s">
        <v>2343</v>
      </c>
      <c r="C10" s="3416"/>
      <c r="D10" s="2641">
        <f>ROUND(D6*E10,0)</f>
        <v>0</v>
      </c>
      <c r="E10" s="2645"/>
      <c r="F10" s="2646" t="s">
        <v>2344</v>
      </c>
      <c r="G10" s="2625"/>
      <c r="H10" s="2600"/>
      <c r="I10" s="2601"/>
      <c r="J10" s="3398"/>
      <c r="K10" s="3400"/>
      <c r="L10" s="2635" t="s">
        <v>2345</v>
      </c>
      <c r="M10" s="2636"/>
      <c r="N10" s="2612"/>
      <c r="O10" s="2637"/>
      <c r="P10" s="2637"/>
      <c r="Q10" s="2638">
        <v>365</v>
      </c>
      <c r="R10" s="2639">
        <f t="shared" si="0"/>
        <v>0</v>
      </c>
      <c r="S10" s="2593"/>
      <c r="T10" s="2593"/>
      <c r="U10" s="2593"/>
      <c r="V10" s="2601"/>
    </row>
    <row r="11" spans="1:22" s="2605" customFormat="1" ht="13.15" customHeight="1">
      <c r="A11" s="2640">
        <v>3</v>
      </c>
      <c r="B11" s="3415" t="s">
        <v>2346</v>
      </c>
      <c r="C11" s="3416"/>
      <c r="D11" s="2641">
        <f>D12+D14+D15+D16</f>
        <v>0</v>
      </c>
      <c r="E11" s="2647" t="e">
        <f>D11/D6</f>
        <v>#DIV/0!</v>
      </c>
      <c r="F11" s="2643"/>
      <c r="G11" s="2644"/>
      <c r="H11" s="2600"/>
      <c r="I11" s="2601"/>
      <c r="J11" s="3398"/>
      <c r="K11" s="3400"/>
      <c r="L11" s="2635" t="s">
        <v>2347</v>
      </c>
      <c r="M11" s="2636"/>
      <c r="N11" s="2612"/>
      <c r="O11" s="2637"/>
      <c r="P11" s="2637"/>
      <c r="Q11" s="2638">
        <v>365</v>
      </c>
      <c r="R11" s="2639">
        <f t="shared" si="0"/>
        <v>0</v>
      </c>
      <c r="S11" s="2593"/>
      <c r="T11" s="2593"/>
      <c r="U11" s="2593"/>
      <c r="V11" s="2601"/>
    </row>
    <row r="12" spans="1:22" s="2605" customFormat="1" ht="13.15" customHeight="1">
      <c r="A12" s="2648" t="s">
        <v>2348</v>
      </c>
      <c r="B12" s="3408" t="s">
        <v>2349</v>
      </c>
      <c r="C12" s="3409"/>
      <c r="D12" s="2649">
        <f>ROUND(D13*1.2%*(1-30%),0)</f>
        <v>0</v>
      </c>
      <c r="E12" s="2650">
        <v>1.2E-2</v>
      </c>
      <c r="F12" s="2643" t="s">
        <v>2350</v>
      </c>
      <c r="G12" s="2644"/>
      <c r="H12" s="2600"/>
      <c r="I12" s="2601"/>
      <c r="J12" s="3398"/>
      <c r="K12" s="3400"/>
      <c r="L12" s="2635" t="s">
        <v>2351</v>
      </c>
      <c r="M12" s="2636"/>
      <c r="N12" s="2612"/>
      <c r="O12" s="2637"/>
      <c r="P12" s="2637"/>
      <c r="Q12" s="2638">
        <v>365</v>
      </c>
      <c r="R12" s="2639">
        <f t="shared" si="0"/>
        <v>0</v>
      </c>
      <c r="S12" s="2593"/>
      <c r="T12" s="2593"/>
      <c r="U12" s="2593"/>
      <c r="V12" s="2601"/>
    </row>
    <row r="13" spans="1:22" s="2605" customFormat="1" ht="13.15" customHeight="1">
      <c r="A13" s="2648"/>
      <c r="B13" s="2651"/>
      <c r="C13" s="2652" t="s">
        <v>2352</v>
      </c>
      <c r="D13" s="2653"/>
      <c r="E13" s="2654"/>
      <c r="F13" s="2643"/>
      <c r="G13" s="2644"/>
      <c r="H13" s="2600"/>
      <c r="I13" s="2601"/>
      <c r="J13" s="3398"/>
      <c r="K13" s="3400"/>
      <c r="L13" s="2635" t="s">
        <v>2353</v>
      </c>
      <c r="M13" s="2636"/>
      <c r="N13" s="2612"/>
      <c r="O13" s="2637"/>
      <c r="P13" s="2637"/>
      <c r="Q13" s="2638">
        <v>365</v>
      </c>
      <c r="R13" s="2639">
        <f t="shared" si="0"/>
        <v>0</v>
      </c>
      <c r="S13" s="2593"/>
      <c r="T13" s="2593"/>
      <c r="U13" s="2593"/>
      <c r="V13" s="2601"/>
    </row>
    <row r="14" spans="1:22" s="2605" customFormat="1" ht="13.15" customHeight="1">
      <c r="A14" s="2648" t="s">
        <v>2354</v>
      </c>
      <c r="B14" s="3408" t="s">
        <v>2355</v>
      </c>
      <c r="C14" s="3409"/>
      <c r="D14" s="2649">
        <f>ROUND(E14*B5/10000,0)</f>
        <v>0</v>
      </c>
      <c r="E14" s="2638"/>
      <c r="F14" s="2643" t="s">
        <v>2356</v>
      </c>
      <c r="G14" s="2644"/>
      <c r="H14" s="2600"/>
      <c r="I14" s="2601"/>
      <c r="J14" s="3398"/>
      <c r="K14" s="3401"/>
      <c r="L14" s="2655" t="s">
        <v>2357</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2358</v>
      </c>
      <c r="B15" s="3408" t="s">
        <v>2359</v>
      </c>
      <c r="C15" s="3409"/>
      <c r="D15" s="2649">
        <f>ROUND(D6*E15,0)</f>
        <v>0</v>
      </c>
      <c r="E15" s="2650">
        <v>5.5E-2</v>
      </c>
      <c r="F15" s="2643" t="s">
        <v>2360</v>
      </c>
      <c r="G15" s="2625"/>
      <c r="H15" s="2600"/>
      <c r="I15" s="2601"/>
      <c r="J15" s="3398">
        <v>2</v>
      </c>
      <c r="K15" s="3399" t="s">
        <v>2361</v>
      </c>
      <c r="L15" s="2635" t="s">
        <v>2362</v>
      </c>
      <c r="M15" s="2636" t="s">
        <v>2363</v>
      </c>
      <c r="N15" s="2636" t="s">
        <v>2364</v>
      </c>
      <c r="O15" s="2637" t="s">
        <v>2365</v>
      </c>
      <c r="P15" s="2637" t="s">
        <v>2327</v>
      </c>
      <c r="Q15" s="2612" t="s">
        <v>2366</v>
      </c>
      <c r="R15" s="2659" t="s">
        <v>2328</v>
      </c>
      <c r="S15" s="2593"/>
      <c r="T15" s="2593"/>
      <c r="U15" s="2593"/>
      <c r="V15" s="2601"/>
    </row>
    <row r="16" spans="1:22" s="2605" customFormat="1" ht="13.15" customHeight="1">
      <c r="A16" s="2648" t="s">
        <v>2367</v>
      </c>
      <c r="B16" s="3408" t="s">
        <v>2368</v>
      </c>
      <c r="C16" s="3409"/>
      <c r="D16" s="2660">
        <f>D6*E16</f>
        <v>0</v>
      </c>
      <c r="E16" s="2661"/>
      <c r="F16" s="2646" t="s">
        <v>2369</v>
      </c>
      <c r="G16" s="2625"/>
      <c r="H16" s="2600"/>
      <c r="I16" s="2601"/>
      <c r="J16" s="3398"/>
      <c r="K16" s="3400"/>
      <c r="L16" s="2635" t="s">
        <v>2370</v>
      </c>
      <c r="M16" s="2636"/>
      <c r="N16" s="2636"/>
      <c r="O16" s="2637"/>
      <c r="P16" s="2638">
        <v>365</v>
      </c>
      <c r="Q16" s="2612"/>
      <c r="R16" s="2659">
        <f>ROUND(M16*N16*O16*P16/10000,0)</f>
        <v>0</v>
      </c>
      <c r="S16" s="2593"/>
      <c r="T16" s="2593"/>
      <c r="U16" s="2593"/>
      <c r="V16" s="2601"/>
    </row>
    <row r="17" spans="1:22" s="2605" customFormat="1" ht="13.15" customHeight="1" thickBot="1">
      <c r="A17" s="2662">
        <v>4</v>
      </c>
      <c r="B17" s="3410" t="s">
        <v>2371</v>
      </c>
      <c r="C17" s="3411"/>
      <c r="D17" s="2663">
        <f>ROUND(D6*E17,0)</f>
        <v>0</v>
      </c>
      <c r="E17" s="2664"/>
      <c r="F17" s="2665" t="s">
        <v>2372</v>
      </c>
      <c r="G17" s="2625"/>
      <c r="H17" s="2600"/>
      <c r="I17" s="2601"/>
      <c r="J17" s="3398"/>
      <c r="K17" s="3400"/>
      <c r="L17" s="2635" t="s">
        <v>2373</v>
      </c>
      <c r="M17" s="2636"/>
      <c r="N17" s="2636"/>
      <c r="O17" s="2637"/>
      <c r="P17" s="2638">
        <v>365</v>
      </c>
      <c r="Q17" s="2612"/>
      <c r="R17" s="2659">
        <f>ROUND(M17*N17*O17*P17/10000,0)</f>
        <v>0</v>
      </c>
      <c r="S17" s="2593"/>
      <c r="T17" s="2593"/>
      <c r="U17" s="2593"/>
      <c r="V17" s="2601"/>
    </row>
    <row r="18" spans="1:22" s="2605" customFormat="1" ht="13.15" customHeight="1" thickBot="1">
      <c r="A18" s="2628" t="s">
        <v>2374</v>
      </c>
      <c r="B18" s="2629"/>
      <c r="C18" s="2629"/>
      <c r="D18" s="2666">
        <f>ROUND(D6*E18,0)</f>
        <v>0</v>
      </c>
      <c r="E18" s="2667"/>
      <c r="F18" s="2668" t="s">
        <v>2375</v>
      </c>
      <c r="G18" s="2625"/>
      <c r="H18" s="2600"/>
      <c r="I18" s="2601"/>
      <c r="J18" s="3398"/>
      <c r="K18" s="3400"/>
      <c r="L18" s="2635" t="s">
        <v>2376</v>
      </c>
      <c r="M18" s="2636"/>
      <c r="N18" s="2636"/>
      <c r="O18" s="2637"/>
      <c r="P18" s="2638">
        <v>365</v>
      </c>
      <c r="Q18" s="2612"/>
      <c r="R18" s="2659">
        <f>ROUND(M18*N18*O18*P18/10000,0)</f>
        <v>0</v>
      </c>
      <c r="S18" s="2593"/>
      <c r="T18" s="2593"/>
      <c r="U18" s="2593"/>
      <c r="V18" s="2601"/>
    </row>
    <row r="19" spans="1:22" s="2605" customFormat="1" ht="13.15" customHeight="1" thickBot="1">
      <c r="A19" s="2669" t="s">
        <v>2377</v>
      </c>
      <c r="B19" s="2623"/>
      <c r="C19" s="2623"/>
      <c r="D19" s="2623"/>
      <c r="E19" s="2623"/>
      <c r="F19" s="2624"/>
      <c r="G19" s="2644"/>
      <c r="H19" s="2600"/>
      <c r="I19" s="2601"/>
      <c r="J19" s="3398"/>
      <c r="K19" s="3401"/>
      <c r="L19" s="2655" t="s">
        <v>2357</v>
      </c>
      <c r="M19" s="2656"/>
      <c r="N19" s="2656">
        <f>SUM(N16:N18)</f>
        <v>0</v>
      </c>
      <c r="O19" s="2657"/>
      <c r="P19" s="2670" t="s">
        <v>2421</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8">
        <v>3</v>
      </c>
      <c r="K20" s="3399" t="s">
        <v>2378</v>
      </c>
      <c r="L20" s="2635" t="s">
        <v>2379</v>
      </c>
      <c r="M20" s="2636" t="s">
        <v>2380</v>
      </c>
      <c r="N20" s="2673" t="s">
        <v>2381</v>
      </c>
      <c r="O20" s="2637" t="s">
        <v>2382</v>
      </c>
      <c r="P20" s="2638" t="s">
        <v>2383</v>
      </c>
      <c r="Q20" s="2612" t="s">
        <v>2384</v>
      </c>
      <c r="R20" s="2659" t="s">
        <v>2385</v>
      </c>
      <c r="S20" s="2593"/>
      <c r="T20" s="2593"/>
      <c r="U20" s="2593"/>
      <c r="V20" s="2601"/>
    </row>
    <row r="21" spans="1:22" s="2605" customFormat="1" ht="13.15" customHeight="1">
      <c r="A21" s="2628"/>
      <c r="B21" s="2629"/>
      <c r="C21" s="2674" t="s">
        <v>2386</v>
      </c>
      <c r="D21" s="2675" t="s">
        <v>2387</v>
      </c>
      <c r="E21" s="2676" t="s">
        <v>2388</v>
      </c>
      <c r="F21" s="2672"/>
      <c r="G21" s="2644"/>
      <c r="H21" s="2600"/>
      <c r="I21" s="2601"/>
      <c r="J21" s="3398"/>
      <c r="K21" s="3400"/>
      <c r="L21" s="2635" t="s">
        <v>2389</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2390</v>
      </c>
      <c r="D22" s="2679" t="s">
        <v>2391</v>
      </c>
      <c r="E22" s="2680" t="s">
        <v>2392</v>
      </c>
      <c r="F22" s="2672"/>
      <c r="G22" s="2593"/>
      <c r="H22" s="2600"/>
      <c r="I22" s="2601"/>
      <c r="J22" s="3398"/>
      <c r="K22" s="3400"/>
      <c r="L22" s="2635" t="s">
        <v>2393</v>
      </c>
      <c r="M22" s="2636"/>
      <c r="N22" s="2636"/>
      <c r="O22" s="2637"/>
      <c r="P22" s="2638">
        <v>365</v>
      </c>
      <c r="Q22" s="2612"/>
      <c r="R22" s="2677">
        <f>ROUND(M22*N22*O22*P22/10000,0)</f>
        <v>0</v>
      </c>
      <c r="S22" s="2593"/>
      <c r="T22" s="2593"/>
      <c r="U22" s="2593"/>
      <c r="V22" s="2601"/>
    </row>
    <row r="23" spans="1:22" s="2605" customFormat="1" ht="13.15" customHeight="1">
      <c r="A23" s="2681">
        <v>1</v>
      </c>
      <c r="B23" s="2682" t="s">
        <v>2394</v>
      </c>
      <c r="C23" s="2683">
        <f>D6</f>
        <v>0</v>
      </c>
      <c r="D23" s="2684">
        <f>C23*(1+D24)</f>
        <v>0</v>
      </c>
      <c r="E23" s="2685">
        <f>D23*(1+E24)</f>
        <v>0</v>
      </c>
      <c r="F23" s="2686"/>
      <c r="G23" s="2687"/>
      <c r="H23" s="2600"/>
      <c r="I23" s="2601"/>
      <c r="J23" s="3398"/>
      <c r="K23" s="3400"/>
      <c r="L23" s="2635" t="s">
        <v>2395</v>
      </c>
      <c r="M23" s="2636"/>
      <c r="N23" s="2636"/>
      <c r="O23" s="2637"/>
      <c r="P23" s="2638">
        <v>365</v>
      </c>
      <c r="Q23" s="2612"/>
      <c r="R23" s="2677">
        <f>ROUND(M23*N23*O23*P23/10000,0)</f>
        <v>0</v>
      </c>
      <c r="S23" s="2593"/>
      <c r="T23" s="2593"/>
      <c r="U23" s="2593"/>
      <c r="V23" s="2601"/>
    </row>
    <row r="24" spans="1:22" s="2605" customFormat="1" ht="13.15" customHeight="1">
      <c r="A24" s="2688"/>
      <c r="B24" s="2689" t="s">
        <v>2396</v>
      </c>
      <c r="C24" s="2690"/>
      <c r="D24" s="2691"/>
      <c r="E24" s="2692"/>
      <c r="F24" s="2693"/>
      <c r="G24" s="2687"/>
      <c r="H24" s="2600"/>
      <c r="I24" s="2601"/>
      <c r="J24" s="3398"/>
      <c r="K24" s="3401"/>
      <c r="L24" s="2655" t="s">
        <v>2357</v>
      </c>
      <c r="M24" s="2656">
        <f>SUM(M21:M23)</f>
        <v>0</v>
      </c>
      <c r="N24" s="2656"/>
      <c r="O24" s="2657"/>
      <c r="P24" s="2670" t="s">
        <v>2421</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2397</v>
      </c>
      <c r="L25" s="2696"/>
      <c r="M25" s="2696"/>
      <c r="N25" s="2696"/>
      <c r="O25" s="2696"/>
      <c r="P25" s="2697"/>
      <c r="Q25" s="2698">
        <v>0</v>
      </c>
      <c r="R25" s="2671">
        <f>ROUND(R14*Q25,0)</f>
        <v>0</v>
      </c>
      <c r="S25" s="2593"/>
      <c r="T25" s="2593"/>
      <c r="U25" s="2593"/>
      <c r="V25" s="2699"/>
    </row>
    <row r="26" spans="1:22" s="2700" customFormat="1" ht="13.15" customHeight="1">
      <c r="A26" s="2681">
        <v>2</v>
      </c>
      <c r="B26" s="2682" t="s">
        <v>2398</v>
      </c>
      <c r="C26" s="2683">
        <f>D7</f>
        <v>0</v>
      </c>
      <c r="D26" s="2684">
        <f>D23*D27</f>
        <v>0</v>
      </c>
      <c r="E26" s="2685">
        <f>E23*E27</f>
        <v>0</v>
      </c>
      <c r="F26" s="2686"/>
      <c r="G26" s="2687"/>
      <c r="H26" s="2600"/>
      <c r="I26" s="2601"/>
      <c r="J26" s="3402">
        <v>5</v>
      </c>
      <c r="K26" s="2701" t="s">
        <v>2399</v>
      </c>
      <c r="L26" s="2702"/>
      <c r="M26" s="2703"/>
      <c r="N26" s="2704" t="s">
        <v>2400</v>
      </c>
      <c r="O26" s="2704" t="s">
        <v>2401</v>
      </c>
      <c r="P26" s="2705" t="s">
        <v>2402</v>
      </c>
      <c r="Q26" s="2705" t="s">
        <v>2403</v>
      </c>
      <c r="R26" s="2610" t="s">
        <v>2328</v>
      </c>
      <c r="S26" s="2644"/>
      <c r="T26" s="2644"/>
      <c r="U26" s="2644"/>
      <c r="V26" s="2699"/>
    </row>
    <row r="27" spans="1:22" s="2605" customFormat="1" ht="13.15" customHeight="1">
      <c r="A27" s="2688"/>
      <c r="B27" s="2689" t="s">
        <v>2404</v>
      </c>
      <c r="C27" s="2706" t="e">
        <f>E7</f>
        <v>#DIV/0!</v>
      </c>
      <c r="D27" s="2691"/>
      <c r="E27" s="2692"/>
      <c r="F27" s="2693"/>
      <c r="G27" s="2687"/>
      <c r="H27" s="2707"/>
      <c r="I27" s="2699"/>
      <c r="J27" s="340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2405</v>
      </c>
      <c r="F28" s="2693"/>
      <c r="G28" s="2593"/>
      <c r="H28" s="2707"/>
      <c r="I28" s="2699"/>
      <c r="J28" s="2713">
        <v>6</v>
      </c>
      <c r="K28" s="2714" t="s">
        <v>2406</v>
      </c>
      <c r="L28" s="2715" t="s">
        <v>2407</v>
      </c>
      <c r="M28" s="2716"/>
      <c r="N28" s="2715" t="s">
        <v>2408</v>
      </c>
      <c r="O28" s="2717"/>
      <c r="P28" s="2715" t="s">
        <v>2409</v>
      </c>
      <c r="Q28" s="2718">
        <v>1.4999999999999999E-2</v>
      </c>
      <c r="R28" s="2719"/>
      <c r="S28" s="2593"/>
      <c r="T28" s="2593"/>
      <c r="U28" s="2593"/>
      <c r="V28" s="2699"/>
    </row>
    <row r="29" spans="1:22" s="2700" customFormat="1" ht="13.15" customHeight="1">
      <c r="A29" s="2681">
        <v>3</v>
      </c>
      <c r="B29" s="2682" t="s">
        <v>2410</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2404</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2411</v>
      </c>
      <c r="K31" s="2591"/>
      <c r="L31" s="2591"/>
      <c r="M31" s="2591"/>
      <c r="N31" s="2591"/>
      <c r="O31" s="2591"/>
      <c r="P31" s="2591"/>
      <c r="Q31" s="2591"/>
      <c r="R31" s="2592"/>
      <c r="S31" s="2593"/>
      <c r="T31" s="2593"/>
      <c r="U31" s="2593"/>
      <c r="V31" s="2699"/>
    </row>
    <row r="32" spans="1:22" s="2700" customFormat="1" ht="13.15" customHeight="1">
      <c r="A32" s="2681">
        <v>4</v>
      </c>
      <c r="B32" s="2682" t="s">
        <v>2412</v>
      </c>
      <c r="C32" s="2683">
        <f>C23-C26-C29</f>
        <v>0</v>
      </c>
      <c r="D32" s="2684">
        <f>D23-D26-D29</f>
        <v>0</v>
      </c>
      <c r="E32" s="2685">
        <f>E23-E26-E29</f>
        <v>0</v>
      </c>
      <c r="F32" s="2686"/>
      <c r="G32" s="2593"/>
      <c r="H32" s="2600"/>
      <c r="I32" s="2601"/>
      <c r="J32" s="3404" t="s">
        <v>2304</v>
      </c>
      <c r="K32" s="3405"/>
      <c r="L32" s="2602" t="s">
        <v>2305</v>
      </c>
      <c r="M32" s="2602" t="s">
        <v>2306</v>
      </c>
      <c r="N32" s="2602" t="s">
        <v>2307</v>
      </c>
      <c r="O32" s="2602" t="s">
        <v>2308</v>
      </c>
      <c r="P32" s="2602" t="s">
        <v>2309</v>
      </c>
      <c r="Q32" s="2603" t="s">
        <v>2310</v>
      </c>
      <c r="R32" s="2722" t="s">
        <v>2311</v>
      </c>
      <c r="S32" s="2593"/>
      <c r="T32" s="2593"/>
      <c r="U32" s="2593"/>
      <c r="V32" s="2699"/>
    </row>
    <row r="33" spans="1:23" s="2605" customFormat="1" ht="13.15" customHeight="1">
      <c r="A33" s="2681"/>
      <c r="B33" s="2682"/>
      <c r="C33" s="2683"/>
      <c r="D33" s="2723"/>
      <c r="E33" s="2724"/>
      <c r="F33" s="2686"/>
      <c r="G33" s="2593"/>
      <c r="H33" s="2707"/>
      <c r="I33" s="2699"/>
      <c r="J33" s="3406" t="s">
        <v>2314</v>
      </c>
      <c r="K33" s="3407"/>
      <c r="L33" s="2608"/>
      <c r="M33" s="2608"/>
      <c r="N33" s="2608"/>
      <c r="O33" s="2608"/>
      <c r="P33" s="2608"/>
      <c r="Q33" s="2609"/>
      <c r="R33" s="2725">
        <f>SUM(L33:Q33)</f>
        <v>0</v>
      </c>
      <c r="S33" s="2593"/>
      <c r="T33" s="2593"/>
      <c r="U33" s="2593"/>
      <c r="V33" s="2601"/>
    </row>
    <row r="34" spans="1:23" s="2605" customFormat="1" ht="13.15" customHeight="1">
      <c r="A34" s="2681">
        <v>5</v>
      </c>
      <c r="B34" s="2682" t="s">
        <v>2413</v>
      </c>
      <c r="C34" s="2726"/>
      <c r="D34" s="2727"/>
      <c r="E34" s="2728"/>
      <c r="F34" s="2686"/>
      <c r="G34" s="2593"/>
      <c r="H34" s="2707"/>
      <c r="I34" s="2699"/>
      <c r="J34" s="3406" t="s">
        <v>2316</v>
      </c>
      <c r="K34" s="340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2414</v>
      </c>
      <c r="C35" s="2730"/>
      <c r="D35" s="2731"/>
      <c r="E35" s="2732"/>
      <c r="F35" s="2686"/>
      <c r="G35" s="2733"/>
      <c r="H35" s="2600"/>
      <c r="I35" s="2699"/>
      <c r="J35" s="2619" t="s">
        <v>2318</v>
      </c>
      <c r="K35" s="2620"/>
      <c r="L35" s="2620"/>
      <c r="M35" s="2621"/>
      <c r="N35" s="2621"/>
      <c r="O35" s="2621"/>
      <c r="P35" s="2621"/>
      <c r="Q35" s="2621"/>
      <c r="R35" s="2734">
        <f>R40+R41+R43</f>
        <v>0</v>
      </c>
      <c r="S35" s="2593"/>
      <c r="T35" s="2593" t="s">
        <v>2319</v>
      </c>
      <c r="U35" s="2593"/>
      <c r="V35" s="2601"/>
    </row>
    <row r="36" spans="1:23" s="2605" customFormat="1" ht="13.15" customHeight="1" thickBot="1">
      <c r="A36" s="2681">
        <v>7</v>
      </c>
      <c r="B36" s="2735" t="s">
        <v>2415</v>
      </c>
      <c r="C36" s="2736"/>
      <c r="D36" s="2737"/>
      <c r="E36" s="2738"/>
      <c r="F36" s="2739">
        <f>C36+D36+E36</f>
        <v>0</v>
      </c>
      <c r="G36" s="2593"/>
      <c r="H36" s="2600"/>
      <c r="I36" s="2601"/>
      <c r="J36" s="3398">
        <v>1</v>
      </c>
      <c r="K36" s="3399" t="s">
        <v>2416</v>
      </c>
      <c r="L36" s="2626"/>
      <c r="M36" s="2627"/>
      <c r="N36" s="2627"/>
      <c r="O36" s="2627"/>
      <c r="P36" s="2627"/>
      <c r="Q36" s="2627"/>
      <c r="R36" s="2610" t="s">
        <v>2328</v>
      </c>
      <c r="S36" s="2593"/>
      <c r="T36" s="2593" t="s">
        <v>2329</v>
      </c>
      <c r="U36" s="2593"/>
      <c r="V36" s="2601"/>
    </row>
    <row r="37" spans="1:23" s="2605" customFormat="1" ht="13.15" customHeight="1">
      <c r="A37" s="2681"/>
      <c r="B37" s="2682"/>
      <c r="C37" s="2682"/>
      <c r="D37" s="2682"/>
      <c r="E37" s="2682"/>
      <c r="F37" s="2686"/>
      <c r="G37" s="2593"/>
      <c r="H37" s="2600"/>
      <c r="I37" s="2601"/>
      <c r="J37" s="3398"/>
      <c r="K37" s="3400"/>
      <c r="L37" s="2635"/>
      <c r="M37" s="2636"/>
      <c r="N37" s="2612"/>
      <c r="O37" s="2637"/>
      <c r="P37" s="2637"/>
      <c r="Q37" s="2638"/>
      <c r="R37" s="2639"/>
      <c r="S37" s="2593"/>
      <c r="T37" s="2593" t="s">
        <v>2332</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8"/>
      <c r="K38" s="3400"/>
      <c r="L38" s="2635"/>
      <c r="M38" s="2636"/>
      <c r="N38" s="2612"/>
      <c r="O38" s="2637"/>
      <c r="P38" s="2637"/>
      <c r="Q38" s="2638"/>
      <c r="R38" s="2639"/>
      <c r="S38" s="2593"/>
      <c r="T38" s="2593" t="s">
        <v>2339</v>
      </c>
      <c r="U38" s="2593"/>
      <c r="V38" s="2601"/>
    </row>
    <row r="39" spans="1:23" s="2605" customFormat="1" ht="13.15" customHeight="1">
      <c r="A39" s="2681">
        <v>9</v>
      </c>
      <c r="B39" s="2682" t="s">
        <v>2417</v>
      </c>
      <c r="C39" s="2649" t="e">
        <f>C38</f>
        <v>#DIV/0!</v>
      </c>
      <c r="D39" s="2682">
        <f>D38/(1+D34)^C36</f>
        <v>0</v>
      </c>
      <c r="E39" s="2682">
        <f>E38/(1+E34)^(C36+D36)</f>
        <v>0</v>
      </c>
      <c r="F39" s="2686"/>
      <c r="G39" s="2601"/>
      <c r="H39" s="2600"/>
      <c r="I39" s="2601"/>
      <c r="J39" s="3398"/>
      <c r="K39" s="3400"/>
      <c r="L39" s="2635"/>
      <c r="M39" s="2636"/>
      <c r="N39" s="2612"/>
      <c r="O39" s="2637"/>
      <c r="P39" s="2637"/>
      <c r="Q39" s="2638"/>
      <c r="R39" s="2639"/>
      <c r="S39" s="2593"/>
      <c r="T39" s="2593"/>
      <c r="U39" s="2593"/>
      <c r="V39" s="2601"/>
    </row>
    <row r="40" spans="1:23" s="2605" customFormat="1" ht="13.15" customHeight="1">
      <c r="A40" s="2740">
        <v>10</v>
      </c>
      <c r="B40" s="2682" t="s">
        <v>2418</v>
      </c>
      <c r="C40" s="2741" t="e">
        <f>C39+D39+E39</f>
        <v>#DIV/0!</v>
      </c>
      <c r="D40" s="2742"/>
      <c r="E40" s="2742"/>
      <c r="F40" s="2743"/>
      <c r="G40" s="2593"/>
      <c r="H40" s="2600"/>
      <c r="I40" s="2601"/>
      <c r="J40" s="3398"/>
      <c r="K40" s="3401"/>
      <c r="L40" s="2655" t="s">
        <v>2357</v>
      </c>
      <c r="M40" s="2656"/>
      <c r="N40" s="2656"/>
      <c r="O40" s="2657"/>
      <c r="P40" s="2657"/>
      <c r="Q40" s="2658"/>
      <c r="R40" s="2604">
        <f>SUM(R37:R39)</f>
        <v>0</v>
      </c>
      <c r="S40" s="2593"/>
      <c r="T40" s="2593"/>
      <c r="U40" s="2593"/>
      <c r="V40" s="2601"/>
    </row>
    <row r="41" spans="1:23" s="2605" customFormat="1" ht="13.15" customHeight="1" thickBot="1">
      <c r="A41" s="2744">
        <v>11</v>
      </c>
      <c r="B41" s="2745" t="s">
        <v>2419</v>
      </c>
      <c r="C41" s="2745" t="e">
        <f>ROUND(C40*10000/B4,0)</f>
        <v>#DIV/0!</v>
      </c>
      <c r="D41" s="2746"/>
      <c r="E41" s="2746"/>
      <c r="F41" s="2747"/>
      <c r="G41" s="2600"/>
      <c r="H41" s="2600"/>
      <c r="I41" s="2601"/>
      <c r="J41" s="2694">
        <v>2</v>
      </c>
      <c r="K41" s="2695" t="s">
        <v>2397</v>
      </c>
      <c r="L41" s="2696"/>
      <c r="M41" s="2696"/>
      <c r="N41" s="2696"/>
      <c r="O41" s="2696"/>
      <c r="P41" s="2697"/>
      <c r="Q41" s="2698"/>
      <c r="R41" s="2671">
        <f>ROUND(R40*Q41,0)</f>
        <v>0</v>
      </c>
      <c r="S41" s="2593"/>
      <c r="T41" s="2593"/>
      <c r="U41" s="2644"/>
      <c r="V41" s="2601"/>
    </row>
    <row r="42" spans="1:23" s="2605" customFormat="1" ht="13.15" customHeight="1">
      <c r="G42" s="2600"/>
      <c r="H42" s="2600"/>
      <c r="I42" s="2601"/>
      <c r="J42" s="3402">
        <v>3</v>
      </c>
      <c r="K42" s="2701" t="s">
        <v>2399</v>
      </c>
      <c r="L42" s="2702"/>
      <c r="M42" s="2703"/>
      <c r="N42" s="2704" t="s">
        <v>2400</v>
      </c>
      <c r="O42" s="2704" t="s">
        <v>2401</v>
      </c>
      <c r="P42" s="2705" t="s">
        <v>2402</v>
      </c>
      <c r="Q42" s="2705" t="s">
        <v>2403</v>
      </c>
      <c r="R42" s="2610" t="s">
        <v>2328</v>
      </c>
      <c r="S42" s="2644"/>
      <c r="T42" s="2644"/>
      <c r="U42" s="2593"/>
      <c r="V42" s="2601"/>
    </row>
    <row r="43" spans="1:23" ht="13.15" customHeight="1">
      <c r="A43" s="2605"/>
      <c r="B43" s="2605"/>
      <c r="C43" s="2605"/>
      <c r="D43" s="2605"/>
      <c r="E43" s="2605"/>
      <c r="F43" s="2605"/>
      <c r="I43" s="2588"/>
      <c r="J43" s="340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2406</v>
      </c>
      <c r="L44" s="2750" t="s">
        <v>2407</v>
      </c>
      <c r="M44" s="2716"/>
      <c r="N44" s="2750" t="s">
        <v>2408</v>
      </c>
      <c r="O44" s="2716"/>
      <c r="P44" s="2750" t="s">
        <v>2409</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894</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895</v>
      </c>
    </row>
    <row r="6" spans="1:1" ht="18.75">
      <c r="A6" s="1384" t="s">
        <v>896</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估价对象为北京市房地产，为所有。根据《国有土地使用证》[]，估价对象（分摊）出让国有建设用地使用权面积为0平方米，建筑面积为36389.27平方米。</v>
      </c>
    </row>
    <row r="8" spans="1:1" ht="57.75">
      <c r="A8" s="1385" t="s">
        <v>897</v>
      </c>
    </row>
    <row r="9" spans="1:1" ht="18.75">
      <c r="A9" s="1384" t="s">
        <v>898</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估价对象为北京市房地产,属开发建设的，该项目尚在开发建设中。根据《国有土地使用证》[]，估价对象（分摊）出让国有建设用地使用权面积为0平方米，规划建筑面积为36389.27平方米。</v>
      </c>
    </row>
    <row r="11" spans="1:1" ht="76.5">
      <c r="A11" s="1385" t="s">
        <v>899</v>
      </c>
    </row>
    <row r="12" spans="1:1" ht="18.75">
      <c r="A12" s="1383" t="s">
        <v>900</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901</v>
      </c>
    </row>
    <row r="15" spans="1:1" ht="18">
      <c r="A15" s="1386" t="str">
        <f>TEXT(项目基本情况!D3,"yyyy年m月d日;;")&amp;IF(项目基本情况!D3=项目基本情况!B3,"（评估专业人员实地查勘之日）","")</f>
        <v>2025年8月20日（评估专业人员实地查勘之日）</v>
      </c>
    </row>
    <row r="16" spans="1:1" ht="18.75">
      <c r="A16" s="1381" t="s">
        <v>902</v>
      </c>
    </row>
    <row r="17" spans="1:1" ht="75">
      <c r="A17" s="1382" t="s">
        <v>903</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892</v>
      </c>
    </row>
    <row r="24" spans="1:1" ht="18">
      <c r="A24" s="1387" t="str">
        <f>"本次评估采用的主估价方法为"&amp;结果表!K4&amp;"和"&amp;结果表!L4&amp;"。"</f>
        <v>本次评估采用的主估价方法为成本法和收益法。</v>
      </c>
    </row>
    <row r="25" spans="1:1" ht="18">
      <c r="A25" s="1387"/>
    </row>
    <row r="26" spans="1:1" ht="18.75">
      <c r="A26" s="1388"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1654</v>
      </c>
      <c r="B1" s="1726"/>
      <c r="C1" s="1726"/>
      <c r="D1" s="1726"/>
      <c r="E1" s="1727"/>
      <c r="F1" s="2480"/>
      <c r="G1" s="459"/>
      <c r="H1" s="459"/>
      <c r="I1" s="459"/>
      <c r="J1" s="459"/>
      <c r="K1" s="459"/>
      <c r="L1" s="459"/>
      <c r="M1" s="459"/>
      <c r="N1" s="459"/>
      <c r="O1" s="459"/>
      <c r="P1" s="459"/>
      <c r="Q1" s="459"/>
      <c r="R1" s="459"/>
      <c r="S1" s="459"/>
    </row>
    <row r="2" spans="1:22" ht="15.75">
      <c r="A2" s="1728" t="s">
        <v>1458</v>
      </c>
      <c r="B2" s="811">
        <f ca="1">SUMIF(B6:B13,"&lt;&gt;#ref!",B6:B13)</f>
        <v>69216</v>
      </c>
      <c r="C2" s="1729" t="s">
        <v>1647</v>
      </c>
      <c r="D2" s="1730" t="s">
        <v>1648</v>
      </c>
      <c r="E2" s="2393">
        <f>SUM(E6:E13)</f>
        <v>36389.269999999997</v>
      </c>
      <c r="F2" s="2480"/>
      <c r="G2" s="459"/>
      <c r="H2" s="459"/>
      <c r="I2" s="459"/>
      <c r="J2" s="459"/>
      <c r="K2" s="459"/>
      <c r="L2" s="459"/>
      <c r="M2" s="459"/>
      <c r="N2" s="459"/>
      <c r="O2" s="459"/>
      <c r="P2" s="459"/>
      <c r="Q2" s="459"/>
      <c r="R2" s="459"/>
      <c r="S2" s="459"/>
    </row>
    <row r="3" spans="1:22" ht="15.75">
      <c r="A3" s="1728" t="s">
        <v>682</v>
      </c>
      <c r="B3" s="2387">
        <f ca="1">ROUND(B2*10000/E2,0)</f>
        <v>19021</v>
      </c>
      <c r="C3" s="1729" t="s">
        <v>1655</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1649</v>
      </c>
      <c r="B5" s="3417" t="s">
        <v>1650</v>
      </c>
      <c r="C5" s="3418"/>
      <c r="D5" s="2481"/>
      <c r="E5" s="1731" t="s">
        <v>1651</v>
      </c>
      <c r="F5" s="129" t="s">
        <v>1652</v>
      </c>
      <c r="G5" s="459"/>
      <c r="H5" s="459"/>
      <c r="I5" s="459"/>
      <c r="J5" s="459"/>
      <c r="K5" s="459"/>
      <c r="L5" s="459"/>
      <c r="M5" s="459"/>
      <c r="N5" s="459"/>
      <c r="O5" s="459"/>
      <c r="P5" s="459"/>
      <c r="Q5" s="459"/>
      <c r="R5" s="459"/>
      <c r="S5" s="459"/>
    </row>
    <row r="6" spans="1:22">
      <c r="A6" s="2390" t="str">
        <f>'数据-取费表'!AN6</f>
        <v>收益法</v>
      </c>
      <c r="B6" s="2388">
        <f ca="1">IF(F6="是",'数据-取费表'!AO6,0)</f>
        <v>69216</v>
      </c>
      <c r="C6" s="1729" t="s">
        <v>1647</v>
      </c>
      <c r="D6" s="2480"/>
      <c r="E6" s="2392">
        <f>IF(OR(A6=0,F6="否"),0,'数据-取费表'!K6+'数据-取费表'!S6)</f>
        <v>36389.269999999997</v>
      </c>
      <c r="F6" s="1732" t="s">
        <v>1653</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1647</v>
      </c>
      <c r="D7" s="2480"/>
      <c r="E7" s="2392">
        <f>IF(OR(A7=0,F7="否"),0,'数据-取费表'!K7+'数据-取费表'!S7)</f>
        <v>0</v>
      </c>
      <c r="F7" s="1732" t="s">
        <v>1653</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1647</v>
      </c>
      <c r="D8" s="2480"/>
      <c r="E8" s="2392">
        <f>IF(OR(A8=0,F8="否"),0,'数据-取费表'!K8+'数据-取费表'!S8)</f>
        <v>0</v>
      </c>
      <c r="F8" s="1732" t="s">
        <v>1653</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1647</v>
      </c>
      <c r="D9" s="2480"/>
      <c r="E9" s="2392">
        <f>IF(OR(A9=0,F9="否"),0,'数据-取费表'!K9+'数据-取费表'!S9)</f>
        <v>0</v>
      </c>
      <c r="F9" s="1732" t="s">
        <v>1653</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1647</v>
      </c>
      <c r="D10" s="2480"/>
      <c r="E10" s="2392">
        <f>IF(OR(A10=0,F10="否"),0,'数据-取费表'!K10+'数据-取费表'!S10)</f>
        <v>0</v>
      </c>
      <c r="F10" s="1732" t="s">
        <v>1653</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1647</v>
      </c>
      <c r="D11" s="2480"/>
      <c r="E11" s="2392">
        <f>IF(OR(A11=0,F11="否"),0,'数据-取费表'!K11+'数据-取费表'!S11)</f>
        <v>0</v>
      </c>
      <c r="F11" s="1732" t="s">
        <v>1653</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1647</v>
      </c>
      <c r="D12" s="2480"/>
      <c r="E12" s="2392">
        <f>IF(OR(A12=0,F12="否"),0,'数据-取费表'!K12+'数据-取费表'!S12)</f>
        <v>0</v>
      </c>
      <c r="F12" s="1732" t="s">
        <v>1653</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1647</v>
      </c>
      <c r="D13" s="2482"/>
      <c r="E13" s="2392">
        <f>IF(OR(A13=0,F13="否"),0,'数据-取费表'!K13+'数据-取费表'!S13)</f>
        <v>0</v>
      </c>
      <c r="F13" s="1732" t="s">
        <v>1653</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1657</v>
      </c>
      <c r="C1" s="1155" t="s">
        <v>1658</v>
      </c>
      <c r="D1" s="1142"/>
      <c r="E1" s="3125"/>
      <c r="F1" s="1735"/>
      <c r="G1" s="1152" t="s">
        <v>1659</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681</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1660</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682</v>
      </c>
      <c r="B3" s="343">
        <f>IF(C2="——",C49,ROUND(B2*10000/D3,0))</f>
        <v>0</v>
      </c>
      <c r="C3" s="344" t="s">
        <v>1661</v>
      </c>
      <c r="D3" s="343">
        <f>IF(D1="",'数据-汇总表'!E3,SUMIF('数据-汇总表'!$C19:$C33,D1,'数据-汇总表'!$E19:$E33))</f>
        <v>36389.269999999997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1662</v>
      </c>
      <c r="B4" s="346"/>
      <c r="C4" s="3437" t="s">
        <v>1663</v>
      </c>
      <c r="D4" s="3438"/>
      <c r="E4" s="3439" t="s">
        <v>1664</v>
      </c>
      <c r="F4" s="3440"/>
      <c r="G4" s="3437" t="s">
        <v>1665</v>
      </c>
      <c r="H4" s="3438"/>
      <c r="I4" s="3437" t="s">
        <v>1666</v>
      </c>
      <c r="J4" s="3438"/>
      <c r="K4" s="1744" t="s">
        <v>1667</v>
      </c>
      <c r="L4" s="2487"/>
      <c r="M4" s="2488"/>
      <c r="N4" s="2488"/>
      <c r="O4" s="2488"/>
      <c r="P4" s="3441" t="s">
        <v>1668</v>
      </c>
      <c r="Q4" s="3442"/>
      <c r="R4" s="3447" t="s">
        <v>1664</v>
      </c>
      <c r="S4" s="3448"/>
      <c r="T4" s="3447" t="s">
        <v>1665</v>
      </c>
      <c r="U4" s="3448"/>
      <c r="V4" s="3423" t="s">
        <v>1666</v>
      </c>
      <c r="W4" s="3423"/>
      <c r="X4" s="1265"/>
      <c r="Y4" s="3447" t="s">
        <v>1668</v>
      </c>
      <c r="Z4" s="3448"/>
      <c r="AA4" s="3434" t="s">
        <v>1664</v>
      </c>
      <c r="AB4" s="3434" t="s">
        <v>1665</v>
      </c>
      <c r="AC4" s="3434" t="s">
        <v>1666</v>
      </c>
    </row>
    <row r="5" spans="1:29" ht="15">
      <c r="A5" s="348"/>
      <c r="B5" s="349"/>
      <c r="C5" s="3455" t="s">
        <v>1669</v>
      </c>
      <c r="D5" s="3456"/>
      <c r="E5" s="3462" t="s">
        <v>1670</v>
      </c>
      <c r="F5" s="3463"/>
      <c r="G5" s="3455" t="s">
        <v>1671</v>
      </c>
      <c r="H5" s="3456"/>
      <c r="I5" s="3455" t="s">
        <v>1672</v>
      </c>
      <c r="J5" s="3456"/>
      <c r="K5" s="1745"/>
      <c r="L5" s="2487"/>
      <c r="M5" s="2488"/>
      <c r="N5" s="2488"/>
      <c r="O5" s="2488"/>
      <c r="P5" s="3443"/>
      <c r="Q5" s="3444"/>
      <c r="R5" s="3449"/>
      <c r="S5" s="3450"/>
      <c r="T5" s="3449"/>
      <c r="U5" s="3450"/>
      <c r="V5" s="3423"/>
      <c r="W5" s="3423"/>
      <c r="X5" s="1265"/>
      <c r="Y5" s="3449"/>
      <c r="Z5" s="3450"/>
      <c r="AA5" s="3435"/>
      <c r="AB5" s="3435"/>
      <c r="AC5" s="3435"/>
    </row>
    <row r="6" spans="1:29" ht="15.75" thickBot="1">
      <c r="A6" s="350"/>
      <c r="B6" s="351"/>
      <c r="C6" s="3453" t="s">
        <v>1673</v>
      </c>
      <c r="D6" s="3454"/>
      <c r="E6" s="3460" t="s">
        <v>1673</v>
      </c>
      <c r="F6" s="3461"/>
      <c r="G6" s="3453" t="s">
        <v>1673</v>
      </c>
      <c r="H6" s="3454"/>
      <c r="I6" s="3453" t="s">
        <v>1673</v>
      </c>
      <c r="J6" s="3454"/>
      <c r="K6" s="1745" t="s">
        <v>1674</v>
      </c>
      <c r="L6" s="2487"/>
      <c r="M6" s="2488"/>
      <c r="N6" s="2488"/>
      <c r="O6" s="2488"/>
      <c r="P6" s="3445"/>
      <c r="Q6" s="3446"/>
      <c r="R6" s="3449"/>
      <c r="S6" s="3450"/>
      <c r="T6" s="3451"/>
      <c r="U6" s="3452"/>
      <c r="V6" s="3423"/>
      <c r="W6" s="3423"/>
      <c r="X6" s="1265"/>
      <c r="Y6" s="3451"/>
      <c r="Z6" s="3452"/>
      <c r="AA6" s="3436"/>
      <c r="AB6" s="3436"/>
      <c r="AC6" s="3436"/>
    </row>
    <row r="7" spans="1:29" s="102" customFormat="1" ht="15.75" thickBot="1">
      <c r="A7" s="352" t="s">
        <v>1675</v>
      </c>
      <c r="B7" s="353"/>
      <c r="C7" s="354">
        <f>'数据-取费表'!B2</f>
        <v>45889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57" t="s">
        <v>1676</v>
      </c>
      <c r="Q7" s="3459"/>
      <c r="R7" s="664" t="s">
        <v>20</v>
      </c>
      <c r="S7" s="665">
        <f t="shared" ref="S7:S15" si="0">F7</f>
        <v>0</v>
      </c>
      <c r="T7" s="664" t="s">
        <v>20</v>
      </c>
      <c r="U7" s="665">
        <f t="shared" ref="U7:U15" si="1">H7</f>
        <v>0</v>
      </c>
      <c r="V7" s="664" t="s">
        <v>20</v>
      </c>
      <c r="W7" s="665">
        <f t="shared" ref="W7:W15" si="2">J7</f>
        <v>0</v>
      </c>
      <c r="X7" s="666"/>
      <c r="Y7" s="3457" t="s">
        <v>1676</v>
      </c>
      <c r="Z7" s="3458"/>
      <c r="AA7" s="50" t="e">
        <f>D7/F7</f>
        <v>#DIV/0!</v>
      </c>
      <c r="AB7" s="50" t="e">
        <f>D7/H7</f>
        <v>#DIV/0!</v>
      </c>
      <c r="AC7" s="50" t="e">
        <f>D7/J7</f>
        <v>#DIV/0!</v>
      </c>
    </row>
    <row r="8" spans="1:29" s="102" customFormat="1" ht="15.75" thickBot="1">
      <c r="A8" s="352" t="s">
        <v>1677</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57" t="s">
        <v>1679</v>
      </c>
      <c r="Q8" s="3458"/>
      <c r="R8" s="664" t="s">
        <v>20</v>
      </c>
      <c r="S8" s="665">
        <f t="shared" si="0"/>
        <v>100</v>
      </c>
      <c r="T8" s="664" t="s">
        <v>20</v>
      </c>
      <c r="U8" s="665">
        <f t="shared" si="1"/>
        <v>100</v>
      </c>
      <c r="V8" s="664" t="s">
        <v>20</v>
      </c>
      <c r="W8" s="665">
        <f t="shared" si="2"/>
        <v>100</v>
      </c>
      <c r="X8" s="666"/>
      <c r="Y8" s="3457" t="s">
        <v>1679</v>
      </c>
      <c r="Z8" s="3458"/>
      <c r="AA8" s="50">
        <f t="shared" ref="AA8:AA19" si="3">D8/F8</f>
        <v>1</v>
      </c>
      <c r="AB8" s="50">
        <f t="shared" ref="AB8:AB19" si="4">D8/H8</f>
        <v>1</v>
      </c>
      <c r="AC8" s="50">
        <f t="shared" ref="AC8:AC19" si="5">D8/J8</f>
        <v>1</v>
      </c>
    </row>
    <row r="9" spans="1:29" s="102" customFormat="1">
      <c r="A9" s="359" t="s">
        <v>1680</v>
      </c>
      <c r="B9" s="60" t="s">
        <v>1681</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33" t="s">
        <v>1682</v>
      </c>
      <c r="Q9" s="530" t="str">
        <f t="shared" ref="Q9:Q15" si="6">B9</f>
        <v>用途</v>
      </c>
      <c r="R9" s="664" t="s">
        <v>14</v>
      </c>
      <c r="S9" s="665">
        <f t="shared" si="0"/>
        <v>100</v>
      </c>
      <c r="T9" s="664" t="s">
        <v>14</v>
      </c>
      <c r="U9" s="665">
        <f t="shared" si="1"/>
        <v>100</v>
      </c>
      <c r="V9" s="664" t="s">
        <v>14</v>
      </c>
      <c r="W9" s="665">
        <f t="shared" si="2"/>
        <v>100</v>
      </c>
      <c r="X9" s="666"/>
      <c r="Y9" s="3277"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3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33"/>
      <c r="Q11" s="530" t="str">
        <f t="shared" si="6"/>
        <v>容积率</v>
      </c>
      <c r="R11" s="664" t="s">
        <v>18</v>
      </c>
      <c r="S11" s="665" t="e">
        <f t="shared" si="0"/>
        <v>#N/A</v>
      </c>
      <c r="T11" s="664" t="s">
        <v>18</v>
      </c>
      <c r="U11" s="665" t="e">
        <f t="shared" si="1"/>
        <v>#N/A</v>
      </c>
      <c r="V11" s="664" t="s">
        <v>18</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33"/>
      <c r="Q12" s="530">
        <f t="shared" si="6"/>
        <v>111</v>
      </c>
      <c r="R12" s="664" t="s">
        <v>18</v>
      </c>
      <c r="S12" s="665">
        <f t="shared" si="0"/>
        <v>100</v>
      </c>
      <c r="T12" s="664" t="s">
        <v>18</v>
      </c>
      <c r="U12" s="665">
        <f t="shared" si="1"/>
        <v>100</v>
      </c>
      <c r="V12" s="664" t="s">
        <v>18</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33"/>
      <c r="Q13" s="530">
        <f t="shared" si="6"/>
        <v>111</v>
      </c>
      <c r="R13" s="664" t="s">
        <v>18</v>
      </c>
      <c r="S13" s="665">
        <f t="shared" si="0"/>
        <v>100</v>
      </c>
      <c r="T13" s="664" t="s">
        <v>18</v>
      </c>
      <c r="U13" s="665">
        <f t="shared" si="1"/>
        <v>100</v>
      </c>
      <c r="V13" s="664" t="s">
        <v>18</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33"/>
      <c r="Q14" s="530">
        <f t="shared" si="6"/>
        <v>111</v>
      </c>
      <c r="R14" s="664" t="s">
        <v>18</v>
      </c>
      <c r="S14" s="665">
        <f t="shared" si="0"/>
        <v>100</v>
      </c>
      <c r="T14" s="664" t="s">
        <v>18</v>
      </c>
      <c r="U14" s="665">
        <f t="shared" si="1"/>
        <v>100</v>
      </c>
      <c r="V14" s="664" t="s">
        <v>18</v>
      </c>
      <c r="W14" s="665">
        <f t="shared" si="2"/>
        <v>100</v>
      </c>
      <c r="X14" s="666"/>
      <c r="Y14" s="3277"/>
      <c r="Z14" s="50">
        <f t="shared" si="7"/>
        <v>111</v>
      </c>
      <c r="AA14" s="50">
        <f t="shared" si="3"/>
        <v>1</v>
      </c>
      <c r="AB14" s="50">
        <f t="shared" si="4"/>
        <v>1</v>
      </c>
      <c r="AC14" s="50">
        <f t="shared" si="5"/>
        <v>1</v>
      </c>
    </row>
    <row r="15" spans="1:29" ht="15">
      <c r="A15" s="379" t="s">
        <v>1686</v>
      </c>
      <c r="B15" s="58" t="s">
        <v>1253</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1" t="s">
        <v>1687</v>
      </c>
      <c r="Q15" s="1263" t="str">
        <f t="shared" si="6"/>
        <v>居住社区成熟度</v>
      </c>
      <c r="R15" s="667" t="s">
        <v>18</v>
      </c>
      <c r="S15" s="668">
        <f t="shared" si="0"/>
        <v>100</v>
      </c>
      <c r="T15" s="667" t="s">
        <v>18</v>
      </c>
      <c r="U15" s="668">
        <f t="shared" si="1"/>
        <v>100</v>
      </c>
      <c r="V15" s="667" t="s">
        <v>18</v>
      </c>
      <c r="W15" s="668">
        <f t="shared" si="2"/>
        <v>100</v>
      </c>
      <c r="X15" s="1265"/>
      <c r="Y15" s="3424" t="s">
        <v>1687</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2"/>
      <c r="Q16" s="1263"/>
      <c r="R16" s="667"/>
      <c r="S16" s="668"/>
      <c r="T16" s="667"/>
      <c r="U16" s="668"/>
      <c r="V16" s="667"/>
      <c r="W16" s="668"/>
      <c r="X16" s="1265"/>
      <c r="Y16" s="3425"/>
      <c r="Z16" s="1264"/>
      <c r="AA16" s="1264">
        <v>1</v>
      </c>
      <c r="AB16" s="1264">
        <v>1</v>
      </c>
      <c r="AC16" s="1264">
        <v>1</v>
      </c>
    </row>
    <row r="17" spans="1:29" ht="15">
      <c r="A17" s="367"/>
      <c r="B17" s="390" t="s">
        <v>1255</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2"/>
      <c r="Q17" s="1263" t="str">
        <f>B17</f>
        <v>交通便捷度</v>
      </c>
      <c r="R17" s="667" t="s">
        <v>18</v>
      </c>
      <c r="S17" s="668">
        <f>F17</f>
        <v>100</v>
      </c>
      <c r="T17" s="667" t="s">
        <v>18</v>
      </c>
      <c r="U17" s="668">
        <f>H17</f>
        <v>100</v>
      </c>
      <c r="V17" s="667" t="s">
        <v>18</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2"/>
      <c r="Q18" s="1263"/>
      <c r="R18" s="667"/>
      <c r="S18" s="668"/>
      <c r="T18" s="667"/>
      <c r="U18" s="668"/>
      <c r="V18" s="667"/>
      <c r="W18" s="668"/>
      <c r="X18" s="1265"/>
      <c r="Y18" s="3425"/>
      <c r="Z18" s="1264"/>
      <c r="AA18" s="1264">
        <v>1</v>
      </c>
      <c r="AB18" s="1264">
        <v>1</v>
      </c>
      <c r="AC18" s="1264">
        <v>1</v>
      </c>
    </row>
    <row r="19" spans="1:29" ht="15">
      <c r="A19" s="367"/>
      <c r="B19" s="390" t="s">
        <v>1254</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2"/>
      <c r="Q19" s="1263" t="str">
        <f>B19</f>
        <v>公共配套设施</v>
      </c>
      <c r="R19" s="667" t="s">
        <v>18</v>
      </c>
      <c r="S19" s="668">
        <f>F19</f>
        <v>100</v>
      </c>
      <c r="T19" s="667" t="s">
        <v>18</v>
      </c>
      <c r="U19" s="668">
        <f>H19</f>
        <v>100</v>
      </c>
      <c r="V19" s="667" t="s">
        <v>18</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2"/>
      <c r="Q20" s="1263"/>
      <c r="R20" s="667"/>
      <c r="S20" s="668"/>
      <c r="T20" s="667"/>
      <c r="U20" s="668"/>
      <c r="V20" s="667"/>
      <c r="W20" s="668"/>
      <c r="X20" s="1265"/>
      <c r="Y20" s="3425"/>
      <c r="Z20" s="1264"/>
      <c r="AA20" s="1264">
        <v>1</v>
      </c>
      <c r="AB20" s="1264">
        <v>1</v>
      </c>
      <c r="AC20" s="1264">
        <v>1</v>
      </c>
    </row>
    <row r="21" spans="1:29" ht="15">
      <c r="A21" s="367"/>
      <c r="B21" s="586" t="s">
        <v>1256</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2"/>
      <c r="Q22" s="1263"/>
      <c r="R22" s="667"/>
      <c r="S22" s="668"/>
      <c r="T22" s="667"/>
      <c r="U22" s="668"/>
      <c r="V22" s="667"/>
      <c r="W22" s="668"/>
      <c r="X22" s="1265"/>
      <c r="Y22" s="3425"/>
      <c r="Z22" s="1264"/>
      <c r="AA22" s="1264">
        <v>1</v>
      </c>
      <c r="AB22" s="1264">
        <v>1</v>
      </c>
      <c r="AC22" s="1264">
        <v>1</v>
      </c>
    </row>
    <row r="23" spans="1:29" ht="15">
      <c r="A23" s="367"/>
      <c r="B23" s="390" t="s">
        <v>1257</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2"/>
      <c r="Q23" s="1263" t="str">
        <f>B23</f>
        <v>自然及人文环境</v>
      </c>
      <c r="R23" s="667" t="s">
        <v>18</v>
      </c>
      <c r="S23" s="668">
        <f>F23</f>
        <v>100</v>
      </c>
      <c r="T23" s="667" t="s">
        <v>18</v>
      </c>
      <c r="U23" s="668">
        <f>H23</f>
        <v>100</v>
      </c>
      <c r="V23" s="667" t="s">
        <v>18</v>
      </c>
      <c r="W23" s="668">
        <f>J23</f>
        <v>100</v>
      </c>
      <c r="X23" s="1265"/>
      <c r="Y23" s="342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2"/>
      <c r="Q24" s="1263"/>
      <c r="R24" s="667"/>
      <c r="S24" s="668"/>
      <c r="T24" s="667"/>
      <c r="U24" s="668"/>
      <c r="V24" s="667"/>
      <c r="W24" s="668"/>
      <c r="X24" s="1265"/>
      <c r="Y24" s="3425"/>
      <c r="Z24" s="1264"/>
      <c r="AA24" s="1264">
        <v>1</v>
      </c>
      <c r="AB24" s="1264">
        <v>1</v>
      </c>
      <c r="AC24" s="1264">
        <v>1</v>
      </c>
    </row>
    <row r="25" spans="1:29" ht="15">
      <c r="A25" s="367"/>
      <c r="B25" s="364" t="s">
        <v>1688</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5"/>
      <c r="Z25" s="1264" t="str">
        <f>Q25</f>
        <v>楼层-1</v>
      </c>
      <c r="AA25" s="1264">
        <f t="shared" ref="AA25:AA46" si="15">D25/F25</f>
        <v>1</v>
      </c>
      <c r="AB25" s="1264">
        <f t="shared" ref="AB25:AB46" si="16">D25/H25</f>
        <v>1</v>
      </c>
      <c r="AC25" s="1264">
        <f t="shared" ref="AC25:AC46" si="17">D25/J25</f>
        <v>1</v>
      </c>
    </row>
    <row r="26" spans="1:29" ht="15">
      <c r="A26" s="367"/>
      <c r="B26" s="364" t="s">
        <v>1689</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2"/>
      <c r="Q26" s="1263" t="str">
        <f t="shared" si="11"/>
        <v>朝向</v>
      </c>
      <c r="R26" s="667" t="s">
        <v>18</v>
      </c>
      <c r="S26" s="668">
        <f t="shared" si="12"/>
        <v>100</v>
      </c>
      <c r="T26" s="667" t="s">
        <v>18</v>
      </c>
      <c r="U26" s="668">
        <f t="shared" si="13"/>
        <v>100</v>
      </c>
      <c r="V26" s="667" t="s">
        <v>18</v>
      </c>
      <c r="W26" s="668">
        <f t="shared" si="14"/>
        <v>100</v>
      </c>
      <c r="X26" s="1265"/>
      <c r="Y26" s="342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2"/>
      <c r="Q27" s="530">
        <f t="shared" si="11"/>
        <v>111</v>
      </c>
      <c r="R27" s="664" t="s">
        <v>18</v>
      </c>
      <c r="S27" s="665">
        <f t="shared" si="12"/>
        <v>100</v>
      </c>
      <c r="T27" s="664" t="s">
        <v>18</v>
      </c>
      <c r="U27" s="665">
        <f t="shared" si="13"/>
        <v>100</v>
      </c>
      <c r="V27" s="664" t="s">
        <v>18</v>
      </c>
      <c r="W27" s="665">
        <f t="shared" si="14"/>
        <v>100</v>
      </c>
      <c r="X27" s="666"/>
      <c r="Y27" s="342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2"/>
      <c r="Q28" s="1263">
        <f t="shared" si="11"/>
        <v>111</v>
      </c>
      <c r="R28" s="667" t="s">
        <v>18</v>
      </c>
      <c r="S28" s="668">
        <f t="shared" si="12"/>
        <v>100</v>
      </c>
      <c r="T28" s="667" t="s">
        <v>18</v>
      </c>
      <c r="U28" s="668">
        <f t="shared" si="13"/>
        <v>100</v>
      </c>
      <c r="V28" s="667" t="s">
        <v>18</v>
      </c>
      <c r="W28" s="668">
        <f t="shared" si="14"/>
        <v>100</v>
      </c>
      <c r="X28" s="1265"/>
      <c r="Y28" s="342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2"/>
      <c r="Q29" s="1263">
        <f t="shared" si="11"/>
        <v>111</v>
      </c>
      <c r="R29" s="667" t="s">
        <v>18</v>
      </c>
      <c r="S29" s="668">
        <f t="shared" si="12"/>
        <v>100</v>
      </c>
      <c r="T29" s="667" t="s">
        <v>18</v>
      </c>
      <c r="U29" s="668">
        <f t="shared" si="13"/>
        <v>100</v>
      </c>
      <c r="V29" s="667" t="s">
        <v>18</v>
      </c>
      <c r="W29" s="668">
        <f t="shared" si="14"/>
        <v>100</v>
      </c>
      <c r="X29" s="1265"/>
      <c r="Y29" s="342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2"/>
      <c r="Q30" s="1263">
        <f t="shared" si="11"/>
        <v>111</v>
      </c>
      <c r="R30" s="667" t="s">
        <v>18</v>
      </c>
      <c r="S30" s="668">
        <f t="shared" si="12"/>
        <v>100</v>
      </c>
      <c r="T30" s="667" t="s">
        <v>18</v>
      </c>
      <c r="U30" s="668">
        <f t="shared" si="13"/>
        <v>100</v>
      </c>
      <c r="V30" s="667" t="s">
        <v>18</v>
      </c>
      <c r="W30" s="668">
        <f t="shared" si="14"/>
        <v>100</v>
      </c>
      <c r="X30" s="1265"/>
      <c r="Y30" s="342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2"/>
      <c r="Q31" s="1263">
        <f t="shared" si="11"/>
        <v>111</v>
      </c>
      <c r="R31" s="667" t="s">
        <v>18</v>
      </c>
      <c r="S31" s="668">
        <f t="shared" si="12"/>
        <v>100</v>
      </c>
      <c r="T31" s="667" t="s">
        <v>18</v>
      </c>
      <c r="U31" s="668">
        <f t="shared" si="13"/>
        <v>100</v>
      </c>
      <c r="V31" s="667" t="s">
        <v>18</v>
      </c>
      <c r="W31" s="668">
        <f t="shared" si="14"/>
        <v>100</v>
      </c>
      <c r="X31" s="1265"/>
      <c r="Y31" s="3425"/>
      <c r="Z31" s="1264">
        <f t="shared" si="18"/>
        <v>111</v>
      </c>
      <c r="AA31" s="1264">
        <f t="shared" si="15"/>
        <v>1</v>
      </c>
      <c r="AB31" s="1264">
        <f t="shared" si="16"/>
        <v>1</v>
      </c>
      <c r="AC31" s="1264">
        <f t="shared" si="17"/>
        <v>1</v>
      </c>
    </row>
    <row r="32" spans="1:29" ht="15">
      <c r="A32" s="379" t="s">
        <v>1690</v>
      </c>
      <c r="B32" s="60" t="s">
        <v>1691</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6" t="s">
        <v>1692</v>
      </c>
      <c r="Q32" s="1263" t="str">
        <f t="shared" si="11"/>
        <v>建筑类型</v>
      </c>
      <c r="R32" s="667" t="s">
        <v>18</v>
      </c>
      <c r="S32" s="668">
        <f t="shared" si="12"/>
        <v>100</v>
      </c>
      <c r="T32" s="667" t="s">
        <v>18</v>
      </c>
      <c r="U32" s="668">
        <f t="shared" si="13"/>
        <v>100</v>
      </c>
      <c r="V32" s="667" t="s">
        <v>18</v>
      </c>
      <c r="W32" s="668">
        <f t="shared" si="14"/>
        <v>100</v>
      </c>
      <c r="X32" s="1265"/>
      <c r="Y32" s="3429" t="s">
        <v>1692</v>
      </c>
      <c r="Z32" s="1264" t="str">
        <f t="shared" si="18"/>
        <v>建筑类型</v>
      </c>
      <c r="AA32" s="1264">
        <f t="shared" si="15"/>
        <v>1</v>
      </c>
      <c r="AB32" s="1264">
        <f t="shared" si="16"/>
        <v>1</v>
      </c>
      <c r="AC32" s="1264">
        <f t="shared" si="17"/>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7"/>
      <c r="Q33" s="531" t="str">
        <f t="shared" si="11"/>
        <v>项目建筑规模</v>
      </c>
      <c r="R33" s="669" t="s">
        <v>18</v>
      </c>
      <c r="S33" s="670" t="e">
        <f t="shared" si="12"/>
        <v>#N/A</v>
      </c>
      <c r="T33" s="669" t="s">
        <v>18</v>
      </c>
      <c r="U33" s="670" t="e">
        <f t="shared" si="13"/>
        <v>#N/A</v>
      </c>
      <c r="V33" s="669" t="s">
        <v>18</v>
      </c>
      <c r="W33" s="670" t="e">
        <f t="shared" si="14"/>
        <v>#N/A</v>
      </c>
      <c r="X33" s="671"/>
      <c r="Y33" s="3429"/>
      <c r="Z33" s="672" t="str">
        <f t="shared" si="18"/>
        <v>项目建筑规模</v>
      </c>
      <c r="AA33" s="1264" t="e">
        <f t="shared" si="15"/>
        <v>#N/A</v>
      </c>
      <c r="AB33" s="1264" t="e">
        <f t="shared" si="16"/>
        <v>#N/A</v>
      </c>
      <c r="AC33" s="1264" t="e">
        <f t="shared" si="17"/>
        <v>#N/A</v>
      </c>
    </row>
    <row r="34" spans="1:29" ht="15">
      <c r="A34" s="409"/>
      <c r="B34" s="364" t="s">
        <v>1694</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7"/>
      <c r="Q34" s="1263" t="str">
        <f t="shared" si="11"/>
        <v>建筑结构</v>
      </c>
      <c r="R34" s="667" t="s">
        <v>18</v>
      </c>
      <c r="S34" s="668">
        <f t="shared" si="12"/>
        <v>100</v>
      </c>
      <c r="T34" s="667" t="s">
        <v>18</v>
      </c>
      <c r="U34" s="668">
        <f t="shared" si="13"/>
        <v>100</v>
      </c>
      <c r="V34" s="667" t="s">
        <v>18</v>
      </c>
      <c r="W34" s="668">
        <f t="shared" si="14"/>
        <v>100</v>
      </c>
      <c r="X34" s="1265"/>
      <c r="Y34" s="3429"/>
      <c r="Z34" s="1264" t="str">
        <f t="shared" si="18"/>
        <v>建筑结构</v>
      </c>
      <c r="AA34" s="1264">
        <f t="shared" si="15"/>
        <v>1</v>
      </c>
      <c r="AB34" s="1264">
        <f t="shared" si="16"/>
        <v>1</v>
      </c>
      <c r="AC34" s="1264">
        <f t="shared" si="17"/>
        <v>1</v>
      </c>
    </row>
    <row r="35" spans="1:29" ht="15">
      <c r="A35" s="409"/>
      <c r="B35" s="364" t="s">
        <v>1695</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7"/>
      <c r="Q35" s="1263" t="str">
        <f t="shared" si="11"/>
        <v>建筑品质</v>
      </c>
      <c r="R35" s="667" t="s">
        <v>18</v>
      </c>
      <c r="S35" s="668">
        <f t="shared" si="12"/>
        <v>100</v>
      </c>
      <c r="T35" s="667" t="s">
        <v>18</v>
      </c>
      <c r="U35" s="668">
        <f t="shared" si="13"/>
        <v>100</v>
      </c>
      <c r="V35" s="667" t="s">
        <v>18</v>
      </c>
      <c r="W35" s="668">
        <f t="shared" si="14"/>
        <v>100</v>
      </c>
      <c r="X35" s="1265"/>
      <c r="Y35" s="3429"/>
      <c r="Z35" s="1264" t="str">
        <f t="shared" si="18"/>
        <v>建筑品质</v>
      </c>
      <c r="AA35" s="1264">
        <f t="shared" si="15"/>
        <v>1</v>
      </c>
      <c r="AB35" s="1264">
        <f t="shared" si="16"/>
        <v>1</v>
      </c>
      <c r="AC35" s="1264">
        <f t="shared" si="17"/>
        <v>1</v>
      </c>
    </row>
    <row r="36" spans="1:29" ht="15">
      <c r="A36" s="409"/>
      <c r="B36" s="364" t="s">
        <v>1696</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7"/>
      <c r="Q36" s="1263" t="str">
        <f t="shared" si="11"/>
        <v>公共部分装修</v>
      </c>
      <c r="R36" s="667" t="s">
        <v>18</v>
      </c>
      <c r="S36" s="668">
        <f t="shared" si="12"/>
        <v>100</v>
      </c>
      <c r="T36" s="667" t="s">
        <v>18</v>
      </c>
      <c r="U36" s="668">
        <f t="shared" si="13"/>
        <v>100</v>
      </c>
      <c r="V36" s="667" t="s">
        <v>18</v>
      </c>
      <c r="W36" s="668">
        <f t="shared" si="14"/>
        <v>100</v>
      </c>
      <c r="X36" s="1265"/>
      <c r="Y36" s="3429"/>
      <c r="Z36" s="1264" t="str">
        <f t="shared" si="18"/>
        <v>公共部分装修</v>
      </c>
      <c r="AA36" s="1264">
        <f t="shared" si="15"/>
        <v>1</v>
      </c>
      <c r="AB36" s="1264">
        <f t="shared" si="16"/>
        <v>1</v>
      </c>
      <c r="AC36" s="1264">
        <f t="shared" si="17"/>
        <v>1</v>
      </c>
    </row>
    <row r="37" spans="1:29" s="102" customFormat="1" ht="15">
      <c r="A37" s="410"/>
      <c r="B37" s="364" t="s">
        <v>1697</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7"/>
      <c r="Q37" s="530" t="str">
        <f t="shared" si="11"/>
        <v>成新度</v>
      </c>
      <c r="R37" s="664" t="s">
        <v>18</v>
      </c>
      <c r="S37" s="665" t="e">
        <f t="shared" si="12"/>
        <v>#N/A</v>
      </c>
      <c r="T37" s="664" t="s">
        <v>18</v>
      </c>
      <c r="U37" s="665" t="e">
        <f t="shared" si="13"/>
        <v>#N/A</v>
      </c>
      <c r="V37" s="664" t="s">
        <v>18</v>
      </c>
      <c r="W37" s="665" t="e">
        <f t="shared" si="14"/>
        <v>#N/A</v>
      </c>
      <c r="X37" s="666"/>
      <c r="Y37" s="3429"/>
      <c r="Z37" s="50" t="str">
        <f t="shared" si="18"/>
        <v>成新度</v>
      </c>
      <c r="AA37" s="50" t="e">
        <f t="shared" si="15"/>
        <v>#N/A</v>
      </c>
      <c r="AB37" s="50" t="e">
        <f t="shared" si="16"/>
        <v>#N/A</v>
      </c>
      <c r="AC37" s="50" t="e">
        <f t="shared" si="17"/>
        <v>#N/A</v>
      </c>
    </row>
    <row r="38" spans="1:29" ht="15">
      <c r="A38" s="409"/>
      <c r="B38" s="364" t="s">
        <v>1698</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7" t="s">
        <v>1692</v>
      </c>
      <c r="Q38" s="1263" t="str">
        <f t="shared" si="11"/>
        <v>物业管理</v>
      </c>
      <c r="R38" s="667" t="s">
        <v>18</v>
      </c>
      <c r="S38" s="668">
        <f t="shared" si="12"/>
        <v>100</v>
      </c>
      <c r="T38" s="667" t="s">
        <v>18</v>
      </c>
      <c r="U38" s="668">
        <f t="shared" si="13"/>
        <v>100</v>
      </c>
      <c r="V38" s="667" t="s">
        <v>18</v>
      </c>
      <c r="W38" s="668">
        <f t="shared" si="14"/>
        <v>100</v>
      </c>
      <c r="X38" s="1265"/>
      <c r="Y38" s="3429" t="s">
        <v>1692</v>
      </c>
      <c r="Z38" s="1264" t="str">
        <f t="shared" si="18"/>
        <v>物业管理</v>
      </c>
      <c r="AA38" s="1264">
        <f t="shared" si="15"/>
        <v>1</v>
      </c>
      <c r="AB38" s="1264">
        <f t="shared" si="16"/>
        <v>1</v>
      </c>
      <c r="AC38" s="1264">
        <f t="shared" si="17"/>
        <v>1</v>
      </c>
    </row>
    <row r="39" spans="1:29" ht="15">
      <c r="A39" s="409"/>
      <c r="B39" s="364" t="s">
        <v>1699</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7"/>
      <c r="Q39" s="1263" t="str">
        <f t="shared" si="11"/>
        <v>市政基础设施</v>
      </c>
      <c r="R39" s="667" t="s">
        <v>18</v>
      </c>
      <c r="S39" s="668">
        <f t="shared" si="12"/>
        <v>100</v>
      </c>
      <c r="T39" s="667" t="s">
        <v>18</v>
      </c>
      <c r="U39" s="668">
        <f t="shared" si="13"/>
        <v>100</v>
      </c>
      <c r="V39" s="667" t="s">
        <v>18</v>
      </c>
      <c r="W39" s="668">
        <f t="shared" si="14"/>
        <v>100</v>
      </c>
      <c r="X39" s="1265"/>
      <c r="Y39" s="3429"/>
      <c r="Z39" s="1264" t="str">
        <f t="shared" si="18"/>
        <v>市政基础设施</v>
      </c>
      <c r="AA39" s="1264">
        <f t="shared" si="15"/>
        <v>1</v>
      </c>
      <c r="AB39" s="1264">
        <f t="shared" si="16"/>
        <v>1</v>
      </c>
      <c r="AC39" s="1264">
        <f t="shared" si="17"/>
        <v>1</v>
      </c>
    </row>
    <row r="40" spans="1:29" ht="15">
      <c r="A40" s="409"/>
      <c r="B40" s="364" t="s">
        <v>1700</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7"/>
      <c r="Q40" s="1263" t="str">
        <f t="shared" si="11"/>
        <v>房型</v>
      </c>
      <c r="R40" s="667" t="s">
        <v>18</v>
      </c>
      <c r="S40" s="668">
        <f t="shared" si="12"/>
        <v>100</v>
      </c>
      <c r="T40" s="667" t="s">
        <v>18</v>
      </c>
      <c r="U40" s="668">
        <f t="shared" si="13"/>
        <v>100</v>
      </c>
      <c r="V40" s="667" t="s">
        <v>18</v>
      </c>
      <c r="W40" s="668">
        <f t="shared" si="14"/>
        <v>100</v>
      </c>
      <c r="X40" s="1265"/>
      <c r="Y40" s="3429"/>
      <c r="Z40" s="1264" t="str">
        <f t="shared" si="18"/>
        <v>房型</v>
      </c>
      <c r="AA40" s="1264">
        <f t="shared" si="15"/>
        <v>1</v>
      </c>
      <c r="AB40" s="1264">
        <f t="shared" si="16"/>
        <v>1</v>
      </c>
      <c r="AC40" s="1264">
        <f t="shared" si="17"/>
        <v>1</v>
      </c>
    </row>
    <row r="41" spans="1:29" s="408" customFormat="1" ht="28.5">
      <c r="A41" s="406"/>
      <c r="B41" s="364" t="s">
        <v>1701</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7"/>
      <c r="Q41" s="531" t="str">
        <f t="shared" si="11"/>
        <v>单套/主力户型建筑面积</v>
      </c>
      <c r="R41" s="669" t="s">
        <v>18</v>
      </c>
      <c r="S41" s="670">
        <f t="shared" si="12"/>
        <v>100</v>
      </c>
      <c r="T41" s="669" t="s">
        <v>18</v>
      </c>
      <c r="U41" s="670">
        <f t="shared" si="13"/>
        <v>100</v>
      </c>
      <c r="V41" s="669" t="s">
        <v>18</v>
      </c>
      <c r="W41" s="670">
        <f t="shared" si="14"/>
        <v>100</v>
      </c>
      <c r="X41" s="671"/>
      <c r="Y41" s="3429"/>
      <c r="Z41" s="672" t="str">
        <f t="shared" si="18"/>
        <v>单套/主力户型建筑面积</v>
      </c>
      <c r="AA41" s="1264">
        <f t="shared" si="15"/>
        <v>1</v>
      </c>
      <c r="AB41" s="1264">
        <f t="shared" si="16"/>
        <v>1</v>
      </c>
      <c r="AC41" s="1264">
        <f t="shared" si="17"/>
        <v>1</v>
      </c>
    </row>
    <row r="42" spans="1:29" ht="15">
      <c r="A42" s="409"/>
      <c r="B42" s="364" t="s">
        <v>1702</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7"/>
      <c r="Q42" s="1263" t="str">
        <f t="shared" si="11"/>
        <v>内部装修</v>
      </c>
      <c r="R42" s="667" t="s">
        <v>18</v>
      </c>
      <c r="S42" s="668">
        <f t="shared" si="12"/>
        <v>100</v>
      </c>
      <c r="T42" s="667" t="s">
        <v>18</v>
      </c>
      <c r="U42" s="668">
        <f t="shared" si="13"/>
        <v>100</v>
      </c>
      <c r="V42" s="667" t="s">
        <v>18</v>
      </c>
      <c r="W42" s="668">
        <f t="shared" si="14"/>
        <v>100</v>
      </c>
      <c r="X42" s="1265"/>
      <c r="Y42" s="3429"/>
      <c r="Z42" s="1264" t="str">
        <f t="shared" si="18"/>
        <v>内部装修</v>
      </c>
      <c r="AA42" s="1264">
        <f t="shared" si="15"/>
        <v>1</v>
      </c>
      <c r="AB42" s="1264">
        <f t="shared" si="16"/>
        <v>1</v>
      </c>
      <c r="AC42" s="1264">
        <f t="shared" si="17"/>
        <v>1</v>
      </c>
    </row>
    <row r="43" spans="1:29" ht="15">
      <c r="A43" s="409"/>
      <c r="B43" s="364" t="s">
        <v>1703</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7"/>
      <c r="Q43" s="1263" t="str">
        <f t="shared" si="11"/>
        <v>内部装修维护情况</v>
      </c>
      <c r="R43" s="667" t="s">
        <v>18</v>
      </c>
      <c r="S43" s="668">
        <f t="shared" si="12"/>
        <v>100</v>
      </c>
      <c r="T43" s="667" t="s">
        <v>18</v>
      </c>
      <c r="U43" s="668">
        <f t="shared" si="13"/>
        <v>100</v>
      </c>
      <c r="V43" s="667" t="s">
        <v>18</v>
      </c>
      <c r="W43" s="668">
        <f t="shared" si="14"/>
        <v>100</v>
      </c>
      <c r="X43" s="1265"/>
      <c r="Y43" s="342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7"/>
      <c r="Q44" s="530">
        <f t="shared" si="11"/>
        <v>111</v>
      </c>
      <c r="R44" s="664" t="s">
        <v>18</v>
      </c>
      <c r="S44" s="665">
        <f t="shared" si="12"/>
        <v>100</v>
      </c>
      <c r="T44" s="664" t="s">
        <v>18</v>
      </c>
      <c r="U44" s="665">
        <f t="shared" si="13"/>
        <v>100</v>
      </c>
      <c r="V44" s="664" t="s">
        <v>18</v>
      </c>
      <c r="W44" s="665">
        <f t="shared" si="14"/>
        <v>100</v>
      </c>
      <c r="X44" s="666"/>
      <c r="Y44" s="342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7"/>
      <c r="Q45" s="1263">
        <f t="shared" si="11"/>
        <v>111</v>
      </c>
      <c r="R45" s="667" t="s">
        <v>18</v>
      </c>
      <c r="S45" s="668">
        <f t="shared" si="12"/>
        <v>100</v>
      </c>
      <c r="T45" s="667" t="s">
        <v>18</v>
      </c>
      <c r="U45" s="668">
        <f t="shared" si="13"/>
        <v>100</v>
      </c>
      <c r="V45" s="667" t="s">
        <v>18</v>
      </c>
      <c r="W45" s="668">
        <f t="shared" si="14"/>
        <v>100</v>
      </c>
      <c r="X45" s="1265"/>
      <c r="Y45" s="342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8"/>
      <c r="Q46" s="1263">
        <f t="shared" si="11"/>
        <v>111</v>
      </c>
      <c r="R46" s="667" t="s">
        <v>17</v>
      </c>
      <c r="S46" s="668">
        <f t="shared" si="12"/>
        <v>100</v>
      </c>
      <c r="T46" s="667" t="s">
        <v>17</v>
      </c>
      <c r="U46" s="668">
        <f t="shared" si="13"/>
        <v>100</v>
      </c>
      <c r="V46" s="667" t="s">
        <v>17</v>
      </c>
      <c r="W46" s="668">
        <f t="shared" si="14"/>
        <v>100</v>
      </c>
      <c r="X46" s="1265"/>
      <c r="Y46" s="3430"/>
      <c r="Z46" s="1264">
        <f t="shared" si="18"/>
        <v>111</v>
      </c>
      <c r="AA46" s="1264">
        <f t="shared" si="15"/>
        <v>1</v>
      </c>
      <c r="AB46" s="1264">
        <f t="shared" si="16"/>
        <v>1</v>
      </c>
      <c r="AC46" s="1264">
        <f t="shared" si="17"/>
        <v>1</v>
      </c>
    </row>
    <row r="47" spans="1:29" ht="15">
      <c r="A47" s="416" t="s">
        <v>1704</v>
      </c>
      <c r="B47" s="417"/>
      <c r="C47" s="1081" t="s">
        <v>16</v>
      </c>
      <c r="D47" s="418"/>
      <c r="E47" s="419"/>
      <c r="F47" s="420"/>
      <c r="G47" s="421"/>
      <c r="H47" s="422"/>
      <c r="I47" s="419"/>
      <c r="J47" s="422"/>
      <c r="K47" s="1767"/>
      <c r="L47" s="2495"/>
      <c r="M47" s="2488"/>
      <c r="N47" s="2488"/>
      <c r="O47" s="2488"/>
      <c r="P47" s="3422" t="str">
        <f>A47</f>
        <v>成交单价（元/平方米）</v>
      </c>
      <c r="Q47" s="3422"/>
      <c r="R47" s="3423">
        <f>E47</f>
        <v>0</v>
      </c>
      <c r="S47" s="3423"/>
      <c r="T47" s="3423">
        <f>G47</f>
        <v>0</v>
      </c>
      <c r="U47" s="3423"/>
      <c r="V47" s="3423">
        <f>I47</f>
        <v>0</v>
      </c>
      <c r="W47" s="3423"/>
      <c r="X47" s="385"/>
      <c r="Y47" s="673"/>
      <c r="Z47" s="385"/>
      <c r="AA47" s="385"/>
      <c r="AB47" s="385"/>
      <c r="AC47" s="385"/>
    </row>
    <row r="48" spans="1:29" ht="15.75" thickBot="1">
      <c r="A48" s="423" t="s">
        <v>1705</v>
      </c>
      <c r="B48" s="424"/>
      <c r="C48" s="1082" t="e">
        <f>R49</f>
        <v>#DIV/0!</v>
      </c>
      <c r="D48" s="2141" t="s">
        <v>2134</v>
      </c>
      <c r="E48" s="1083" t="e">
        <f>R48</f>
        <v>#DIV/0!</v>
      </c>
      <c r="F48" s="2142"/>
      <c r="G48" s="1082" t="e">
        <f>T48</f>
        <v>#DIV/0!</v>
      </c>
      <c r="H48" s="2142"/>
      <c r="I48" s="1083" t="e">
        <f>V48</f>
        <v>#DIV/0!</v>
      </c>
      <c r="J48" s="2142"/>
      <c r="K48" s="2143">
        <f>F48+H48+J48</f>
        <v>0</v>
      </c>
      <c r="L48" s="2495"/>
      <c r="M48" s="2488"/>
      <c r="N48" s="2488"/>
      <c r="O48" s="2488"/>
      <c r="P48" s="3422" t="str">
        <f>A48</f>
        <v>比较价值（元/平方米）</v>
      </c>
      <c r="Q48" s="342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1706</v>
      </c>
      <c r="B49" s="428"/>
      <c r="C49" s="1084" t="e">
        <f>R49</f>
        <v>#DIV/0!</v>
      </c>
      <c r="D49" s="351"/>
      <c r="E49" s="351"/>
      <c r="F49" s="351"/>
      <c r="G49" s="351"/>
      <c r="H49" s="351"/>
      <c r="I49" s="351"/>
      <c r="J49" s="351"/>
      <c r="K49" s="1768"/>
      <c r="L49" s="2495"/>
      <c r="M49" s="2488"/>
      <c r="N49" s="2488"/>
      <c r="O49" s="2488"/>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1708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1709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1710</v>
      </c>
      <c r="B57" s="385"/>
      <c r="C57" s="659"/>
      <c r="D57" s="659"/>
      <c r="E57" s="659"/>
      <c r="F57" s="660"/>
      <c r="G57" s="660"/>
      <c r="H57" s="659"/>
      <c r="I57" s="659"/>
      <c r="J57" s="659"/>
      <c r="K57" s="887"/>
      <c r="L57" s="888"/>
      <c r="M57" s="886"/>
      <c r="N57" s="886"/>
      <c r="O57" s="886"/>
      <c r="P57" s="1771"/>
      <c r="Q57" s="439"/>
    </row>
    <row r="58" spans="1:29" s="442" customFormat="1" ht="15">
      <c r="A58" s="440" t="s">
        <v>1711</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1712</v>
      </c>
      <c r="B60" s="450"/>
      <c r="C60" s="451"/>
      <c r="D60" s="452"/>
      <c r="E60" s="452"/>
      <c r="F60" s="452"/>
      <c r="G60" s="452"/>
      <c r="H60" s="452"/>
      <c r="I60" s="452"/>
      <c r="J60" s="452"/>
      <c r="K60" s="452"/>
      <c r="L60" s="452"/>
      <c r="M60" s="453"/>
      <c r="N60" s="452"/>
      <c r="O60" s="453"/>
      <c r="P60" s="1773"/>
      <c r="Q60" s="439"/>
    </row>
    <row r="61" spans="1:29" s="102" customFormat="1" ht="15">
      <c r="A61" s="455" t="s">
        <v>1713</v>
      </c>
      <c r="B61" s="444"/>
      <c r="C61" s="456" t="s">
        <v>1714</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1715</v>
      </c>
      <c r="B63" s="460" t="s">
        <v>1681</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1684</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1685</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1686</v>
      </c>
      <c r="B76" s="460" t="s">
        <v>1716</v>
      </c>
      <c r="C76" s="504" t="s">
        <v>1717</v>
      </c>
      <c r="D76" s="504" t="s">
        <v>1718</v>
      </c>
      <c r="E76" s="504" t="s">
        <v>1719</v>
      </c>
      <c r="F76" s="504" t="s">
        <v>1720</v>
      </c>
      <c r="G76" s="504" t="s">
        <v>1721</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1722</v>
      </c>
      <c r="C78" s="509" t="s">
        <v>1717</v>
      </c>
      <c r="D78" s="509" t="s">
        <v>1718</v>
      </c>
      <c r="E78" s="509" t="s">
        <v>1719</v>
      </c>
      <c r="F78" s="509" t="s">
        <v>1720</v>
      </c>
      <c r="G78" s="509" t="s">
        <v>1721</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1723</v>
      </c>
      <c r="C80" s="509" t="s">
        <v>1717</v>
      </c>
      <c r="D80" s="509" t="s">
        <v>1718</v>
      </c>
      <c r="E80" s="509" t="s">
        <v>1719</v>
      </c>
      <c r="F80" s="509" t="s">
        <v>1720</v>
      </c>
      <c r="G80" s="509" t="s">
        <v>1721</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1256</v>
      </c>
      <c r="C82" s="470" t="s">
        <v>1724</v>
      </c>
      <c r="D82" s="470" t="s">
        <v>1725</v>
      </c>
      <c r="E82" s="470" t="s">
        <v>1726</v>
      </c>
      <c r="F82" s="470" t="s">
        <v>1727</v>
      </c>
      <c r="G82" s="470" t="s">
        <v>1728</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1729</v>
      </c>
      <c r="C84" s="509" t="s">
        <v>1717</v>
      </c>
      <c r="D84" s="509" t="s">
        <v>1718</v>
      </c>
      <c r="E84" s="509" t="s">
        <v>1719</v>
      </c>
      <c r="F84" s="509" t="s">
        <v>1720</v>
      </c>
      <c r="G84" s="509" t="s">
        <v>1721</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1730</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1731</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1690</v>
      </c>
      <c r="B100" s="460" t="s">
        <v>1732</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1733</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1734</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1735</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1736</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1186</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1737</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1738</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1739</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1701</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1740</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1741</v>
      </c>
      <c r="C124" s="509" t="s">
        <v>1717</v>
      </c>
      <c r="D124" s="509" t="s">
        <v>1718</v>
      </c>
      <c r="E124" s="509" t="s">
        <v>1719</v>
      </c>
      <c r="F124" s="509" t="s">
        <v>1720</v>
      </c>
      <c r="G124" s="509" t="s">
        <v>1721</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1742</v>
      </c>
    </row>
    <row r="137" spans="1:17" ht="15">
      <c r="B137" s="1782" t="s">
        <v>1743</v>
      </c>
      <c r="C137" s="1783"/>
      <c r="D137" s="1783"/>
      <c r="E137" s="1783"/>
      <c r="F137" s="1783"/>
      <c r="G137" s="1784"/>
      <c r="H137" s="1785"/>
      <c r="I137" s="1786" t="s">
        <v>1744</v>
      </c>
      <c r="J137" s="1783"/>
      <c r="K137" s="1787"/>
    </row>
    <row r="138" spans="1:17" ht="15">
      <c r="B138" s="1788"/>
      <c r="C138" s="129" t="s">
        <v>1745</v>
      </c>
      <c r="D138" s="129" t="s">
        <v>1746</v>
      </c>
      <c r="E138" s="1789" t="s">
        <v>1747</v>
      </c>
      <c r="F138" s="1790" t="s">
        <v>1748</v>
      </c>
      <c r="G138" s="129" t="s">
        <v>1746</v>
      </c>
      <c r="H138" s="130" t="s">
        <v>1747</v>
      </c>
      <c r="I138" s="1791"/>
      <c r="J138" s="129" t="s">
        <v>1749</v>
      </c>
      <c r="K138" s="130" t="s">
        <v>1750</v>
      </c>
    </row>
    <row r="139" spans="1:17" ht="15">
      <c r="B139" s="814">
        <v>6</v>
      </c>
      <c r="C139" s="815">
        <v>96</v>
      </c>
      <c r="D139" s="1792" t="s">
        <v>1751</v>
      </c>
      <c r="E139" s="816">
        <v>100</v>
      </c>
      <c r="F139" s="817">
        <v>102.5</v>
      </c>
      <c r="G139" s="1792" t="s">
        <v>1751</v>
      </c>
      <c r="H139" s="818">
        <v>105</v>
      </c>
      <c r="I139" s="1793" t="s">
        <v>1752</v>
      </c>
      <c r="J139" s="815">
        <v>20</v>
      </c>
      <c r="K139" s="819">
        <f>C145/(J139-2)</f>
        <v>4.0555555555555553E-3</v>
      </c>
    </row>
    <row r="140" spans="1:17" ht="15">
      <c r="B140" s="820">
        <v>5</v>
      </c>
      <c r="C140" s="821">
        <v>100</v>
      </c>
      <c r="D140" s="821"/>
      <c r="E140" s="822"/>
      <c r="F140" s="823">
        <v>102</v>
      </c>
      <c r="G140" s="821"/>
      <c r="H140" s="824"/>
      <c r="I140" s="1794" t="s">
        <v>1753</v>
      </c>
      <c r="J140" s="263">
        <f>ROUNDUP((J139-1)/2,0)</f>
        <v>10</v>
      </c>
      <c r="K140" s="825">
        <v>100</v>
      </c>
    </row>
    <row r="141" spans="1:17" ht="15">
      <c r="B141" s="820">
        <v>4</v>
      </c>
      <c r="C141" s="821">
        <v>102</v>
      </c>
      <c r="D141" s="821"/>
      <c r="E141" s="822"/>
      <c r="F141" s="823">
        <v>101.5</v>
      </c>
      <c r="G141" s="821"/>
      <c r="H141" s="824"/>
      <c r="I141" s="1794" t="s">
        <v>1754</v>
      </c>
      <c r="J141" s="263">
        <v>1</v>
      </c>
      <c r="K141" s="826">
        <f>ROUND(100+(J141-J140)*K139*100,1)</f>
        <v>96.4</v>
      </c>
    </row>
    <row r="142" spans="1:17" ht="15">
      <c r="B142" s="820">
        <v>3</v>
      </c>
      <c r="C142" s="821">
        <v>103</v>
      </c>
      <c r="D142" s="821"/>
      <c r="E142" s="822"/>
      <c r="F142" s="823">
        <v>101</v>
      </c>
      <c r="G142" s="821"/>
      <c r="H142" s="824"/>
      <c r="I142" s="1794" t="s">
        <v>1755</v>
      </c>
      <c r="J142" s="263">
        <f>J139</f>
        <v>20</v>
      </c>
      <c r="K142" s="827">
        <v>95</v>
      </c>
    </row>
    <row r="143" spans="1:17" ht="15">
      <c r="B143" s="820">
        <v>2</v>
      </c>
      <c r="C143" s="821">
        <v>100</v>
      </c>
      <c r="D143" s="821"/>
      <c r="E143" s="822"/>
      <c r="F143" s="823">
        <v>100.5</v>
      </c>
      <c r="G143" s="821"/>
      <c r="H143" s="824"/>
      <c r="I143" s="1794" t="s">
        <v>1756</v>
      </c>
      <c r="J143" s="821">
        <v>15</v>
      </c>
      <c r="K143" s="826">
        <f>ROUND(100+(J143-J140)*K139*100,1)</f>
        <v>102</v>
      </c>
    </row>
    <row r="144" spans="1:17" ht="15">
      <c r="B144" s="820">
        <v>1</v>
      </c>
      <c r="C144" s="821">
        <v>98</v>
      </c>
      <c r="D144" s="1795" t="s">
        <v>1757</v>
      </c>
      <c r="E144" s="822">
        <v>102</v>
      </c>
      <c r="F144" s="828">
        <v>100</v>
      </c>
      <c r="G144" s="1795" t="s">
        <v>1757</v>
      </c>
      <c r="H144" s="824">
        <v>105</v>
      </c>
      <c r="I144" s="1794" t="s">
        <v>1756</v>
      </c>
      <c r="J144" s="821">
        <v>18</v>
      </c>
      <c r="K144" s="826">
        <f>ROUND(100+(J144-J140)*K139*100,1)</f>
        <v>103.2</v>
      </c>
    </row>
    <row r="145" spans="2:11" ht="15.75" thickBot="1">
      <c r="B145" s="1796" t="s">
        <v>1758</v>
      </c>
      <c r="C145" s="829">
        <f>ROUND(MAX(C139:C144)/MIN(C139:C144)-1,3)</f>
        <v>7.2999999999999995E-2</v>
      </c>
      <c r="D145" s="830"/>
      <c r="E145" s="830"/>
      <c r="F145" s="1797" t="s">
        <v>1759</v>
      </c>
      <c r="G145" s="1798"/>
      <c r="H145" s="1799"/>
      <c r="I145" s="1800" t="s">
        <v>1756</v>
      </c>
      <c r="J145" s="831">
        <v>8</v>
      </c>
      <c r="K145" s="832">
        <f>ROUND(100+(J145-J140)*K139*100,1)</f>
        <v>99.2</v>
      </c>
    </row>
    <row r="147" spans="2:11">
      <c r="B147" s="1781" t="s">
        <v>1760</v>
      </c>
    </row>
    <row r="148" spans="2:11">
      <c r="B148" s="1781"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734" t="s">
        <v>1762</v>
      </c>
      <c r="C1" s="1155" t="s">
        <v>1658</v>
      </c>
      <c r="D1" s="1142"/>
      <c r="E1" s="3125"/>
      <c r="F1" s="1735"/>
      <c r="G1" s="1152" t="s">
        <v>1763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1458</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1460</v>
      </c>
      <c r="B3" s="536">
        <f>IF(C2="——",C49,ROUND(B2*10000/D3,0))</f>
        <v>0</v>
      </c>
      <c r="C3" s="344" t="s">
        <v>1764</v>
      </c>
      <c r="D3" s="343">
        <f>IF(D1="",'数据-汇总表'!E3,SUMIF('数据-汇总表'!$C19:$C33,D1,'数据-汇总表'!$E19:$E33))</f>
        <v>36389.269999999997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1765</v>
      </c>
      <c r="B4" s="346"/>
      <c r="C4" s="3437" t="s">
        <v>1766</v>
      </c>
      <c r="D4" s="3438"/>
      <c r="E4" s="3439" t="s">
        <v>1767</v>
      </c>
      <c r="F4" s="3440"/>
      <c r="G4" s="3437" t="s">
        <v>1768</v>
      </c>
      <c r="H4" s="3438"/>
      <c r="I4" s="3437" t="s">
        <v>1769</v>
      </c>
      <c r="J4" s="3438"/>
      <c r="K4" s="537" t="s">
        <v>1770</v>
      </c>
      <c r="L4" s="2487"/>
      <c r="M4" s="2488"/>
      <c r="N4" s="2488"/>
      <c r="O4" s="2488"/>
      <c r="P4" s="3441" t="s">
        <v>1771</v>
      </c>
      <c r="Q4" s="3442"/>
      <c r="R4" s="3447" t="s">
        <v>1767</v>
      </c>
      <c r="S4" s="3448"/>
      <c r="T4" s="3447" t="s">
        <v>1768</v>
      </c>
      <c r="U4" s="3448"/>
      <c r="V4" s="3423" t="s">
        <v>1769</v>
      </c>
      <c r="W4" s="3423"/>
      <c r="X4" s="1265"/>
      <c r="Y4" s="3447" t="s">
        <v>1771</v>
      </c>
      <c r="Z4" s="3448"/>
      <c r="AA4" s="3434" t="s">
        <v>1767</v>
      </c>
      <c r="AB4" s="3423" t="s">
        <v>1768</v>
      </c>
      <c r="AC4" s="3434" t="s">
        <v>1769</v>
      </c>
    </row>
    <row r="5" spans="1:29" ht="15">
      <c r="A5" s="348"/>
      <c r="B5" s="349"/>
      <c r="C5" s="3455" t="s">
        <v>1669</v>
      </c>
      <c r="D5" s="3456"/>
      <c r="E5" s="3462" t="s">
        <v>1670</v>
      </c>
      <c r="F5" s="3463"/>
      <c r="G5" s="3455" t="s">
        <v>1671</v>
      </c>
      <c r="H5" s="3456"/>
      <c r="I5" s="3455" t="s">
        <v>1672</v>
      </c>
      <c r="J5" s="3456"/>
      <c r="K5" s="537"/>
      <c r="L5" s="2487"/>
      <c r="M5" s="2488"/>
      <c r="N5" s="2488"/>
      <c r="O5" s="2488"/>
      <c r="P5" s="3443"/>
      <c r="Q5" s="3444"/>
      <c r="R5" s="3449"/>
      <c r="S5" s="3450"/>
      <c r="T5" s="3449"/>
      <c r="U5" s="3450"/>
      <c r="V5" s="3423"/>
      <c r="W5" s="3423"/>
      <c r="X5" s="1265"/>
      <c r="Y5" s="3449"/>
      <c r="Z5" s="3450"/>
      <c r="AA5" s="3435"/>
      <c r="AB5" s="3423"/>
      <c r="AC5" s="3435"/>
    </row>
    <row r="6" spans="1:29" ht="15.75" thickBot="1">
      <c r="A6" s="350"/>
      <c r="B6" s="351"/>
      <c r="C6" s="3453" t="s">
        <v>1673</v>
      </c>
      <c r="D6" s="3454"/>
      <c r="E6" s="3460" t="s">
        <v>1673</v>
      </c>
      <c r="F6" s="3461"/>
      <c r="G6" s="3453" t="s">
        <v>1673</v>
      </c>
      <c r="H6" s="3454"/>
      <c r="I6" s="3453" t="s">
        <v>1673</v>
      </c>
      <c r="J6" s="3454"/>
      <c r="K6" s="537" t="s">
        <v>1674</v>
      </c>
      <c r="L6" s="2487"/>
      <c r="M6" s="2488"/>
      <c r="N6" s="2488"/>
      <c r="O6" s="2488"/>
      <c r="P6" s="3445"/>
      <c r="Q6" s="3446"/>
      <c r="R6" s="3449"/>
      <c r="S6" s="3450"/>
      <c r="T6" s="3451"/>
      <c r="U6" s="3452"/>
      <c r="V6" s="3423"/>
      <c r="W6" s="3423"/>
      <c r="X6" s="1265"/>
      <c r="Y6" s="3451"/>
      <c r="Z6" s="3452"/>
      <c r="AA6" s="3436"/>
      <c r="AB6" s="3423"/>
      <c r="AC6" s="3436"/>
    </row>
    <row r="7" spans="1:29" s="102" customFormat="1" ht="15.75" thickBot="1">
      <c r="A7" s="352" t="s">
        <v>1675</v>
      </c>
      <c r="B7" s="353"/>
      <c r="C7" s="354">
        <f>'数据-取费表'!B2</f>
        <v>45889</v>
      </c>
      <c r="D7" s="355">
        <v>100</v>
      </c>
      <c r="E7" s="356"/>
      <c r="F7" s="357">
        <f>SUMIF(58:58,YEAR(E7)&amp;"-"&amp;MONTH(E7),59:59)</f>
        <v>0</v>
      </c>
      <c r="G7" s="356"/>
      <c r="H7" s="355">
        <f>SUMIF(58:58,YEAR(G7)&amp;"-"&amp;MONTH(G7),59:59)</f>
        <v>0</v>
      </c>
      <c r="I7" s="356"/>
      <c r="J7" s="355">
        <f>SUMIF(58:58,YEAR(I7)&amp;"-"&amp;MONTH(I7),59:59)</f>
        <v>0</v>
      </c>
      <c r="K7" s="38"/>
      <c r="L7" s="2489"/>
      <c r="M7" s="2440"/>
      <c r="N7" s="2440"/>
      <c r="O7" s="2440"/>
      <c r="P7" s="3457" t="s">
        <v>1676</v>
      </c>
      <c r="Q7" s="3459"/>
      <c r="R7" s="664" t="s">
        <v>14</v>
      </c>
      <c r="S7" s="665">
        <f t="shared" ref="S7:S15" si="0">F7</f>
        <v>0</v>
      </c>
      <c r="T7" s="664" t="s">
        <v>14</v>
      </c>
      <c r="U7" s="665">
        <f t="shared" ref="U7:U15" si="1">H7</f>
        <v>0</v>
      </c>
      <c r="V7" s="664" t="s">
        <v>14</v>
      </c>
      <c r="W7" s="665">
        <f t="shared" ref="W7:W15" si="2">J7</f>
        <v>0</v>
      </c>
      <c r="X7" s="666"/>
      <c r="Y7" s="3457" t="s">
        <v>1676</v>
      </c>
      <c r="Z7" s="3458"/>
      <c r="AA7" s="50" t="e">
        <f>D7/F7</f>
        <v>#DIV/0!</v>
      </c>
      <c r="AB7" s="50" t="e">
        <f>D7/H7</f>
        <v>#DIV/0!</v>
      </c>
      <c r="AC7" s="50" t="e">
        <f>D7/J7</f>
        <v>#DIV/0!</v>
      </c>
    </row>
    <row r="8" spans="1:29" s="102" customFormat="1" ht="15.75" thickBot="1">
      <c r="A8" s="352" t="s">
        <v>1677</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57" t="s">
        <v>1679</v>
      </c>
      <c r="Q8" s="3458"/>
      <c r="R8" s="664" t="s">
        <v>14</v>
      </c>
      <c r="S8" s="665">
        <f t="shared" si="0"/>
        <v>100</v>
      </c>
      <c r="T8" s="664" t="s">
        <v>14</v>
      </c>
      <c r="U8" s="665">
        <f t="shared" si="1"/>
        <v>100</v>
      </c>
      <c r="V8" s="664" t="s">
        <v>14</v>
      </c>
      <c r="W8" s="665">
        <f t="shared" si="2"/>
        <v>100</v>
      </c>
      <c r="X8" s="666"/>
      <c r="Y8" s="3457" t="s">
        <v>1679</v>
      </c>
      <c r="Z8" s="3458"/>
      <c r="AA8" s="50">
        <f t="shared" ref="AA8:AA46" si="3">D8/F8</f>
        <v>1</v>
      </c>
      <c r="AB8" s="50">
        <f t="shared" ref="AB8:AB46" si="4">D8/H8</f>
        <v>1</v>
      </c>
      <c r="AC8" s="50">
        <f t="shared" ref="AC8:AC46" si="5">D8/J8</f>
        <v>1</v>
      </c>
    </row>
    <row r="9" spans="1:29" s="102" customFormat="1">
      <c r="A9" s="359" t="s">
        <v>1680</v>
      </c>
      <c r="B9" s="60" t="s">
        <v>1681</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33" t="s">
        <v>1682</v>
      </c>
      <c r="Q9" s="530" t="str">
        <f t="shared" ref="Q9:Q15" si="6">B9</f>
        <v>用途</v>
      </c>
      <c r="R9" s="664" t="s">
        <v>14</v>
      </c>
      <c r="S9" s="665">
        <f t="shared" si="0"/>
        <v>100</v>
      </c>
      <c r="T9" s="664" t="s">
        <v>14</v>
      </c>
      <c r="U9" s="665">
        <f t="shared" si="1"/>
        <v>100</v>
      </c>
      <c r="V9" s="664" t="s">
        <v>14</v>
      </c>
      <c r="W9" s="665">
        <f t="shared" si="2"/>
        <v>100</v>
      </c>
      <c r="X9" s="666"/>
      <c r="Y9" s="3277"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3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33"/>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3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3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3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15">
      <c r="A15" s="379" t="s">
        <v>1686</v>
      </c>
      <c r="B15" s="58" t="s">
        <v>1773</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1" t="s">
        <v>1687</v>
      </c>
      <c r="Q15" s="1263" t="str">
        <f t="shared" si="6"/>
        <v>商业繁华度</v>
      </c>
      <c r="R15" s="667" t="s">
        <v>14</v>
      </c>
      <c r="S15" s="668">
        <f t="shared" si="0"/>
        <v>100</v>
      </c>
      <c r="T15" s="667" t="s">
        <v>14</v>
      </c>
      <c r="U15" s="668">
        <f t="shared" si="1"/>
        <v>100</v>
      </c>
      <c r="V15" s="667" t="s">
        <v>14</v>
      </c>
      <c r="W15" s="668">
        <f t="shared" si="2"/>
        <v>100</v>
      </c>
      <c r="X15" s="1265"/>
      <c r="Y15" s="3424" t="s">
        <v>1687</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2"/>
      <c r="Q16" s="1263"/>
      <c r="R16" s="667"/>
      <c r="S16" s="668"/>
      <c r="T16" s="667"/>
      <c r="U16" s="668"/>
      <c r="V16" s="667"/>
      <c r="W16" s="668"/>
      <c r="X16" s="1265"/>
      <c r="Y16" s="3425"/>
      <c r="Z16" s="1264"/>
      <c r="AA16" s="1264">
        <v>1</v>
      </c>
      <c r="AB16" s="1264">
        <v>1</v>
      </c>
      <c r="AC16" s="1264">
        <v>1</v>
      </c>
    </row>
    <row r="17" spans="1:29" ht="15">
      <c r="A17" s="367"/>
      <c r="B17" s="390" t="s">
        <v>1255</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2"/>
      <c r="Q18" s="1263"/>
      <c r="R18" s="667"/>
      <c r="S18" s="668"/>
      <c r="T18" s="667"/>
      <c r="U18" s="668"/>
      <c r="V18" s="667"/>
      <c r="W18" s="668"/>
      <c r="X18" s="1265"/>
      <c r="Y18" s="3425"/>
      <c r="Z18" s="1264"/>
      <c r="AA18" s="1264">
        <v>1</v>
      </c>
      <c r="AB18" s="1264">
        <v>1</v>
      </c>
      <c r="AC18" s="1264">
        <v>1</v>
      </c>
    </row>
    <row r="19" spans="1:29" ht="15">
      <c r="A19" s="367"/>
      <c r="B19" s="390" t="s">
        <v>1774</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2"/>
      <c r="Q20" s="1263"/>
      <c r="R20" s="667"/>
      <c r="S20" s="668"/>
      <c r="T20" s="667"/>
      <c r="U20" s="668"/>
      <c r="V20" s="667"/>
      <c r="W20" s="668"/>
      <c r="X20" s="1265"/>
      <c r="Y20" s="3425"/>
      <c r="Z20" s="1264"/>
      <c r="AA20" s="1264">
        <v>1</v>
      </c>
      <c r="AB20" s="1264">
        <v>1</v>
      </c>
      <c r="AC20" s="1264">
        <v>1</v>
      </c>
    </row>
    <row r="21" spans="1:29" ht="15">
      <c r="A21" s="367"/>
      <c r="B21" s="586" t="s">
        <v>1775</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2"/>
      <c r="Q22" s="1263"/>
      <c r="R22" s="667"/>
      <c r="S22" s="668"/>
      <c r="T22" s="667"/>
      <c r="U22" s="668"/>
      <c r="V22" s="667"/>
      <c r="W22" s="668"/>
      <c r="X22" s="1265"/>
      <c r="Y22" s="3425"/>
      <c r="Z22" s="1264"/>
      <c r="AA22" s="1264">
        <v>1</v>
      </c>
      <c r="AB22" s="1264">
        <v>1</v>
      </c>
      <c r="AC22" s="1264">
        <v>1</v>
      </c>
    </row>
    <row r="23" spans="1:29" ht="15">
      <c r="A23" s="367"/>
      <c r="B23" s="390" t="s">
        <v>1257</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2"/>
      <c r="Q23" s="1263" t="str">
        <f>B23</f>
        <v>自然及人文环境</v>
      </c>
      <c r="R23" s="667" t="s">
        <v>14</v>
      </c>
      <c r="S23" s="668">
        <f>F23</f>
        <v>100</v>
      </c>
      <c r="T23" s="667" t="s">
        <v>14</v>
      </c>
      <c r="U23" s="668">
        <f>H23</f>
        <v>100</v>
      </c>
      <c r="V23" s="667" t="s">
        <v>14</v>
      </c>
      <c r="W23" s="668">
        <f>J23</f>
        <v>100</v>
      </c>
      <c r="X23" s="1265"/>
      <c r="Y23" s="342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2"/>
      <c r="Q24" s="1263"/>
      <c r="R24" s="667"/>
      <c r="S24" s="668"/>
      <c r="T24" s="667"/>
      <c r="U24" s="668"/>
      <c r="V24" s="667"/>
      <c r="W24" s="668"/>
      <c r="X24" s="1265"/>
      <c r="Y24" s="3425"/>
      <c r="Z24" s="1264"/>
      <c r="AA24" s="1264">
        <v>1</v>
      </c>
      <c r="AB24" s="1264">
        <v>1</v>
      </c>
      <c r="AC24" s="1264">
        <v>1</v>
      </c>
    </row>
    <row r="25" spans="1:29" ht="15">
      <c r="A25" s="367"/>
      <c r="B25" s="364" t="s">
        <v>1776</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2"/>
      <c r="Q25" s="1263" t="str">
        <f t="shared" ref="Q25:Q46" si="11">B25</f>
        <v>临街状况</v>
      </c>
      <c r="R25" s="667" t="s">
        <v>14</v>
      </c>
      <c r="S25" s="668">
        <f>F25</f>
        <v>100</v>
      </c>
      <c r="T25" s="667" t="s">
        <v>14</v>
      </c>
      <c r="U25" s="668">
        <f>H25</f>
        <v>100</v>
      </c>
      <c r="V25" s="667" t="s">
        <v>14</v>
      </c>
      <c r="W25" s="668">
        <f>J25</f>
        <v>100</v>
      </c>
      <c r="X25" s="1265"/>
      <c r="Y25" s="3425"/>
      <c r="Z25" s="1264" t="str">
        <f>Q25</f>
        <v>临街状况</v>
      </c>
      <c r="AA25" s="1264">
        <f t="shared" si="3"/>
        <v>1</v>
      </c>
      <c r="AB25" s="1264">
        <f t="shared" si="4"/>
        <v>1</v>
      </c>
      <c r="AC25" s="1264">
        <f t="shared" si="5"/>
        <v>1</v>
      </c>
    </row>
    <row r="26" spans="1:29" ht="15">
      <c r="A26" s="367"/>
      <c r="B26" s="1066" t="s">
        <v>1777</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2"/>
      <c r="Q26" s="1263" t="str">
        <f t="shared" si="11"/>
        <v>平面位置/可视性</v>
      </c>
      <c r="R26" s="667" t="s">
        <v>14</v>
      </c>
      <c r="S26" s="668">
        <f>F26</f>
        <v>100</v>
      </c>
      <c r="T26" s="667" t="s">
        <v>14</v>
      </c>
      <c r="U26" s="668">
        <f>H26</f>
        <v>100</v>
      </c>
      <c r="V26" s="667" t="s">
        <v>14</v>
      </c>
      <c r="W26" s="668">
        <f>J26</f>
        <v>100</v>
      </c>
      <c r="X26" s="1265"/>
      <c r="Y26" s="3425"/>
      <c r="Z26" s="1264" t="str">
        <f>Q26</f>
        <v>平面位置/可视性</v>
      </c>
      <c r="AA26" s="1264">
        <f t="shared" si="3"/>
        <v>1</v>
      </c>
      <c r="AB26" s="1264">
        <f t="shared" si="4"/>
        <v>1</v>
      </c>
      <c r="AC26" s="1264">
        <f t="shared" si="5"/>
        <v>1</v>
      </c>
    </row>
    <row r="27" spans="1:29" s="102" customFormat="1" ht="15">
      <c r="A27" s="370"/>
      <c r="B27" s="390" t="s">
        <v>1778</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2"/>
      <c r="Q27" s="530" t="str">
        <f t="shared" si="11"/>
        <v>人流量</v>
      </c>
      <c r="R27" s="664" t="s">
        <v>14</v>
      </c>
      <c r="S27" s="665">
        <f>F27</f>
        <v>100</v>
      </c>
      <c r="T27" s="664" t="s">
        <v>14</v>
      </c>
      <c r="U27" s="665">
        <f>H27</f>
        <v>100</v>
      </c>
      <c r="V27" s="664" t="s">
        <v>14</v>
      </c>
      <c r="W27" s="665">
        <f>J27</f>
        <v>100</v>
      </c>
      <c r="X27" s="666"/>
      <c r="Y27" s="3425"/>
      <c r="Z27" s="50" t="str">
        <f>Q27</f>
        <v>人流量</v>
      </c>
      <c r="AA27" s="1264">
        <f>D27/F27</f>
        <v>1</v>
      </c>
      <c r="AB27" s="1264">
        <f>D27/H27</f>
        <v>1</v>
      </c>
      <c r="AC27" s="1264">
        <f>D27/J27</f>
        <v>1</v>
      </c>
    </row>
    <row r="28" spans="1:29" ht="15">
      <c r="A28" s="367"/>
      <c r="B28" s="364" t="s">
        <v>1779</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2"/>
      <c r="Q29" s="1263">
        <f t="shared" si="11"/>
        <v>111</v>
      </c>
      <c r="R29" s="667" t="s">
        <v>14</v>
      </c>
      <c r="S29" s="668">
        <f t="shared" si="12"/>
        <v>100</v>
      </c>
      <c r="T29" s="667" t="s">
        <v>14</v>
      </c>
      <c r="U29" s="668">
        <f t="shared" si="13"/>
        <v>100</v>
      </c>
      <c r="V29" s="667" t="s">
        <v>14</v>
      </c>
      <c r="W29" s="668">
        <f t="shared" si="14"/>
        <v>100</v>
      </c>
      <c r="X29" s="1265"/>
      <c r="Y29" s="342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264">
        <f t="shared" si="5"/>
        <v>1</v>
      </c>
    </row>
    <row r="32" spans="1:29" ht="15">
      <c r="A32" s="379" t="s">
        <v>1690</v>
      </c>
      <c r="B32" s="60" t="s">
        <v>1780</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6" t="s">
        <v>1692</v>
      </c>
      <c r="Q32" s="1263" t="str">
        <f t="shared" si="11"/>
        <v>商业类型</v>
      </c>
      <c r="R32" s="667" t="s">
        <v>14</v>
      </c>
      <c r="S32" s="668">
        <f t="shared" si="12"/>
        <v>100</v>
      </c>
      <c r="T32" s="667" t="s">
        <v>14</v>
      </c>
      <c r="U32" s="668">
        <f t="shared" si="13"/>
        <v>100</v>
      </c>
      <c r="V32" s="667" t="s">
        <v>14</v>
      </c>
      <c r="W32" s="668">
        <f t="shared" si="14"/>
        <v>100</v>
      </c>
      <c r="X32" s="1265"/>
      <c r="Y32" s="3429" t="s">
        <v>1692</v>
      </c>
      <c r="Z32" s="1264" t="str">
        <f t="shared" si="15"/>
        <v>商业类型</v>
      </c>
      <c r="AA32" s="1264">
        <f t="shared" si="3"/>
        <v>1</v>
      </c>
      <c r="AB32" s="1264">
        <f t="shared" si="4"/>
        <v>1</v>
      </c>
      <c r="AC32" s="1264">
        <f t="shared" si="5"/>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7"/>
      <c r="Q33" s="531" t="str">
        <f t="shared" si="11"/>
        <v>项目建筑规模</v>
      </c>
      <c r="R33" s="669" t="s">
        <v>14</v>
      </c>
      <c r="S33" s="670" t="e">
        <f t="shared" si="12"/>
        <v>#N/A</v>
      </c>
      <c r="T33" s="669" t="s">
        <v>14</v>
      </c>
      <c r="U33" s="670" t="e">
        <f t="shared" si="13"/>
        <v>#N/A</v>
      </c>
      <c r="V33" s="669" t="s">
        <v>14</v>
      </c>
      <c r="W33" s="670" t="e">
        <f t="shared" si="14"/>
        <v>#N/A</v>
      </c>
      <c r="X33" s="671"/>
      <c r="Y33" s="3429"/>
      <c r="Z33" s="672" t="str">
        <f t="shared" si="15"/>
        <v>项目建筑规模</v>
      </c>
      <c r="AA33" s="1264" t="e">
        <f t="shared" si="3"/>
        <v>#N/A</v>
      </c>
      <c r="AB33" s="1264" t="e">
        <f t="shared" si="4"/>
        <v>#N/A</v>
      </c>
      <c r="AC33" s="1264" t="e">
        <f t="shared" si="5"/>
        <v>#N/A</v>
      </c>
    </row>
    <row r="34" spans="1:29" ht="15">
      <c r="A34" s="409"/>
      <c r="B34" s="364" t="s">
        <v>1694</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7"/>
      <c r="Q34" s="1263" t="str">
        <f t="shared" si="11"/>
        <v>建筑结构</v>
      </c>
      <c r="R34" s="667" t="s">
        <v>14</v>
      </c>
      <c r="S34" s="668">
        <f t="shared" si="12"/>
        <v>100</v>
      </c>
      <c r="T34" s="667" t="s">
        <v>14</v>
      </c>
      <c r="U34" s="668">
        <f t="shared" si="13"/>
        <v>100</v>
      </c>
      <c r="V34" s="667" t="s">
        <v>14</v>
      </c>
      <c r="W34" s="668">
        <f t="shared" si="14"/>
        <v>100</v>
      </c>
      <c r="X34" s="1265"/>
      <c r="Y34" s="3429"/>
      <c r="Z34" s="1264" t="str">
        <f t="shared" si="15"/>
        <v>建筑结构</v>
      </c>
      <c r="AA34" s="1264">
        <f t="shared" si="3"/>
        <v>1</v>
      </c>
      <c r="AB34" s="1264">
        <f t="shared" si="4"/>
        <v>1</v>
      </c>
      <c r="AC34" s="1264">
        <f t="shared" si="5"/>
        <v>1</v>
      </c>
    </row>
    <row r="35" spans="1:29" ht="15">
      <c r="A35" s="409"/>
      <c r="B35" s="364" t="s">
        <v>1781</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7"/>
      <c r="Q35" s="1263" t="str">
        <f t="shared" si="11"/>
        <v>公共部分装修</v>
      </c>
      <c r="R35" s="667" t="s">
        <v>14</v>
      </c>
      <c r="S35" s="668">
        <f t="shared" si="12"/>
        <v>100</v>
      </c>
      <c r="T35" s="667" t="s">
        <v>14</v>
      </c>
      <c r="U35" s="668">
        <f t="shared" si="13"/>
        <v>100</v>
      </c>
      <c r="V35" s="667" t="s">
        <v>14</v>
      </c>
      <c r="W35" s="668">
        <f t="shared" si="14"/>
        <v>100</v>
      </c>
      <c r="X35" s="1265"/>
      <c r="Y35" s="3429"/>
      <c r="Z35" s="1264" t="str">
        <f t="shared" si="15"/>
        <v>公共部分装修</v>
      </c>
      <c r="AA35" s="1264">
        <f t="shared" si="3"/>
        <v>1</v>
      </c>
      <c r="AB35" s="1264">
        <f t="shared" si="4"/>
        <v>1</v>
      </c>
      <c r="AC35" s="1264">
        <f t="shared" si="5"/>
        <v>1</v>
      </c>
    </row>
    <row r="36" spans="1:29" ht="15">
      <c r="A36" s="409"/>
      <c r="B36" s="364" t="s">
        <v>1782</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7"/>
      <c r="Q36" s="1263" t="str">
        <f t="shared" si="11"/>
        <v>成新度</v>
      </c>
      <c r="R36" s="667" t="s">
        <v>14</v>
      </c>
      <c r="S36" s="668" t="e">
        <f t="shared" si="12"/>
        <v>#N/A</v>
      </c>
      <c r="T36" s="667" t="s">
        <v>14</v>
      </c>
      <c r="U36" s="668" t="e">
        <f t="shared" si="13"/>
        <v>#N/A</v>
      </c>
      <c r="V36" s="667" t="s">
        <v>14</v>
      </c>
      <c r="W36" s="668" t="e">
        <f t="shared" si="14"/>
        <v>#N/A</v>
      </c>
      <c r="X36" s="1265"/>
      <c r="Y36" s="3429"/>
      <c r="Z36" s="1264" t="str">
        <f t="shared" si="15"/>
        <v>成新度</v>
      </c>
      <c r="AA36" s="1264" t="e">
        <f t="shared" si="3"/>
        <v>#N/A</v>
      </c>
      <c r="AB36" s="1264" t="e">
        <f t="shared" si="4"/>
        <v>#N/A</v>
      </c>
      <c r="AC36" s="1264" t="e">
        <f t="shared" si="5"/>
        <v>#N/A</v>
      </c>
    </row>
    <row r="37" spans="1:29" s="102" customFormat="1" ht="15">
      <c r="A37" s="410"/>
      <c r="B37" s="364" t="s">
        <v>1783</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7"/>
      <c r="Q37" s="530" t="str">
        <f t="shared" si="11"/>
        <v>市政基础设施</v>
      </c>
      <c r="R37" s="664" t="s">
        <v>14</v>
      </c>
      <c r="S37" s="665">
        <f t="shared" si="12"/>
        <v>100</v>
      </c>
      <c r="T37" s="664" t="s">
        <v>14</v>
      </c>
      <c r="U37" s="665">
        <f t="shared" si="13"/>
        <v>100</v>
      </c>
      <c r="V37" s="664" t="s">
        <v>14</v>
      </c>
      <c r="W37" s="665">
        <f t="shared" si="14"/>
        <v>100</v>
      </c>
      <c r="X37" s="666"/>
      <c r="Y37" s="3429"/>
      <c r="Z37" s="50" t="str">
        <f t="shared" si="15"/>
        <v>市政基础设施</v>
      </c>
      <c r="AA37" s="50">
        <f t="shared" si="3"/>
        <v>1</v>
      </c>
      <c r="AB37" s="50">
        <f t="shared" si="4"/>
        <v>1</v>
      </c>
      <c r="AC37" s="50">
        <f t="shared" si="5"/>
        <v>1</v>
      </c>
    </row>
    <row r="38" spans="1:29" ht="15">
      <c r="A38" s="409"/>
      <c r="B38" s="364" t="s">
        <v>1784</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7" t="s">
        <v>1692</v>
      </c>
      <c r="Q38" s="1263" t="str">
        <f t="shared" si="11"/>
        <v>业态</v>
      </c>
      <c r="R38" s="667" t="s">
        <v>14</v>
      </c>
      <c r="S38" s="668">
        <f t="shared" si="12"/>
        <v>100</v>
      </c>
      <c r="T38" s="667" t="s">
        <v>14</v>
      </c>
      <c r="U38" s="668">
        <f t="shared" si="13"/>
        <v>100</v>
      </c>
      <c r="V38" s="667" t="s">
        <v>14</v>
      </c>
      <c r="W38" s="668">
        <f t="shared" si="14"/>
        <v>100</v>
      </c>
      <c r="X38" s="1265"/>
      <c r="Y38" s="3429" t="s">
        <v>1692</v>
      </c>
      <c r="Z38" s="1264" t="str">
        <f t="shared" si="15"/>
        <v>业态</v>
      </c>
      <c r="AA38" s="1264">
        <f t="shared" si="3"/>
        <v>1</v>
      </c>
      <c r="AB38" s="1264">
        <f t="shared" si="4"/>
        <v>1</v>
      </c>
      <c r="AC38" s="1264">
        <f t="shared" si="5"/>
        <v>1</v>
      </c>
    </row>
    <row r="39" spans="1:29" ht="15">
      <c r="A39" s="409"/>
      <c r="B39" s="364" t="s">
        <v>1785</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7"/>
      <c r="Q39" s="1263" t="str">
        <f t="shared" si="11"/>
        <v>层高</v>
      </c>
      <c r="R39" s="667" t="s">
        <v>14</v>
      </c>
      <c r="S39" s="668">
        <f t="shared" si="12"/>
        <v>100</v>
      </c>
      <c r="T39" s="667" t="s">
        <v>14</v>
      </c>
      <c r="U39" s="668">
        <f t="shared" si="13"/>
        <v>100</v>
      </c>
      <c r="V39" s="667" t="s">
        <v>14</v>
      </c>
      <c r="W39" s="668">
        <f t="shared" si="14"/>
        <v>100</v>
      </c>
      <c r="X39" s="1265"/>
      <c r="Y39" s="3429"/>
      <c r="Z39" s="1264" t="str">
        <f t="shared" si="15"/>
        <v>层高</v>
      </c>
      <c r="AA39" s="1264">
        <f t="shared" si="3"/>
        <v>1</v>
      </c>
      <c r="AB39" s="1264">
        <f t="shared" si="4"/>
        <v>1</v>
      </c>
      <c r="AC39" s="1264">
        <f t="shared" si="5"/>
        <v>1</v>
      </c>
    </row>
    <row r="40" spans="1:29" ht="15">
      <c r="A40" s="409"/>
      <c r="B40" s="364" t="s">
        <v>1786</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7"/>
      <c r="Q40" s="1263" t="str">
        <f t="shared" si="11"/>
        <v>单套建筑面积</v>
      </c>
      <c r="R40" s="667" t="s">
        <v>14</v>
      </c>
      <c r="S40" s="668">
        <f t="shared" si="12"/>
        <v>100</v>
      </c>
      <c r="T40" s="667" t="s">
        <v>14</v>
      </c>
      <c r="U40" s="668">
        <f t="shared" si="13"/>
        <v>100</v>
      </c>
      <c r="V40" s="667" t="s">
        <v>14</v>
      </c>
      <c r="W40" s="668">
        <f t="shared" si="14"/>
        <v>100</v>
      </c>
      <c r="X40" s="1265"/>
      <c r="Y40" s="3429"/>
      <c r="Z40" s="1264" t="str">
        <f t="shared" si="15"/>
        <v>单套建筑面积</v>
      </c>
      <c r="AA40" s="1264">
        <f t="shared" si="3"/>
        <v>1</v>
      </c>
      <c r="AB40" s="1264">
        <f t="shared" si="4"/>
        <v>1</v>
      </c>
      <c r="AC40" s="1264">
        <f t="shared" si="5"/>
        <v>1</v>
      </c>
    </row>
    <row r="41" spans="1:29" s="408" customFormat="1" ht="15">
      <c r="A41" s="406"/>
      <c r="B41" s="400" t="s">
        <v>1787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7"/>
      <c r="Q41" s="531" t="str">
        <f t="shared" si="11"/>
        <v>进深比</v>
      </c>
      <c r="R41" s="669" t="s">
        <v>14</v>
      </c>
      <c r="S41" s="670">
        <f t="shared" si="12"/>
        <v>100</v>
      </c>
      <c r="T41" s="669" t="s">
        <v>14</v>
      </c>
      <c r="U41" s="670">
        <f t="shared" si="13"/>
        <v>100</v>
      </c>
      <c r="V41" s="669" t="s">
        <v>14</v>
      </c>
      <c r="W41" s="670">
        <f t="shared" si="14"/>
        <v>100</v>
      </c>
      <c r="X41" s="671"/>
      <c r="Y41" s="3429"/>
      <c r="Z41" s="672" t="str">
        <f t="shared" si="15"/>
        <v>进深比</v>
      </c>
      <c r="AA41" s="1264">
        <f t="shared" si="3"/>
        <v>1</v>
      </c>
      <c r="AB41" s="1264">
        <f t="shared" si="4"/>
        <v>1</v>
      </c>
      <c r="AC41" s="1264">
        <f t="shared" si="5"/>
        <v>1</v>
      </c>
    </row>
    <row r="42" spans="1:29" ht="15">
      <c r="A42" s="409"/>
      <c r="B42" s="364" t="s">
        <v>1788</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7"/>
      <c r="Q42" s="1263" t="str">
        <f t="shared" si="11"/>
        <v>内部装修</v>
      </c>
      <c r="R42" s="667" t="s">
        <v>14</v>
      </c>
      <c r="S42" s="668">
        <f t="shared" si="12"/>
        <v>100</v>
      </c>
      <c r="T42" s="667" t="s">
        <v>14</v>
      </c>
      <c r="U42" s="668">
        <f t="shared" si="13"/>
        <v>100</v>
      </c>
      <c r="V42" s="667" t="s">
        <v>14</v>
      </c>
      <c r="W42" s="668">
        <f t="shared" si="14"/>
        <v>100</v>
      </c>
      <c r="X42" s="1265"/>
      <c r="Y42" s="3429"/>
      <c r="Z42" s="1264" t="str">
        <f t="shared" si="15"/>
        <v>内部装修</v>
      </c>
      <c r="AA42" s="1264">
        <f t="shared" si="3"/>
        <v>1</v>
      </c>
      <c r="AB42" s="1264">
        <f t="shared" si="4"/>
        <v>1</v>
      </c>
      <c r="AC42" s="1264">
        <f t="shared" si="5"/>
        <v>1</v>
      </c>
    </row>
    <row r="43" spans="1:29" ht="15">
      <c r="A43" s="409"/>
      <c r="B43" s="364" t="s">
        <v>1703</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7"/>
      <c r="Q43" s="1263" t="str">
        <f t="shared" si="11"/>
        <v>内部装修维护情况</v>
      </c>
      <c r="R43" s="667" t="s">
        <v>14</v>
      </c>
      <c r="S43" s="668">
        <f t="shared" si="12"/>
        <v>100</v>
      </c>
      <c r="T43" s="667" t="s">
        <v>14</v>
      </c>
      <c r="U43" s="668">
        <f t="shared" si="13"/>
        <v>100</v>
      </c>
      <c r="V43" s="667" t="s">
        <v>14</v>
      </c>
      <c r="W43" s="668">
        <f t="shared" si="14"/>
        <v>100</v>
      </c>
      <c r="X43" s="1265"/>
      <c r="Y43" s="342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7"/>
      <c r="Q44" s="530">
        <f t="shared" si="11"/>
        <v>111</v>
      </c>
      <c r="R44" s="664" t="s">
        <v>14</v>
      </c>
      <c r="S44" s="665">
        <f t="shared" si="12"/>
        <v>100</v>
      </c>
      <c r="T44" s="664" t="s">
        <v>14</v>
      </c>
      <c r="U44" s="665">
        <f t="shared" si="13"/>
        <v>100</v>
      </c>
      <c r="V44" s="664" t="s">
        <v>14</v>
      </c>
      <c r="W44" s="665">
        <f t="shared" si="14"/>
        <v>100</v>
      </c>
      <c r="X44" s="666"/>
      <c r="Y44" s="342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7"/>
      <c r="Q45" s="1263">
        <f t="shared" si="11"/>
        <v>111</v>
      </c>
      <c r="R45" s="667" t="s">
        <v>14</v>
      </c>
      <c r="S45" s="668">
        <f t="shared" si="12"/>
        <v>100</v>
      </c>
      <c r="T45" s="667" t="s">
        <v>14</v>
      </c>
      <c r="U45" s="668">
        <f t="shared" si="13"/>
        <v>100</v>
      </c>
      <c r="V45" s="667" t="s">
        <v>14</v>
      </c>
      <c r="W45" s="668">
        <f t="shared" si="14"/>
        <v>100</v>
      </c>
      <c r="X45" s="1265"/>
      <c r="Y45" s="342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264">
        <f t="shared" si="5"/>
        <v>1</v>
      </c>
    </row>
    <row r="47" spans="1:29" ht="15">
      <c r="A47" s="416" t="s">
        <v>1704</v>
      </c>
      <c r="B47" s="417"/>
      <c r="C47" s="1081" t="s">
        <v>0</v>
      </c>
      <c r="D47" s="418"/>
      <c r="E47" s="419"/>
      <c r="F47" s="420"/>
      <c r="G47" s="421"/>
      <c r="H47" s="422"/>
      <c r="I47" s="419"/>
      <c r="J47" s="422"/>
      <c r="K47" s="674"/>
      <c r="L47" s="2495"/>
      <c r="M47" s="2488"/>
      <c r="N47" s="2488"/>
      <c r="O47" s="2488"/>
      <c r="P47" s="3422" t="str">
        <f>A47</f>
        <v>成交单价（元/平方米）</v>
      </c>
      <c r="Q47" s="3422"/>
      <c r="R47" s="3423">
        <f>E47</f>
        <v>0</v>
      </c>
      <c r="S47" s="3423"/>
      <c r="T47" s="3423">
        <f>G47</f>
        <v>0</v>
      </c>
      <c r="U47" s="3423"/>
      <c r="V47" s="3423">
        <f>I47</f>
        <v>0</v>
      </c>
      <c r="W47" s="3423"/>
      <c r="X47" s="385"/>
      <c r="Y47" s="673"/>
      <c r="Z47" s="385"/>
      <c r="AA47" s="385"/>
      <c r="AB47" s="385"/>
      <c r="AC47" s="385"/>
    </row>
    <row r="48" spans="1:29" ht="15.75" thickBot="1">
      <c r="A48" s="423" t="s">
        <v>1789</v>
      </c>
      <c r="B48" s="424"/>
      <c r="C48" s="1082" t="e">
        <f>R49</f>
        <v>#DIV/0!</v>
      </c>
      <c r="D48" s="2141" t="s">
        <v>2134</v>
      </c>
      <c r="E48" s="1083" t="e">
        <f>R48</f>
        <v>#DIV/0!</v>
      </c>
      <c r="F48" s="2142"/>
      <c r="G48" s="1082" t="e">
        <f>T48</f>
        <v>#DIV/0!</v>
      </c>
      <c r="H48" s="2142"/>
      <c r="I48" s="1083" t="e">
        <f>V48</f>
        <v>#DIV/0!</v>
      </c>
      <c r="J48" s="2142"/>
      <c r="K48" s="2144">
        <f>F48+H48+J48</f>
        <v>0</v>
      </c>
      <c r="L48" s="2495"/>
      <c r="M48" s="2488"/>
      <c r="N48" s="2488"/>
      <c r="O48" s="2488"/>
      <c r="P48" s="3422" t="str">
        <f>A48</f>
        <v>比较价值（元/平方米）</v>
      </c>
      <c r="Q48" s="3422"/>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1790</v>
      </c>
      <c r="B49" s="428"/>
      <c r="C49" s="351" t="e">
        <f>R49</f>
        <v>#DIV/0!</v>
      </c>
      <c r="D49" s="351"/>
      <c r="E49" s="351"/>
      <c r="F49" s="351"/>
      <c r="G49" s="351"/>
      <c r="H49" s="351"/>
      <c r="I49" s="351"/>
      <c r="J49" s="351"/>
      <c r="K49" s="675"/>
      <c r="L49" s="2495"/>
      <c r="M49" s="2488"/>
      <c r="N49" s="2488"/>
      <c r="O49" s="2488"/>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1675</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1712</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1677</v>
      </c>
      <c r="B61" s="444"/>
      <c r="C61" s="456" t="s">
        <v>1772</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1715</v>
      </c>
      <c r="B63" s="460" t="s">
        <v>1681</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1684</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1685</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1686</v>
      </c>
      <c r="B76" s="460" t="s">
        <v>1716</v>
      </c>
      <c r="C76" s="504" t="s">
        <v>1717</v>
      </c>
      <c r="D76" s="504" t="s">
        <v>1718</v>
      </c>
      <c r="E76" s="504" t="s">
        <v>1719</v>
      </c>
      <c r="F76" s="504" t="s">
        <v>1720</v>
      </c>
      <c r="G76" s="504" t="s">
        <v>1721</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1722</v>
      </c>
      <c r="C78" s="509" t="s">
        <v>1717</v>
      </c>
      <c r="D78" s="509" t="s">
        <v>1718</v>
      </c>
      <c r="E78" s="509" t="s">
        <v>1719</v>
      </c>
      <c r="F78" s="509" t="s">
        <v>1720</v>
      </c>
      <c r="G78" s="509" t="s">
        <v>1721</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1723</v>
      </c>
      <c r="C80" s="509" t="s">
        <v>1717</v>
      </c>
      <c r="D80" s="509" t="s">
        <v>1718</v>
      </c>
      <c r="E80" s="509" t="s">
        <v>1719</v>
      </c>
      <c r="F80" s="509" t="s">
        <v>1720</v>
      </c>
      <c r="G80" s="509" t="s">
        <v>1721</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1775</v>
      </c>
      <c r="C82" s="581" t="s">
        <v>1795</v>
      </c>
      <c r="D82" s="581" t="s">
        <v>1796</v>
      </c>
      <c r="E82" s="581" t="s">
        <v>1797</v>
      </c>
      <c r="F82" s="581" t="s">
        <v>1798</v>
      </c>
      <c r="G82" s="581" t="s">
        <v>1799</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1729</v>
      </c>
      <c r="C84" s="509" t="s">
        <v>1717</v>
      </c>
      <c r="D84" s="509" t="s">
        <v>1718</v>
      </c>
      <c r="E84" s="509" t="s">
        <v>1719</v>
      </c>
      <c r="F84" s="509" t="s">
        <v>1720</v>
      </c>
      <c r="G84" s="509" t="s">
        <v>1721</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1800</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1690</v>
      </c>
      <c r="B100" s="460" t="s">
        <v>1801</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1733</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1734</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1736</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1186</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1738</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1802</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1803</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1804</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1805</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1740</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1741</v>
      </c>
      <c r="C124" s="509" t="s">
        <v>1717</v>
      </c>
      <c r="D124" s="509" t="s">
        <v>1718</v>
      </c>
      <c r="E124" s="509" t="s">
        <v>1719</v>
      </c>
      <c r="F124" s="509" t="s">
        <v>1720</v>
      </c>
      <c r="G124" s="509" t="s">
        <v>1721</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1806</v>
      </c>
      <c r="C1" s="1141" t="s">
        <v>1658</v>
      </c>
      <c r="D1" s="1142"/>
      <c r="E1" s="3132"/>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1459</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f>IF(C2="——",C50,ROUND(B2*10000/D3,0))</f>
        <v>0</v>
      </c>
      <c r="C3" s="344" t="s">
        <v>1764</v>
      </c>
      <c r="D3" s="343">
        <f>IF(D1="",'数据-汇总表'!E3,SUMIF('数据-汇总表'!$C19:$C33,D1,'数据-汇总表'!$E19:$E33))</f>
        <v>36389.269999999997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1765</v>
      </c>
      <c r="B4" s="346"/>
      <c r="C4" s="3437" t="s">
        <v>1766</v>
      </c>
      <c r="D4" s="3438"/>
      <c r="E4" s="3439" t="s">
        <v>1767</v>
      </c>
      <c r="F4" s="3440"/>
      <c r="G4" s="3437" t="s">
        <v>1768</v>
      </c>
      <c r="H4" s="3438"/>
      <c r="I4" s="3437" t="s">
        <v>1769</v>
      </c>
      <c r="J4" s="3438"/>
      <c r="K4" s="537" t="s">
        <v>1770</v>
      </c>
      <c r="L4" s="2487"/>
      <c r="M4" s="2488"/>
      <c r="N4" s="2488"/>
      <c r="O4" s="2488"/>
      <c r="P4" s="3470" t="s">
        <v>1771</v>
      </c>
      <c r="Q4" s="3471"/>
      <c r="R4" s="3474" t="s">
        <v>1767</v>
      </c>
      <c r="S4" s="3475"/>
      <c r="T4" s="3474" t="s">
        <v>1768</v>
      </c>
      <c r="U4" s="3475"/>
      <c r="V4" s="3476" t="s">
        <v>1769</v>
      </c>
      <c r="W4" s="3476"/>
      <c r="X4" s="1809"/>
      <c r="Y4" s="3474" t="s">
        <v>1771</v>
      </c>
      <c r="Z4" s="3475"/>
      <c r="AA4" s="3478" t="s">
        <v>1767</v>
      </c>
      <c r="AB4" s="3478" t="s">
        <v>1768</v>
      </c>
      <c r="AC4" s="3467" t="s">
        <v>1769</v>
      </c>
    </row>
    <row r="5" spans="1:29" ht="15">
      <c r="A5" s="348"/>
      <c r="B5" s="349"/>
      <c r="C5" s="3455" t="s">
        <v>1669</v>
      </c>
      <c r="D5" s="3456"/>
      <c r="E5" s="3462" t="s">
        <v>1670</v>
      </c>
      <c r="F5" s="3463"/>
      <c r="G5" s="3455" t="s">
        <v>1671</v>
      </c>
      <c r="H5" s="3456"/>
      <c r="I5" s="3455" t="s">
        <v>1672</v>
      </c>
      <c r="J5" s="3456"/>
      <c r="K5" s="537"/>
      <c r="L5" s="2487"/>
      <c r="M5" s="2488"/>
      <c r="N5" s="2488"/>
      <c r="O5" s="2488"/>
      <c r="P5" s="3472"/>
      <c r="Q5" s="3444"/>
      <c r="R5" s="3449"/>
      <c r="S5" s="3450"/>
      <c r="T5" s="3449"/>
      <c r="U5" s="3450"/>
      <c r="V5" s="3423"/>
      <c r="W5" s="3423"/>
      <c r="X5" s="1265"/>
      <c r="Y5" s="3449"/>
      <c r="Z5" s="3450"/>
      <c r="AA5" s="3435"/>
      <c r="AB5" s="3435"/>
      <c r="AC5" s="3468"/>
    </row>
    <row r="6" spans="1:29" ht="15.75" thickBot="1">
      <c r="A6" s="350"/>
      <c r="B6" s="351"/>
      <c r="C6" s="3453" t="s">
        <v>1673</v>
      </c>
      <c r="D6" s="3454"/>
      <c r="E6" s="3460" t="s">
        <v>1673</v>
      </c>
      <c r="F6" s="3461"/>
      <c r="G6" s="3453" t="s">
        <v>1673</v>
      </c>
      <c r="H6" s="3454"/>
      <c r="I6" s="3453" t="s">
        <v>1673</v>
      </c>
      <c r="J6" s="3454"/>
      <c r="K6" s="537" t="s">
        <v>1674</v>
      </c>
      <c r="L6" s="2487"/>
      <c r="M6" s="2488"/>
      <c r="N6" s="2488"/>
      <c r="O6" s="2488"/>
      <c r="P6" s="3473"/>
      <c r="Q6" s="3446"/>
      <c r="R6" s="3449"/>
      <c r="S6" s="3450"/>
      <c r="T6" s="3451"/>
      <c r="U6" s="3452"/>
      <c r="V6" s="3423"/>
      <c r="W6" s="3423"/>
      <c r="X6" s="1265"/>
      <c r="Y6" s="3451"/>
      <c r="Z6" s="3452"/>
      <c r="AA6" s="3436"/>
      <c r="AB6" s="3436"/>
      <c r="AC6" s="3469"/>
    </row>
    <row r="7" spans="1:29" s="102" customFormat="1" ht="15.75" thickBot="1">
      <c r="A7" s="352" t="s">
        <v>1675</v>
      </c>
      <c r="B7" s="353"/>
      <c r="C7" s="354">
        <f>'数据-取费表'!B2</f>
        <v>45889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7" t="s">
        <v>1676</v>
      </c>
      <c r="Q7" s="3459"/>
      <c r="R7" s="664" t="s">
        <v>14</v>
      </c>
      <c r="S7" s="665">
        <f t="shared" ref="S7:S15" si="0">F7</f>
        <v>0</v>
      </c>
      <c r="T7" s="664" t="s">
        <v>14</v>
      </c>
      <c r="U7" s="665">
        <f t="shared" ref="U7:U15" si="1">H7</f>
        <v>0</v>
      </c>
      <c r="V7" s="664" t="s">
        <v>14</v>
      </c>
      <c r="W7" s="665">
        <f t="shared" ref="W7:W15" si="2">J7</f>
        <v>0</v>
      </c>
      <c r="X7" s="666"/>
      <c r="Y7" s="3457" t="s">
        <v>1676</v>
      </c>
      <c r="Z7" s="3458"/>
      <c r="AA7" s="50" t="e">
        <f>D7/F7</f>
        <v>#DIV/0!</v>
      </c>
      <c r="AB7" s="50" t="e">
        <f>D7/H7</f>
        <v>#DIV/0!</v>
      </c>
      <c r="AC7" s="802" t="e">
        <f>D7/J7</f>
        <v>#DIV/0!</v>
      </c>
    </row>
    <row r="8" spans="1:29" s="102" customFormat="1" ht="15.75" thickBot="1">
      <c r="A8" s="352" t="s">
        <v>1677</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7" t="s">
        <v>1679</v>
      </c>
      <c r="Q8" s="3458"/>
      <c r="R8" s="664" t="s">
        <v>14</v>
      </c>
      <c r="S8" s="665">
        <f t="shared" si="0"/>
        <v>100</v>
      </c>
      <c r="T8" s="664" t="s">
        <v>14</v>
      </c>
      <c r="U8" s="665">
        <f t="shared" si="1"/>
        <v>100</v>
      </c>
      <c r="V8" s="664" t="s">
        <v>14</v>
      </c>
      <c r="W8" s="665">
        <f t="shared" si="2"/>
        <v>100</v>
      </c>
      <c r="X8" s="666"/>
      <c r="Y8" s="3457" t="s">
        <v>1679</v>
      </c>
      <c r="Z8" s="3458"/>
      <c r="AA8" s="50">
        <f t="shared" ref="AA8:AA47" si="3">D8/F8</f>
        <v>1</v>
      </c>
      <c r="AB8" s="50">
        <f t="shared" ref="AB8:AB47" si="4">D8/H8</f>
        <v>1</v>
      </c>
      <c r="AC8" s="802">
        <f t="shared" ref="AC8:AC47" si="5">D8/J8</f>
        <v>1</v>
      </c>
    </row>
    <row r="9" spans="1:29" s="102" customFormat="1">
      <c r="A9" s="359" t="s">
        <v>1680</v>
      </c>
      <c r="B9" s="60" t="s">
        <v>1681</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33" t="s">
        <v>1682</v>
      </c>
      <c r="Q9" s="530" t="str">
        <f t="shared" ref="Q9:Q15" si="6">B9</f>
        <v>用途</v>
      </c>
      <c r="R9" s="664" t="s">
        <v>14</v>
      </c>
      <c r="S9" s="665">
        <f t="shared" si="0"/>
        <v>100</v>
      </c>
      <c r="T9" s="664" t="s">
        <v>14</v>
      </c>
      <c r="U9" s="665">
        <f t="shared" si="1"/>
        <v>100</v>
      </c>
      <c r="V9" s="664" t="s">
        <v>14</v>
      </c>
      <c r="W9" s="665">
        <f t="shared" si="2"/>
        <v>100</v>
      </c>
      <c r="X9" s="666"/>
      <c r="Y9" s="3277" t="s">
        <v>1683</v>
      </c>
      <c r="Z9" s="50" t="str">
        <f t="shared" ref="Z9:Z15" si="7">Q9</f>
        <v>用途</v>
      </c>
      <c r="AA9" s="50">
        <f t="shared" si="3"/>
        <v>1</v>
      </c>
      <c r="AB9" s="50">
        <f t="shared" si="4"/>
        <v>1</v>
      </c>
      <c r="AC9" s="802">
        <f t="shared" si="5"/>
        <v>1</v>
      </c>
    </row>
    <row r="10" spans="1:29" s="366" customFormat="1" ht="27">
      <c r="A10" s="363"/>
      <c r="B10" s="364" t="s">
        <v>1684</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3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802">
        <f t="shared" si="5"/>
        <v>1</v>
      </c>
    </row>
    <row r="11" spans="1:29" ht="15">
      <c r="A11" s="367"/>
      <c r="B11" s="364" t="s">
        <v>1685</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33"/>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3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3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3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802">
        <f t="shared" si="5"/>
        <v>1</v>
      </c>
    </row>
    <row r="15" spans="1:29" ht="15">
      <c r="A15" s="379" t="s">
        <v>1686</v>
      </c>
      <c r="B15" s="554" t="s">
        <v>1807</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1" t="s">
        <v>1687</v>
      </c>
      <c r="Q15" s="1263" t="str">
        <f t="shared" si="6"/>
        <v>办公集聚程度</v>
      </c>
      <c r="R15" s="667" t="s">
        <v>14</v>
      </c>
      <c r="S15" s="668">
        <f t="shared" si="0"/>
        <v>100</v>
      </c>
      <c r="T15" s="667" t="s">
        <v>14</v>
      </c>
      <c r="U15" s="668">
        <f t="shared" si="1"/>
        <v>100</v>
      </c>
      <c r="V15" s="667" t="s">
        <v>14</v>
      </c>
      <c r="W15" s="668">
        <f t="shared" si="2"/>
        <v>100</v>
      </c>
      <c r="X15" s="1265"/>
      <c r="Y15" s="3424" t="s">
        <v>1687</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2"/>
      <c r="Q16" s="1263"/>
      <c r="R16" s="667"/>
      <c r="S16" s="668"/>
      <c r="T16" s="667"/>
      <c r="U16" s="668"/>
      <c r="V16" s="667"/>
      <c r="W16" s="668"/>
      <c r="X16" s="1265"/>
      <c r="Y16" s="3425"/>
      <c r="Z16" s="1264"/>
      <c r="AA16" s="1264">
        <v>1</v>
      </c>
      <c r="AB16" s="1264">
        <v>1</v>
      </c>
      <c r="AC16" s="1812">
        <v>1</v>
      </c>
    </row>
    <row r="17" spans="1:29" ht="15">
      <c r="A17" s="367"/>
      <c r="B17" s="556" t="s">
        <v>1255</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2"/>
      <c r="Q18" s="1263"/>
      <c r="R18" s="667"/>
      <c r="S18" s="668"/>
      <c r="T18" s="667"/>
      <c r="U18" s="668"/>
      <c r="V18" s="667"/>
      <c r="W18" s="668"/>
      <c r="X18" s="1265"/>
      <c r="Y18" s="3425"/>
      <c r="Z18" s="1264"/>
      <c r="AA18" s="1264">
        <v>1</v>
      </c>
      <c r="AB18" s="1264">
        <v>1</v>
      </c>
      <c r="AC18" s="1812">
        <v>1</v>
      </c>
    </row>
    <row r="19" spans="1:29" ht="15">
      <c r="A19" s="367"/>
      <c r="B19" s="556" t="s">
        <v>1808</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2"/>
      <c r="Q20" s="1263"/>
      <c r="R20" s="667"/>
      <c r="S20" s="668"/>
      <c r="T20" s="667"/>
      <c r="U20" s="668"/>
      <c r="V20" s="667"/>
      <c r="W20" s="668"/>
      <c r="X20" s="1265"/>
      <c r="Y20" s="3425"/>
      <c r="Z20" s="1264"/>
      <c r="AA20" s="1264">
        <v>1</v>
      </c>
      <c r="AB20" s="1264">
        <v>1</v>
      </c>
      <c r="AC20" s="1812">
        <v>1</v>
      </c>
    </row>
    <row r="21" spans="1:29" ht="15">
      <c r="A21" s="367"/>
      <c r="B21" s="557" t="s">
        <v>1809</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2"/>
      <c r="Q22" s="1263"/>
      <c r="R22" s="667"/>
      <c r="S22" s="668"/>
      <c r="T22" s="667"/>
      <c r="U22" s="668"/>
      <c r="V22" s="667"/>
      <c r="W22" s="668"/>
      <c r="X22" s="1265"/>
      <c r="Y22" s="3425"/>
      <c r="Z22" s="1264"/>
      <c r="AA22" s="1264">
        <v>1</v>
      </c>
      <c r="AB22" s="1264">
        <v>1</v>
      </c>
      <c r="AC22" s="1812">
        <v>1</v>
      </c>
    </row>
    <row r="23" spans="1:29" ht="15">
      <c r="A23" s="367"/>
      <c r="B23" s="556" t="s">
        <v>1810</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2"/>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2"/>
      <c r="Q24" s="1263"/>
      <c r="R24" s="667"/>
      <c r="S24" s="668"/>
      <c r="T24" s="667"/>
      <c r="U24" s="668"/>
      <c r="V24" s="667"/>
      <c r="W24" s="668"/>
      <c r="X24" s="1265"/>
      <c r="Y24" s="3425"/>
      <c r="Z24" s="1264"/>
      <c r="AA24" s="1264">
        <v>1</v>
      </c>
      <c r="AB24" s="1264">
        <v>1</v>
      </c>
      <c r="AC24" s="1812">
        <v>1</v>
      </c>
    </row>
    <row r="25" spans="1:29" ht="27">
      <c r="A25" s="348"/>
      <c r="B25" s="556" t="s">
        <v>1811</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2"/>
      <c r="Q25" s="1263" t="str">
        <f>B25</f>
        <v>毗邻道路的类型与等级</v>
      </c>
      <c r="R25" s="667" t="s">
        <v>14</v>
      </c>
      <c r="S25" s="668">
        <f>F25</f>
        <v>100</v>
      </c>
      <c r="T25" s="667" t="s">
        <v>14</v>
      </c>
      <c r="U25" s="668">
        <f>H25</f>
        <v>100</v>
      </c>
      <c r="V25" s="667" t="s">
        <v>14</v>
      </c>
      <c r="W25" s="668">
        <f>J25</f>
        <v>100</v>
      </c>
      <c r="X25" s="1265"/>
      <c r="Y25" s="342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2"/>
      <c r="Q26" s="1263"/>
      <c r="R26" s="667"/>
      <c r="S26" s="668"/>
      <c r="T26" s="667"/>
      <c r="U26" s="668"/>
      <c r="V26" s="667"/>
      <c r="W26" s="668"/>
      <c r="X26" s="1265"/>
      <c r="Y26" s="3425"/>
      <c r="Z26" s="1264"/>
      <c r="AA26" s="1264">
        <v>1</v>
      </c>
      <c r="AB26" s="1264">
        <v>1</v>
      </c>
      <c r="AC26" s="1812">
        <v>1</v>
      </c>
    </row>
    <row r="27" spans="1:29" ht="15">
      <c r="A27" s="367"/>
      <c r="B27" s="401" t="s">
        <v>1779</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2"/>
      <c r="Q27" s="1263" t="str">
        <f t="shared" ref="Q27:Q47" si="11">B27</f>
        <v>楼层</v>
      </c>
      <c r="R27" s="667" t="s">
        <v>14</v>
      </c>
      <c r="S27" s="668">
        <f>F27</f>
        <v>100</v>
      </c>
      <c r="T27" s="667" t="s">
        <v>14</v>
      </c>
      <c r="U27" s="668">
        <f>H27</f>
        <v>100</v>
      </c>
      <c r="V27" s="667" t="s">
        <v>14</v>
      </c>
      <c r="W27" s="668">
        <f>J27</f>
        <v>100</v>
      </c>
      <c r="X27" s="1265"/>
      <c r="Y27" s="3425"/>
      <c r="Z27" s="1264" t="str">
        <f>Q27</f>
        <v>楼层</v>
      </c>
      <c r="AA27" s="1264">
        <f t="shared" si="3"/>
        <v>1</v>
      </c>
      <c r="AB27" s="1264">
        <f t="shared" si="4"/>
        <v>1</v>
      </c>
      <c r="AC27" s="1812">
        <f t="shared" si="5"/>
        <v>1</v>
      </c>
    </row>
    <row r="28" spans="1:29" s="102" customFormat="1" ht="15">
      <c r="A28" s="370"/>
      <c r="B28" s="556" t="s">
        <v>1812</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2"/>
      <c r="Q28" s="530" t="str">
        <f t="shared" si="11"/>
        <v>朝向</v>
      </c>
      <c r="R28" s="664" t="s">
        <v>14</v>
      </c>
      <c r="S28" s="665">
        <f>F28</f>
        <v>100</v>
      </c>
      <c r="T28" s="664" t="s">
        <v>14</v>
      </c>
      <c r="U28" s="665">
        <f>H28</f>
        <v>100</v>
      </c>
      <c r="V28" s="664" t="s">
        <v>14</v>
      </c>
      <c r="W28" s="665">
        <f>J28</f>
        <v>100</v>
      </c>
      <c r="X28" s="666"/>
      <c r="Y28" s="342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2"/>
      <c r="Q29" s="1263">
        <f t="shared" si="11"/>
        <v>111</v>
      </c>
      <c r="R29" s="667" t="s">
        <v>14</v>
      </c>
      <c r="S29" s="668">
        <f t="shared" ref="S29:S47" si="12">F29</f>
        <v>100</v>
      </c>
      <c r="T29" s="667" t="s">
        <v>14</v>
      </c>
      <c r="U29" s="668">
        <f t="shared" ref="U29:U47" si="13">H29</f>
        <v>100</v>
      </c>
      <c r="V29" s="667" t="s">
        <v>14</v>
      </c>
      <c r="W29" s="668">
        <f t="shared" ref="W29:W47" si="14">J29</f>
        <v>100</v>
      </c>
      <c r="X29" s="1265"/>
      <c r="Y29" s="342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2"/>
      <c r="Q32" s="1263">
        <f t="shared" si="11"/>
        <v>111</v>
      </c>
      <c r="R32" s="667" t="s">
        <v>14</v>
      </c>
      <c r="S32" s="668">
        <f t="shared" si="12"/>
        <v>100</v>
      </c>
      <c r="T32" s="667" t="s">
        <v>14</v>
      </c>
      <c r="U32" s="668">
        <f t="shared" si="13"/>
        <v>100</v>
      </c>
      <c r="V32" s="667" t="s">
        <v>14</v>
      </c>
      <c r="W32" s="668">
        <f t="shared" si="14"/>
        <v>100</v>
      </c>
      <c r="X32" s="1265"/>
      <c r="Y32" s="3425"/>
      <c r="Z32" s="1264">
        <f t="shared" si="15"/>
        <v>111</v>
      </c>
      <c r="AA32" s="1264">
        <f t="shared" si="3"/>
        <v>1</v>
      </c>
      <c r="AB32" s="1264">
        <f t="shared" si="4"/>
        <v>1</v>
      </c>
      <c r="AC32" s="1812">
        <f t="shared" si="5"/>
        <v>1</v>
      </c>
    </row>
    <row r="33" spans="1:29" ht="15">
      <c r="A33" s="379" t="s">
        <v>1690</v>
      </c>
      <c r="B33" s="60" t="s">
        <v>1813</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6" t="s">
        <v>1692</v>
      </c>
      <c r="Q33" s="1263" t="str">
        <f t="shared" si="11"/>
        <v>建筑类型</v>
      </c>
      <c r="R33" s="667" t="s">
        <v>14</v>
      </c>
      <c r="S33" s="668">
        <f t="shared" si="12"/>
        <v>100</v>
      </c>
      <c r="T33" s="667" t="s">
        <v>14</v>
      </c>
      <c r="U33" s="668">
        <f t="shared" si="13"/>
        <v>100</v>
      </c>
      <c r="V33" s="667" t="s">
        <v>14</v>
      </c>
      <c r="W33" s="668">
        <f t="shared" si="14"/>
        <v>100</v>
      </c>
      <c r="X33" s="1265"/>
      <c r="Y33" s="3429" t="s">
        <v>1692</v>
      </c>
      <c r="Z33" s="1264" t="str">
        <f t="shared" si="15"/>
        <v>建筑类型</v>
      </c>
      <c r="AA33" s="1264">
        <f t="shared" si="3"/>
        <v>1</v>
      </c>
      <c r="AB33" s="1264">
        <f t="shared" si="4"/>
        <v>1</v>
      </c>
      <c r="AC33" s="1812">
        <f t="shared" si="5"/>
        <v>1</v>
      </c>
    </row>
    <row r="34" spans="1:29" s="408" customFormat="1" ht="15">
      <c r="A34" s="406"/>
      <c r="B34" s="364" t="s">
        <v>1693</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7"/>
      <c r="Q34" s="531" t="str">
        <f t="shared" si="11"/>
        <v>项目建筑规模</v>
      </c>
      <c r="R34" s="669" t="s">
        <v>14</v>
      </c>
      <c r="S34" s="670" t="e">
        <f t="shared" si="12"/>
        <v>#N/A</v>
      </c>
      <c r="T34" s="669" t="s">
        <v>14</v>
      </c>
      <c r="U34" s="670" t="e">
        <f t="shared" si="13"/>
        <v>#N/A</v>
      </c>
      <c r="V34" s="669" t="s">
        <v>14</v>
      </c>
      <c r="W34" s="670" t="e">
        <f t="shared" si="14"/>
        <v>#N/A</v>
      </c>
      <c r="X34" s="671"/>
      <c r="Y34" s="3429"/>
      <c r="Z34" s="672" t="str">
        <f t="shared" si="15"/>
        <v>项目建筑规模</v>
      </c>
      <c r="AA34" s="1264" t="e">
        <f t="shared" si="3"/>
        <v>#N/A</v>
      </c>
      <c r="AB34" s="1264" t="e">
        <f t="shared" si="4"/>
        <v>#N/A</v>
      </c>
      <c r="AC34" s="1812" t="e">
        <f t="shared" si="5"/>
        <v>#N/A</v>
      </c>
    </row>
    <row r="35" spans="1:29" ht="15">
      <c r="A35" s="409"/>
      <c r="B35" s="364" t="s">
        <v>1694</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7"/>
      <c r="Q35" s="1263" t="str">
        <f t="shared" si="11"/>
        <v>建筑结构</v>
      </c>
      <c r="R35" s="667" t="s">
        <v>14</v>
      </c>
      <c r="S35" s="668">
        <f t="shared" si="12"/>
        <v>100</v>
      </c>
      <c r="T35" s="667" t="s">
        <v>14</v>
      </c>
      <c r="U35" s="668">
        <f t="shared" si="13"/>
        <v>100</v>
      </c>
      <c r="V35" s="667" t="s">
        <v>14</v>
      </c>
      <c r="W35" s="668">
        <f t="shared" si="14"/>
        <v>100</v>
      </c>
      <c r="X35" s="1265"/>
      <c r="Y35" s="3429"/>
      <c r="Z35" s="1264" t="str">
        <f t="shared" si="15"/>
        <v>建筑结构</v>
      </c>
      <c r="AA35" s="1264">
        <f t="shared" si="3"/>
        <v>1</v>
      </c>
      <c r="AB35" s="1264">
        <f t="shared" si="4"/>
        <v>1</v>
      </c>
      <c r="AC35" s="1812">
        <f t="shared" si="5"/>
        <v>1</v>
      </c>
    </row>
    <row r="36" spans="1:29" ht="15">
      <c r="A36" s="409"/>
      <c r="B36" s="364" t="s">
        <v>1781</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7"/>
      <c r="Q36" s="1263" t="str">
        <f t="shared" si="11"/>
        <v>公共部分装修</v>
      </c>
      <c r="R36" s="667" t="s">
        <v>14</v>
      </c>
      <c r="S36" s="668">
        <f t="shared" si="12"/>
        <v>100</v>
      </c>
      <c r="T36" s="667" t="s">
        <v>14</v>
      </c>
      <c r="U36" s="668">
        <f t="shared" si="13"/>
        <v>100</v>
      </c>
      <c r="V36" s="667" t="s">
        <v>14</v>
      </c>
      <c r="W36" s="668">
        <f t="shared" si="14"/>
        <v>100</v>
      </c>
      <c r="X36" s="1265"/>
      <c r="Y36" s="3429"/>
      <c r="Z36" s="1264" t="str">
        <f t="shared" si="15"/>
        <v>公共部分装修</v>
      </c>
      <c r="AA36" s="1264">
        <f t="shared" si="3"/>
        <v>1</v>
      </c>
      <c r="AB36" s="1264">
        <f t="shared" si="4"/>
        <v>1</v>
      </c>
      <c r="AC36" s="1812">
        <f t="shared" si="5"/>
        <v>1</v>
      </c>
    </row>
    <row r="37" spans="1:29" ht="15">
      <c r="A37" s="409"/>
      <c r="B37" s="364" t="s">
        <v>1782</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7"/>
      <c r="Q37" s="1263" t="str">
        <f t="shared" si="11"/>
        <v>成新度</v>
      </c>
      <c r="R37" s="667" t="s">
        <v>14</v>
      </c>
      <c r="S37" s="668" t="e">
        <f t="shared" si="12"/>
        <v>#N/A</v>
      </c>
      <c r="T37" s="667" t="s">
        <v>14</v>
      </c>
      <c r="U37" s="668" t="e">
        <f t="shared" si="13"/>
        <v>#N/A</v>
      </c>
      <c r="V37" s="667" t="s">
        <v>14</v>
      </c>
      <c r="W37" s="668" t="e">
        <f t="shared" si="14"/>
        <v>#N/A</v>
      </c>
      <c r="X37" s="1265"/>
      <c r="Y37" s="3429"/>
      <c r="Z37" s="1264" t="str">
        <f t="shared" si="15"/>
        <v>成新度</v>
      </c>
      <c r="AA37" s="1264" t="e">
        <f t="shared" si="3"/>
        <v>#N/A</v>
      </c>
      <c r="AB37" s="1264" t="e">
        <f t="shared" si="4"/>
        <v>#N/A</v>
      </c>
      <c r="AC37" s="1812" t="e">
        <f t="shared" si="5"/>
        <v>#N/A</v>
      </c>
    </row>
    <row r="38" spans="1:29" s="102" customFormat="1" ht="15">
      <c r="A38" s="410"/>
      <c r="B38" s="364" t="s">
        <v>1814</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7"/>
      <c r="Q38" s="530" t="str">
        <f t="shared" si="11"/>
        <v>写字楼等级</v>
      </c>
      <c r="R38" s="664" t="s">
        <v>14</v>
      </c>
      <c r="S38" s="665">
        <f t="shared" si="12"/>
        <v>100</v>
      </c>
      <c r="T38" s="664" t="s">
        <v>14</v>
      </c>
      <c r="U38" s="665">
        <f t="shared" si="13"/>
        <v>100</v>
      </c>
      <c r="V38" s="664" t="s">
        <v>14</v>
      </c>
      <c r="W38" s="665">
        <f t="shared" si="14"/>
        <v>100</v>
      </c>
      <c r="X38" s="666"/>
      <c r="Y38" s="3429"/>
      <c r="Z38" s="50" t="str">
        <f t="shared" si="15"/>
        <v>写字楼等级</v>
      </c>
      <c r="AA38" s="50">
        <f t="shared" si="3"/>
        <v>1</v>
      </c>
      <c r="AB38" s="50">
        <f t="shared" si="4"/>
        <v>1</v>
      </c>
      <c r="AC38" s="802">
        <f t="shared" si="5"/>
        <v>1</v>
      </c>
    </row>
    <row r="39" spans="1:29" ht="15">
      <c r="A39" s="409"/>
      <c r="B39" s="364" t="s">
        <v>1815</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7" t="s">
        <v>1692</v>
      </c>
      <c r="Q39" s="1263" t="str">
        <f t="shared" si="11"/>
        <v>物业管理</v>
      </c>
      <c r="R39" s="667" t="s">
        <v>14</v>
      </c>
      <c r="S39" s="668">
        <f t="shared" si="12"/>
        <v>100</v>
      </c>
      <c r="T39" s="667" t="s">
        <v>14</v>
      </c>
      <c r="U39" s="668">
        <f t="shared" si="13"/>
        <v>100</v>
      </c>
      <c r="V39" s="667" t="s">
        <v>14</v>
      </c>
      <c r="W39" s="668">
        <f t="shared" si="14"/>
        <v>100</v>
      </c>
      <c r="X39" s="1265"/>
      <c r="Y39" s="3429" t="s">
        <v>1692</v>
      </c>
      <c r="Z39" s="1264" t="str">
        <f t="shared" si="15"/>
        <v>物业管理</v>
      </c>
      <c r="AA39" s="1264">
        <f t="shared" si="3"/>
        <v>1</v>
      </c>
      <c r="AB39" s="1264">
        <f t="shared" si="4"/>
        <v>1</v>
      </c>
      <c r="AC39" s="1812">
        <f t="shared" si="5"/>
        <v>1</v>
      </c>
    </row>
    <row r="40" spans="1:29" ht="15">
      <c r="A40" s="409"/>
      <c r="B40" s="364" t="s">
        <v>1783</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7"/>
      <c r="Q40" s="1263" t="str">
        <f t="shared" si="11"/>
        <v>市政基础设施</v>
      </c>
      <c r="R40" s="667" t="s">
        <v>14</v>
      </c>
      <c r="S40" s="668">
        <f t="shared" si="12"/>
        <v>100</v>
      </c>
      <c r="T40" s="667" t="s">
        <v>14</v>
      </c>
      <c r="U40" s="668">
        <f t="shared" si="13"/>
        <v>100</v>
      </c>
      <c r="V40" s="667" t="s">
        <v>14</v>
      </c>
      <c r="W40" s="668">
        <f t="shared" si="14"/>
        <v>100</v>
      </c>
      <c r="X40" s="1265"/>
      <c r="Y40" s="3429"/>
      <c r="Z40" s="1264" t="str">
        <f t="shared" si="15"/>
        <v>市政基础设施</v>
      </c>
      <c r="AA40" s="1264">
        <f t="shared" si="3"/>
        <v>1</v>
      </c>
      <c r="AB40" s="1264">
        <f t="shared" si="4"/>
        <v>1</v>
      </c>
      <c r="AC40" s="1812">
        <f t="shared" si="5"/>
        <v>1</v>
      </c>
    </row>
    <row r="41" spans="1:29" ht="15">
      <c r="A41" s="409"/>
      <c r="B41" s="364" t="s">
        <v>1785</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7"/>
      <c r="Q41" s="1263" t="str">
        <f t="shared" si="11"/>
        <v>层高</v>
      </c>
      <c r="R41" s="667" t="s">
        <v>14</v>
      </c>
      <c r="S41" s="668">
        <f t="shared" si="12"/>
        <v>100</v>
      </c>
      <c r="T41" s="667" t="s">
        <v>14</v>
      </c>
      <c r="U41" s="668">
        <f t="shared" si="13"/>
        <v>100</v>
      </c>
      <c r="V41" s="667" t="s">
        <v>14</v>
      </c>
      <c r="W41" s="668">
        <f t="shared" si="14"/>
        <v>100</v>
      </c>
      <c r="X41" s="1265"/>
      <c r="Y41" s="3429"/>
      <c r="Z41" s="1264" t="str">
        <f t="shared" si="15"/>
        <v>层高</v>
      </c>
      <c r="AA41" s="1264">
        <f t="shared" si="3"/>
        <v>1</v>
      </c>
      <c r="AB41" s="1264">
        <f t="shared" si="4"/>
        <v>1</v>
      </c>
      <c r="AC41" s="1812">
        <f t="shared" si="5"/>
        <v>1</v>
      </c>
    </row>
    <row r="42" spans="1:29" s="408" customFormat="1" ht="15">
      <c r="A42" s="406"/>
      <c r="B42" s="400" t="s">
        <v>1816</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7"/>
      <c r="Q42" s="531" t="str">
        <f t="shared" si="11"/>
        <v>单套建筑面积</v>
      </c>
      <c r="R42" s="669" t="s">
        <v>14</v>
      </c>
      <c r="S42" s="670">
        <f t="shared" si="12"/>
        <v>100</v>
      </c>
      <c r="T42" s="669" t="s">
        <v>14</v>
      </c>
      <c r="U42" s="670">
        <f t="shared" si="13"/>
        <v>100</v>
      </c>
      <c r="V42" s="669" t="s">
        <v>14</v>
      </c>
      <c r="W42" s="670">
        <f t="shared" si="14"/>
        <v>100</v>
      </c>
      <c r="X42" s="671"/>
      <c r="Y42" s="3429"/>
      <c r="Z42" s="672" t="str">
        <f t="shared" si="15"/>
        <v>单套建筑面积</v>
      </c>
      <c r="AA42" s="1264">
        <f t="shared" si="3"/>
        <v>1</v>
      </c>
      <c r="AB42" s="1264">
        <f t="shared" si="4"/>
        <v>1</v>
      </c>
      <c r="AC42" s="1812">
        <f t="shared" si="5"/>
        <v>1</v>
      </c>
    </row>
    <row r="43" spans="1:29" ht="15">
      <c r="A43" s="409"/>
      <c r="B43" s="364" t="s">
        <v>1788</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7"/>
      <c r="Q43" s="1263" t="str">
        <f t="shared" si="11"/>
        <v>内部装修</v>
      </c>
      <c r="R43" s="667" t="s">
        <v>14</v>
      </c>
      <c r="S43" s="668">
        <f t="shared" si="12"/>
        <v>100</v>
      </c>
      <c r="T43" s="667" t="s">
        <v>14</v>
      </c>
      <c r="U43" s="668">
        <f t="shared" si="13"/>
        <v>100</v>
      </c>
      <c r="V43" s="667" t="s">
        <v>14</v>
      </c>
      <c r="W43" s="668">
        <f t="shared" si="14"/>
        <v>100</v>
      </c>
      <c r="X43" s="1265"/>
      <c r="Y43" s="3429"/>
      <c r="Z43" s="1264" t="str">
        <f t="shared" si="15"/>
        <v>内部装修</v>
      </c>
      <c r="AA43" s="1264">
        <f t="shared" si="3"/>
        <v>1</v>
      </c>
      <c r="AB43" s="1264">
        <f t="shared" si="4"/>
        <v>1</v>
      </c>
      <c r="AC43" s="1812">
        <f t="shared" si="5"/>
        <v>1</v>
      </c>
    </row>
    <row r="44" spans="1:29" ht="15">
      <c r="A44" s="409"/>
      <c r="B44" s="364" t="s">
        <v>1703</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7"/>
      <c r="Q44" s="1263" t="str">
        <f t="shared" si="11"/>
        <v>内部装修维护情况</v>
      </c>
      <c r="R44" s="667" t="s">
        <v>14</v>
      </c>
      <c r="S44" s="668">
        <f t="shared" si="12"/>
        <v>100</v>
      </c>
      <c r="T44" s="667" t="s">
        <v>14</v>
      </c>
      <c r="U44" s="668">
        <f t="shared" si="13"/>
        <v>100</v>
      </c>
      <c r="V44" s="667" t="s">
        <v>14</v>
      </c>
      <c r="W44" s="668">
        <f t="shared" si="14"/>
        <v>100</v>
      </c>
      <c r="X44" s="1265"/>
      <c r="Y44" s="342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7"/>
      <c r="Q45" s="530">
        <f t="shared" si="11"/>
        <v>111</v>
      </c>
      <c r="R45" s="664" t="s">
        <v>14</v>
      </c>
      <c r="S45" s="665">
        <f t="shared" si="12"/>
        <v>100</v>
      </c>
      <c r="T45" s="664" t="s">
        <v>14</v>
      </c>
      <c r="U45" s="665">
        <f t="shared" si="13"/>
        <v>100</v>
      </c>
      <c r="V45" s="664" t="s">
        <v>14</v>
      </c>
      <c r="W45" s="665">
        <f t="shared" si="14"/>
        <v>100</v>
      </c>
      <c r="X45" s="666"/>
      <c r="Y45" s="342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8"/>
      <c r="Q47" s="1263">
        <f t="shared" si="11"/>
        <v>111</v>
      </c>
      <c r="R47" s="667" t="s">
        <v>14</v>
      </c>
      <c r="S47" s="668">
        <f t="shared" si="12"/>
        <v>100</v>
      </c>
      <c r="T47" s="667" t="s">
        <v>14</v>
      </c>
      <c r="U47" s="668">
        <f t="shared" si="13"/>
        <v>100</v>
      </c>
      <c r="V47" s="667" t="s">
        <v>14</v>
      </c>
      <c r="W47" s="668">
        <f t="shared" si="14"/>
        <v>100</v>
      </c>
      <c r="X47" s="1265"/>
      <c r="Y47" s="3430"/>
      <c r="Z47" s="1264">
        <f t="shared" si="15"/>
        <v>111</v>
      </c>
      <c r="AA47" s="1264">
        <f t="shared" si="3"/>
        <v>1</v>
      </c>
      <c r="AB47" s="1264">
        <f t="shared" si="4"/>
        <v>1</v>
      </c>
      <c r="AC47" s="1812">
        <f t="shared" si="5"/>
        <v>1</v>
      </c>
    </row>
    <row r="48" spans="1:29" ht="15">
      <c r="A48" s="416" t="s">
        <v>1704</v>
      </c>
      <c r="B48" s="417"/>
      <c r="C48" s="1081" t="s">
        <v>0</v>
      </c>
      <c r="D48" s="418"/>
      <c r="E48" s="419"/>
      <c r="F48" s="420"/>
      <c r="G48" s="421"/>
      <c r="H48" s="422"/>
      <c r="I48" s="419"/>
      <c r="J48" s="422"/>
      <c r="K48" s="674"/>
      <c r="L48" s="2495"/>
      <c r="M48" s="2488"/>
      <c r="N48" s="2488"/>
      <c r="O48" s="2488"/>
      <c r="P48" s="3433" t="str">
        <f>A48</f>
        <v>成交单价（元/平方米）</v>
      </c>
      <c r="Q48" s="3422"/>
      <c r="R48" s="3423">
        <f>E48</f>
        <v>0</v>
      </c>
      <c r="S48" s="3423"/>
      <c r="T48" s="3423">
        <f>G48</f>
        <v>0</v>
      </c>
      <c r="U48" s="3423"/>
      <c r="V48" s="3423">
        <f>I48</f>
        <v>0</v>
      </c>
      <c r="W48" s="3423"/>
      <c r="X48" s="385"/>
      <c r="Y48" s="673"/>
      <c r="Z48" s="385"/>
      <c r="AA48" s="385"/>
      <c r="AB48" s="385"/>
      <c r="AC48" s="555"/>
    </row>
    <row r="49" spans="1:29" ht="15.75" thickBot="1">
      <c r="A49" s="423" t="s">
        <v>1789</v>
      </c>
      <c r="B49" s="424"/>
      <c r="C49" s="1082" t="e">
        <f>R50</f>
        <v>#DIV/0!</v>
      </c>
      <c r="D49" s="2141" t="s">
        <v>2134</v>
      </c>
      <c r="E49" s="1083" t="e">
        <f>R49</f>
        <v>#DIV/0!</v>
      </c>
      <c r="F49" s="2142"/>
      <c r="G49" s="1082" t="e">
        <f>T49</f>
        <v>#DIV/0!</v>
      </c>
      <c r="H49" s="2142"/>
      <c r="I49" s="1083" t="e">
        <f>V49</f>
        <v>#DIV/0!</v>
      </c>
      <c r="J49" s="2142"/>
      <c r="K49" s="2144">
        <f>F49+H49+J49</f>
        <v>0</v>
      </c>
      <c r="L49" s="2495"/>
      <c r="M49" s="2488"/>
      <c r="N49" s="2488"/>
      <c r="O49" s="2488"/>
      <c r="P49" s="3433" t="str">
        <f>A49</f>
        <v>比较价值（元/平方米）</v>
      </c>
      <c r="Q49" s="3422"/>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385"/>
      <c r="Y49" s="385"/>
      <c r="Z49" s="385"/>
      <c r="AA49" s="385"/>
      <c r="AB49" s="385"/>
      <c r="AC49" s="555"/>
    </row>
    <row r="50" spans="1:29" ht="15.75" thickBot="1">
      <c r="A50" s="427" t="s">
        <v>1790</v>
      </c>
      <c r="B50" s="428"/>
      <c r="C50" s="351" t="e">
        <f>R50</f>
        <v>#DIV/0!</v>
      </c>
      <c r="D50" s="351"/>
      <c r="E50" s="351"/>
      <c r="F50" s="351"/>
      <c r="G50" s="351"/>
      <c r="H50" s="351"/>
      <c r="I50" s="351"/>
      <c r="J50" s="429"/>
      <c r="K50" s="675"/>
      <c r="L50" s="2495"/>
      <c r="M50" s="2488"/>
      <c r="N50" s="2488"/>
      <c r="O50" s="2488"/>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1791</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1792</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1793</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1794</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1675</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1712</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1677</v>
      </c>
      <c r="B62" s="444"/>
      <c r="C62" s="456" t="s">
        <v>1772</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1715</v>
      </c>
      <c r="B64" s="460" t="s">
        <v>1681</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1684</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1685</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1686</v>
      </c>
      <c r="B77" s="460" t="s">
        <v>1817</v>
      </c>
      <c r="C77" s="504" t="s">
        <v>1717</v>
      </c>
      <c r="D77" s="504" t="s">
        <v>1718</v>
      </c>
      <c r="E77" s="504" t="s">
        <v>1719</v>
      </c>
      <c r="F77" s="504" t="s">
        <v>1720</v>
      </c>
      <c r="G77" s="504" t="s">
        <v>1721</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1722</v>
      </c>
      <c r="C79" s="509" t="s">
        <v>1717</v>
      </c>
      <c r="D79" s="509" t="s">
        <v>1718</v>
      </c>
      <c r="E79" s="509" t="s">
        <v>1719</v>
      </c>
      <c r="F79" s="509" t="s">
        <v>1720</v>
      </c>
      <c r="G79" s="509" t="s">
        <v>1721</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1723</v>
      </c>
      <c r="C81" s="509" t="s">
        <v>1717</v>
      </c>
      <c r="D81" s="509" t="s">
        <v>1718</v>
      </c>
      <c r="E81" s="509" t="s">
        <v>1719</v>
      </c>
      <c r="F81" s="509" t="s">
        <v>1720</v>
      </c>
      <c r="G81" s="509" t="s">
        <v>1721</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1809</v>
      </c>
      <c r="C83" s="581" t="s">
        <v>1795</v>
      </c>
      <c r="D83" s="581" t="s">
        <v>1796</v>
      </c>
      <c r="E83" s="581" t="s">
        <v>1797</v>
      </c>
      <c r="F83" s="581" t="s">
        <v>1798</v>
      </c>
      <c r="G83" s="581" t="s">
        <v>1799</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1818</v>
      </c>
      <c r="C85" s="509" t="s">
        <v>1717</v>
      </c>
      <c r="D85" s="509" t="s">
        <v>1718</v>
      </c>
      <c r="E85" s="509" t="s">
        <v>1719</v>
      </c>
      <c r="F85" s="509" t="s">
        <v>1720</v>
      </c>
      <c r="G85" s="509" t="s">
        <v>1721</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1819</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1690</v>
      </c>
      <c r="B101" s="460" t="s">
        <v>1732</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1733</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1734</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1736</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1186</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1820</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1737</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1738</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1821</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1804</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1740</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1741</v>
      </c>
      <c r="C125" s="509" t="s">
        <v>1717</v>
      </c>
      <c r="D125" s="509" t="s">
        <v>1718</v>
      </c>
      <c r="E125" s="509" t="s">
        <v>1719</v>
      </c>
      <c r="F125" s="509" t="s">
        <v>1720</v>
      </c>
      <c r="G125" s="509" t="s">
        <v>1721</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1656</v>
      </c>
      <c r="B1" s="1808" t="s">
        <v>1822</v>
      </c>
      <c r="C1" s="1141" t="s">
        <v>1658</v>
      </c>
      <c r="D1" s="1142"/>
      <c r="E1" s="3132"/>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1460</v>
      </c>
      <c r="B3" s="536">
        <f>IF(C2="——",C43,ROUND(B2*10000/D3,0))</f>
        <v>0</v>
      </c>
      <c r="C3" s="344" t="s">
        <v>1764</v>
      </c>
      <c r="D3" s="343">
        <f>IF(D1="",'数据-汇总表'!E3,SUMIF('数据-汇总表'!$C19:$C33,D1,'数据-汇总表'!$E19:$E33))</f>
        <v>36389.269999999997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1765</v>
      </c>
      <c r="B4" s="346"/>
      <c r="C4" s="3437" t="s">
        <v>1766</v>
      </c>
      <c r="D4" s="3438"/>
      <c r="E4" s="3439" t="s">
        <v>1767</v>
      </c>
      <c r="F4" s="3440"/>
      <c r="G4" s="3437" t="s">
        <v>1768</v>
      </c>
      <c r="H4" s="3438"/>
      <c r="I4" s="3437" t="s">
        <v>1769</v>
      </c>
      <c r="J4" s="3438"/>
      <c r="K4" s="537" t="s">
        <v>1770</v>
      </c>
      <c r="L4" s="860"/>
      <c r="M4" s="861"/>
      <c r="N4" s="861"/>
      <c r="O4" s="861"/>
      <c r="P4" s="3441" t="s">
        <v>1771</v>
      </c>
      <c r="Q4" s="3442"/>
      <c r="R4" s="3447" t="s">
        <v>1767</v>
      </c>
      <c r="S4" s="3448"/>
      <c r="T4" s="3447" t="s">
        <v>1768</v>
      </c>
      <c r="U4" s="3448"/>
      <c r="V4" s="3423" t="s">
        <v>1769</v>
      </c>
      <c r="W4" s="3423"/>
      <c r="X4" s="1265"/>
      <c r="Y4" s="3447" t="s">
        <v>1771</v>
      </c>
      <c r="Z4" s="3448"/>
      <c r="AA4" s="3434" t="s">
        <v>1767</v>
      </c>
      <c r="AB4" s="3435" t="s">
        <v>1768</v>
      </c>
      <c r="AC4" s="3434" t="s">
        <v>1769</v>
      </c>
    </row>
    <row r="5" spans="1:29" ht="15">
      <c r="A5" s="348"/>
      <c r="B5" s="349"/>
      <c r="C5" s="3455" t="s">
        <v>1669</v>
      </c>
      <c r="D5" s="3456"/>
      <c r="E5" s="3462" t="s">
        <v>1670</v>
      </c>
      <c r="F5" s="3463"/>
      <c r="G5" s="3455" t="s">
        <v>1671</v>
      </c>
      <c r="H5" s="3456"/>
      <c r="I5" s="3455" t="s">
        <v>1672</v>
      </c>
      <c r="J5" s="3456"/>
      <c r="K5" s="537"/>
      <c r="L5" s="860"/>
      <c r="M5" s="861"/>
      <c r="N5" s="861"/>
      <c r="O5" s="861"/>
      <c r="P5" s="3443"/>
      <c r="Q5" s="3444"/>
      <c r="R5" s="3449"/>
      <c r="S5" s="3450"/>
      <c r="T5" s="3449"/>
      <c r="U5" s="3450"/>
      <c r="V5" s="3423"/>
      <c r="W5" s="3423"/>
      <c r="X5" s="1265"/>
      <c r="Y5" s="3449"/>
      <c r="Z5" s="3450"/>
      <c r="AA5" s="3435"/>
      <c r="AB5" s="3435"/>
      <c r="AC5" s="3435"/>
    </row>
    <row r="6" spans="1:29" ht="15.75" thickBot="1">
      <c r="A6" s="350"/>
      <c r="B6" s="351"/>
      <c r="C6" s="3453" t="s">
        <v>1673</v>
      </c>
      <c r="D6" s="3454"/>
      <c r="E6" s="3460" t="s">
        <v>1673</v>
      </c>
      <c r="F6" s="3461"/>
      <c r="G6" s="3453" t="s">
        <v>1673</v>
      </c>
      <c r="H6" s="3454"/>
      <c r="I6" s="3453" t="s">
        <v>1673</v>
      </c>
      <c r="J6" s="3454"/>
      <c r="K6" s="537" t="s">
        <v>1674</v>
      </c>
      <c r="L6" s="860"/>
      <c r="M6" s="861"/>
      <c r="N6" s="861"/>
      <c r="O6" s="861"/>
      <c r="P6" s="3445"/>
      <c r="Q6" s="3446"/>
      <c r="R6" s="3449"/>
      <c r="S6" s="3450"/>
      <c r="T6" s="3451"/>
      <c r="U6" s="3452"/>
      <c r="V6" s="3423"/>
      <c r="W6" s="3423"/>
      <c r="X6" s="1265"/>
      <c r="Y6" s="3451"/>
      <c r="Z6" s="3452"/>
      <c r="AA6" s="3436"/>
      <c r="AB6" s="3436"/>
      <c r="AC6" s="3436"/>
    </row>
    <row r="7" spans="1:29" s="102" customFormat="1" ht="15.75" thickBot="1">
      <c r="A7" s="352" t="s">
        <v>1675</v>
      </c>
      <c r="B7" s="353"/>
      <c r="C7" s="354">
        <f>'数据-取费表'!B2</f>
        <v>45889</v>
      </c>
      <c r="D7" s="355">
        <v>100</v>
      </c>
      <c r="E7" s="356"/>
      <c r="F7" s="357">
        <f>SUMIF(52:52,YEAR(E7)&amp;"-"&amp;MONTH(E7),53:53)</f>
        <v>0</v>
      </c>
      <c r="G7" s="356"/>
      <c r="H7" s="355">
        <f>SUMIF(52:52,YEAR(G7)&amp;"-"&amp;MONTH(G7),53:53)</f>
        <v>0</v>
      </c>
      <c r="I7" s="356"/>
      <c r="J7" s="355">
        <f>SUMIF(52:52,YEAR(I7)&amp;"-"&amp;MONTH(I7),53:53)</f>
        <v>0</v>
      </c>
      <c r="K7" s="38"/>
      <c r="L7" s="862"/>
      <c r="M7" s="863"/>
      <c r="N7" s="863"/>
      <c r="O7" s="863"/>
      <c r="P7" s="3457" t="s">
        <v>1676</v>
      </c>
      <c r="Q7" s="3459"/>
      <c r="R7" s="664" t="s">
        <v>14</v>
      </c>
      <c r="S7" s="665">
        <f t="shared" ref="S7:S15" si="0">F7</f>
        <v>0</v>
      </c>
      <c r="T7" s="664" t="s">
        <v>14</v>
      </c>
      <c r="U7" s="665">
        <f t="shared" ref="U7:U15" si="1">H7</f>
        <v>0</v>
      </c>
      <c r="V7" s="664" t="s">
        <v>14</v>
      </c>
      <c r="W7" s="665">
        <f t="shared" ref="W7:W15" si="2">J7</f>
        <v>0</v>
      </c>
      <c r="X7" s="666"/>
      <c r="Y7" s="3457" t="s">
        <v>1676</v>
      </c>
      <c r="Z7" s="3458"/>
      <c r="AA7" s="50" t="e">
        <f>D7/F7</f>
        <v>#DIV/0!</v>
      </c>
      <c r="AB7" s="50" t="e">
        <f>D7/H7</f>
        <v>#DIV/0!</v>
      </c>
      <c r="AC7" s="50" t="e">
        <f>D7/J7</f>
        <v>#DIV/0!</v>
      </c>
    </row>
    <row r="8" spans="1:29" s="102" customFormat="1" ht="15.75" thickBot="1">
      <c r="A8" s="352" t="s">
        <v>1677</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7" t="s">
        <v>1679</v>
      </c>
      <c r="Q8" s="3458"/>
      <c r="R8" s="664" t="s">
        <v>14</v>
      </c>
      <c r="S8" s="665">
        <f t="shared" si="0"/>
        <v>100</v>
      </c>
      <c r="T8" s="664" t="s">
        <v>14</v>
      </c>
      <c r="U8" s="665">
        <f t="shared" si="1"/>
        <v>100</v>
      </c>
      <c r="V8" s="664" t="s">
        <v>14</v>
      </c>
      <c r="W8" s="665">
        <f t="shared" si="2"/>
        <v>100</v>
      </c>
      <c r="X8" s="666"/>
      <c r="Y8" s="3457" t="s">
        <v>1679</v>
      </c>
      <c r="Z8" s="3458"/>
      <c r="AA8" s="50">
        <f t="shared" ref="AA8:AA40" si="3">D8/F8</f>
        <v>1</v>
      </c>
      <c r="AB8" s="50">
        <f t="shared" ref="AB8:AB40" si="4">D8/H8</f>
        <v>1</v>
      </c>
      <c r="AC8" s="50">
        <f t="shared" ref="AC8:AC40" si="5">D8/J8</f>
        <v>1</v>
      </c>
    </row>
    <row r="9" spans="1:29" s="102" customFormat="1">
      <c r="A9" s="359" t="s">
        <v>1680</v>
      </c>
      <c r="B9" s="60" t="s">
        <v>1681</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2" t="s">
        <v>1682</v>
      </c>
      <c r="Q9" s="530" t="str">
        <f t="shared" ref="Q9:Q15" si="6">B9</f>
        <v>用途</v>
      </c>
      <c r="R9" s="664" t="s">
        <v>14</v>
      </c>
      <c r="S9" s="665">
        <f t="shared" si="0"/>
        <v>100</v>
      </c>
      <c r="T9" s="664" t="s">
        <v>14</v>
      </c>
      <c r="U9" s="665">
        <f t="shared" si="1"/>
        <v>100</v>
      </c>
      <c r="V9" s="664" t="s">
        <v>14</v>
      </c>
      <c r="W9" s="665">
        <f t="shared" si="2"/>
        <v>100</v>
      </c>
      <c r="X9" s="666"/>
      <c r="Y9" s="3277" t="s">
        <v>1683</v>
      </c>
      <c r="Z9" s="50" t="str">
        <f t="shared" ref="Z9:Z15" si="7">Q9</f>
        <v>用途</v>
      </c>
      <c r="AA9" s="50">
        <f t="shared" si="3"/>
        <v>1</v>
      </c>
      <c r="AB9" s="50">
        <f t="shared" si="4"/>
        <v>1</v>
      </c>
      <c r="AC9" s="50">
        <f t="shared" si="5"/>
        <v>1</v>
      </c>
    </row>
    <row r="10" spans="1:29" s="366" customFormat="1" ht="27">
      <c r="A10" s="363"/>
      <c r="B10" s="364" t="s">
        <v>1684</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1685</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2"/>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15">
      <c r="A15" s="379" t="s">
        <v>1686</v>
      </c>
      <c r="B15" s="58" t="s">
        <v>1823</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4" t="s">
        <v>1687</v>
      </c>
      <c r="Q15" s="1263" t="str">
        <f t="shared" si="6"/>
        <v>产业集聚程度</v>
      </c>
      <c r="R15" s="667" t="s">
        <v>14</v>
      </c>
      <c r="S15" s="668">
        <f t="shared" si="0"/>
        <v>100</v>
      </c>
      <c r="T15" s="667" t="s">
        <v>14</v>
      </c>
      <c r="U15" s="668">
        <f t="shared" si="1"/>
        <v>100</v>
      </c>
      <c r="V15" s="667" t="s">
        <v>14</v>
      </c>
      <c r="W15" s="668">
        <f t="shared" si="2"/>
        <v>100</v>
      </c>
      <c r="X15" s="1265"/>
      <c r="Y15" s="3424" t="s">
        <v>1687</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5"/>
      <c r="Q16" s="1263"/>
      <c r="R16" s="667"/>
      <c r="S16" s="668"/>
      <c r="T16" s="667"/>
      <c r="U16" s="668"/>
      <c r="V16" s="667"/>
      <c r="W16" s="668"/>
      <c r="X16" s="1265"/>
      <c r="Y16" s="3425"/>
      <c r="Z16" s="1264"/>
      <c r="AA16" s="1264">
        <v>1</v>
      </c>
      <c r="AB16" s="1264">
        <v>1</v>
      </c>
      <c r="AC16" s="1264">
        <v>1</v>
      </c>
    </row>
    <row r="17" spans="1:29" ht="15">
      <c r="A17" s="367"/>
      <c r="B17" s="390" t="s">
        <v>1255</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5"/>
      <c r="Q18" s="1263"/>
      <c r="R18" s="667"/>
      <c r="S18" s="668"/>
      <c r="T18" s="667"/>
      <c r="U18" s="668"/>
      <c r="V18" s="667"/>
      <c r="W18" s="668"/>
      <c r="X18" s="1265"/>
      <c r="Y18" s="3425"/>
      <c r="Z18" s="1264"/>
      <c r="AA18" s="1264">
        <v>1</v>
      </c>
      <c r="AB18" s="1264">
        <v>1</v>
      </c>
      <c r="AC18" s="1264">
        <v>1</v>
      </c>
    </row>
    <row r="19" spans="1:29" ht="15">
      <c r="A19" s="367"/>
      <c r="B19" s="390" t="s">
        <v>1808</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5"/>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5"/>
      <c r="Q20" s="1263"/>
      <c r="R20" s="667"/>
      <c r="S20" s="668"/>
      <c r="T20" s="667"/>
      <c r="U20" s="668"/>
      <c r="V20" s="667"/>
      <c r="W20" s="668"/>
      <c r="X20" s="1265"/>
      <c r="Y20" s="3425"/>
      <c r="Z20" s="1264"/>
      <c r="AA20" s="1264">
        <v>1</v>
      </c>
      <c r="AB20" s="1264">
        <v>1</v>
      </c>
      <c r="AC20" s="1264">
        <v>1</v>
      </c>
    </row>
    <row r="21" spans="1:29" ht="15">
      <c r="A21" s="367"/>
      <c r="B21" s="586" t="s">
        <v>1809</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5"/>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5"/>
      <c r="Q22" s="1263"/>
      <c r="R22" s="667"/>
      <c r="S22" s="668"/>
      <c r="T22" s="667"/>
      <c r="U22" s="668"/>
      <c r="V22" s="667"/>
      <c r="W22" s="668"/>
      <c r="X22" s="1265"/>
      <c r="Y22" s="3425"/>
      <c r="Z22" s="1264"/>
      <c r="AA22" s="1264">
        <v>1</v>
      </c>
      <c r="AB22" s="1264">
        <v>1</v>
      </c>
      <c r="AC22" s="1264">
        <v>1</v>
      </c>
    </row>
    <row r="23" spans="1:29" ht="15">
      <c r="A23" s="367"/>
      <c r="B23" s="390" t="s">
        <v>1810</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5"/>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5"/>
      <c r="Q24" s="1263"/>
      <c r="R24" s="667"/>
      <c r="S24" s="668"/>
      <c r="T24" s="667"/>
      <c r="U24" s="668"/>
      <c r="V24" s="667"/>
      <c r="W24" s="668"/>
      <c r="X24" s="1265"/>
      <c r="Y24" s="342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5"/>
      <c r="Q25" s="1263">
        <f>B25</f>
        <v>111</v>
      </c>
      <c r="R25" s="667" t="s">
        <v>14</v>
      </c>
      <c r="S25" s="668">
        <f>F25</f>
        <v>100</v>
      </c>
      <c r="T25" s="667" t="s">
        <v>14</v>
      </c>
      <c r="U25" s="668">
        <f>H25</f>
        <v>100</v>
      </c>
      <c r="V25" s="667" t="s">
        <v>14</v>
      </c>
      <c r="W25" s="668">
        <f>J25</f>
        <v>100</v>
      </c>
      <c r="X25" s="1265"/>
      <c r="Y25" s="342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5"/>
      <c r="Q26" s="1263">
        <f t="shared" ref="Q26:Q40" si="11">B26</f>
        <v>111</v>
      </c>
      <c r="R26" s="667" t="s">
        <v>14</v>
      </c>
      <c r="S26" s="668">
        <f>F26</f>
        <v>100</v>
      </c>
      <c r="T26" s="667" t="s">
        <v>14</v>
      </c>
      <c r="U26" s="668">
        <f>H26</f>
        <v>100</v>
      </c>
      <c r="V26" s="667" t="s">
        <v>14</v>
      </c>
      <c r="W26" s="668">
        <f>J26</f>
        <v>100</v>
      </c>
      <c r="X26" s="1265"/>
      <c r="Y26" s="342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5"/>
      <c r="Q27" s="530">
        <f t="shared" si="11"/>
        <v>111</v>
      </c>
      <c r="R27" s="664" t="s">
        <v>14</v>
      </c>
      <c r="S27" s="665">
        <f>F27</f>
        <v>100</v>
      </c>
      <c r="T27" s="664" t="s">
        <v>14</v>
      </c>
      <c r="U27" s="665">
        <f>H27</f>
        <v>100</v>
      </c>
      <c r="V27" s="664" t="s">
        <v>14</v>
      </c>
      <c r="W27" s="665">
        <f>J27</f>
        <v>100</v>
      </c>
      <c r="X27" s="666"/>
      <c r="Y27" s="342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5"/>
      <c r="Q28" s="1263">
        <f t="shared" si="11"/>
        <v>111</v>
      </c>
      <c r="R28" s="667" t="s">
        <v>14</v>
      </c>
      <c r="S28" s="668">
        <f t="shared" ref="S28:S40" si="12">F28</f>
        <v>100</v>
      </c>
      <c r="T28" s="667" t="s">
        <v>14</v>
      </c>
      <c r="U28" s="668">
        <f t="shared" ref="U28:U40" si="13">H28</f>
        <v>100</v>
      </c>
      <c r="V28" s="667" t="s">
        <v>14</v>
      </c>
      <c r="W28" s="668">
        <f t="shared" ref="W28:W40" si="14">J28</f>
        <v>100</v>
      </c>
      <c r="X28" s="1265"/>
      <c r="Y28" s="3425"/>
      <c r="Z28" s="1264">
        <f t="shared" ref="Z28:Z40" si="15">Q28</f>
        <v>111</v>
      </c>
      <c r="AA28" s="1264">
        <f t="shared" si="3"/>
        <v>1</v>
      </c>
      <c r="AB28" s="1264">
        <f t="shared" si="4"/>
        <v>1</v>
      </c>
      <c r="AC28" s="1264">
        <f t="shared" si="5"/>
        <v>1</v>
      </c>
    </row>
    <row r="29" spans="1:29" ht="28.5">
      <c r="A29" s="404" t="s">
        <v>1690</v>
      </c>
      <c r="B29" s="60" t="s">
        <v>1813</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9" t="s">
        <v>1692</v>
      </c>
      <c r="Q29" s="1263" t="str">
        <f t="shared" si="11"/>
        <v>建筑类型</v>
      </c>
      <c r="R29" s="667" t="s">
        <v>14</v>
      </c>
      <c r="S29" s="668">
        <f t="shared" si="12"/>
        <v>100</v>
      </c>
      <c r="T29" s="667" t="s">
        <v>14</v>
      </c>
      <c r="U29" s="668">
        <f t="shared" si="13"/>
        <v>100</v>
      </c>
      <c r="V29" s="667" t="s">
        <v>14</v>
      </c>
      <c r="W29" s="668">
        <f t="shared" si="14"/>
        <v>100</v>
      </c>
      <c r="X29" s="1265"/>
      <c r="Y29" s="3429" t="s">
        <v>1692</v>
      </c>
      <c r="Z29" s="1264" t="str">
        <f t="shared" si="15"/>
        <v>建筑类型</v>
      </c>
      <c r="AA29" s="1264">
        <f t="shared" si="3"/>
        <v>1</v>
      </c>
      <c r="AB29" s="1264">
        <f t="shared" si="4"/>
        <v>1</v>
      </c>
      <c r="AC29" s="1264">
        <f t="shared" si="5"/>
        <v>1</v>
      </c>
    </row>
    <row r="30" spans="1:29" s="408" customFormat="1" ht="15">
      <c r="A30" s="406"/>
      <c r="B30" s="364" t="s">
        <v>1693</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9"/>
      <c r="Q30" s="531" t="str">
        <f t="shared" si="11"/>
        <v>项目建筑规模</v>
      </c>
      <c r="R30" s="669" t="s">
        <v>14</v>
      </c>
      <c r="S30" s="670" t="e">
        <f t="shared" si="12"/>
        <v>#N/A</v>
      </c>
      <c r="T30" s="669" t="s">
        <v>14</v>
      </c>
      <c r="U30" s="670" t="e">
        <f t="shared" si="13"/>
        <v>#N/A</v>
      </c>
      <c r="V30" s="669" t="s">
        <v>14</v>
      </c>
      <c r="W30" s="670" t="e">
        <f t="shared" si="14"/>
        <v>#N/A</v>
      </c>
      <c r="X30" s="671"/>
      <c r="Y30" s="3429"/>
      <c r="Z30" s="672" t="str">
        <f t="shared" si="15"/>
        <v>项目建筑规模</v>
      </c>
      <c r="AA30" s="1264" t="e">
        <f t="shared" si="3"/>
        <v>#N/A</v>
      </c>
      <c r="AB30" s="1264" t="e">
        <f t="shared" si="4"/>
        <v>#N/A</v>
      </c>
      <c r="AC30" s="1264" t="e">
        <f t="shared" si="5"/>
        <v>#N/A</v>
      </c>
    </row>
    <row r="31" spans="1:29" ht="15">
      <c r="A31" s="409"/>
      <c r="B31" s="364" t="s">
        <v>1694</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9"/>
      <c r="Q31" s="1263" t="str">
        <f t="shared" si="11"/>
        <v>建筑结构</v>
      </c>
      <c r="R31" s="667" t="s">
        <v>14</v>
      </c>
      <c r="S31" s="668">
        <f t="shared" si="12"/>
        <v>100</v>
      </c>
      <c r="T31" s="667" t="s">
        <v>14</v>
      </c>
      <c r="U31" s="668">
        <f t="shared" si="13"/>
        <v>100</v>
      </c>
      <c r="V31" s="667" t="s">
        <v>14</v>
      </c>
      <c r="W31" s="668">
        <f t="shared" si="14"/>
        <v>100</v>
      </c>
      <c r="X31" s="1265"/>
      <c r="Y31" s="3429"/>
      <c r="Z31" s="1264" t="str">
        <f t="shared" si="15"/>
        <v>建筑结构</v>
      </c>
      <c r="AA31" s="1264">
        <f t="shared" si="3"/>
        <v>1</v>
      </c>
      <c r="AB31" s="1264">
        <f t="shared" si="4"/>
        <v>1</v>
      </c>
      <c r="AC31" s="1264">
        <f t="shared" si="5"/>
        <v>1</v>
      </c>
    </row>
    <row r="32" spans="1:29" ht="15">
      <c r="A32" s="409"/>
      <c r="B32" s="364" t="s">
        <v>1781</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9"/>
      <c r="Q32" s="1263" t="str">
        <f t="shared" si="11"/>
        <v>公共部分装修</v>
      </c>
      <c r="R32" s="667" t="s">
        <v>14</v>
      </c>
      <c r="S32" s="668">
        <f t="shared" si="12"/>
        <v>100</v>
      </c>
      <c r="T32" s="667" t="s">
        <v>14</v>
      </c>
      <c r="U32" s="668">
        <f t="shared" si="13"/>
        <v>100</v>
      </c>
      <c r="V32" s="667" t="s">
        <v>14</v>
      </c>
      <c r="W32" s="668">
        <f t="shared" si="14"/>
        <v>100</v>
      </c>
      <c r="X32" s="1265"/>
      <c r="Y32" s="3429"/>
      <c r="Z32" s="1264" t="str">
        <f t="shared" si="15"/>
        <v>公共部分装修</v>
      </c>
      <c r="AA32" s="1264">
        <f t="shared" si="3"/>
        <v>1</v>
      </c>
      <c r="AB32" s="1264">
        <f t="shared" si="4"/>
        <v>1</v>
      </c>
      <c r="AC32" s="1264">
        <f t="shared" si="5"/>
        <v>1</v>
      </c>
    </row>
    <row r="33" spans="1:29" ht="15">
      <c r="A33" s="409"/>
      <c r="B33" s="364" t="s">
        <v>1782</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9"/>
      <c r="Q33" s="1263" t="str">
        <f t="shared" si="11"/>
        <v>成新度</v>
      </c>
      <c r="R33" s="667" t="s">
        <v>14</v>
      </c>
      <c r="S33" s="668" t="e">
        <f t="shared" si="12"/>
        <v>#N/A</v>
      </c>
      <c r="T33" s="667" t="s">
        <v>14</v>
      </c>
      <c r="U33" s="668" t="e">
        <f t="shared" si="13"/>
        <v>#N/A</v>
      </c>
      <c r="V33" s="667" t="s">
        <v>14</v>
      </c>
      <c r="W33" s="668" t="e">
        <f t="shared" si="14"/>
        <v>#N/A</v>
      </c>
      <c r="X33" s="1265"/>
      <c r="Y33" s="3429"/>
      <c r="Z33" s="1264" t="str">
        <f t="shared" si="15"/>
        <v>成新度</v>
      </c>
      <c r="AA33" s="1264" t="e">
        <f t="shared" si="3"/>
        <v>#N/A</v>
      </c>
      <c r="AB33" s="1264" t="e">
        <f t="shared" si="4"/>
        <v>#N/A</v>
      </c>
      <c r="AC33" s="1264" t="e">
        <f t="shared" si="5"/>
        <v>#N/A</v>
      </c>
    </row>
    <row r="34" spans="1:29" s="102" customFormat="1" ht="15">
      <c r="A34" s="410"/>
      <c r="B34" s="364" t="s">
        <v>1815</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9"/>
      <c r="Q34" s="530" t="str">
        <f t="shared" si="11"/>
        <v>物业管理</v>
      </c>
      <c r="R34" s="664" t="s">
        <v>14</v>
      </c>
      <c r="S34" s="665">
        <f t="shared" si="12"/>
        <v>100</v>
      </c>
      <c r="T34" s="664" t="s">
        <v>14</v>
      </c>
      <c r="U34" s="665">
        <f t="shared" si="13"/>
        <v>100</v>
      </c>
      <c r="V34" s="664" t="s">
        <v>14</v>
      </c>
      <c r="W34" s="665">
        <f t="shared" si="14"/>
        <v>100</v>
      </c>
      <c r="X34" s="666"/>
      <c r="Y34" s="3429"/>
      <c r="Z34" s="50" t="str">
        <f t="shared" si="15"/>
        <v>物业管理</v>
      </c>
      <c r="AA34" s="50">
        <f t="shared" si="3"/>
        <v>1</v>
      </c>
      <c r="AB34" s="50">
        <f t="shared" si="4"/>
        <v>1</v>
      </c>
      <c r="AC34" s="50">
        <f t="shared" si="5"/>
        <v>1</v>
      </c>
    </row>
    <row r="35" spans="1:29" ht="15">
      <c r="A35" s="409"/>
      <c r="B35" s="364" t="s">
        <v>1783</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9" t="s">
        <v>1692</v>
      </c>
      <c r="Q35" s="1263" t="str">
        <f t="shared" si="11"/>
        <v>市政基础设施</v>
      </c>
      <c r="R35" s="667" t="s">
        <v>14</v>
      </c>
      <c r="S35" s="668">
        <f t="shared" si="12"/>
        <v>100</v>
      </c>
      <c r="T35" s="667" t="s">
        <v>14</v>
      </c>
      <c r="U35" s="668">
        <f t="shared" si="13"/>
        <v>100</v>
      </c>
      <c r="V35" s="667" t="s">
        <v>14</v>
      </c>
      <c r="W35" s="668">
        <f t="shared" si="14"/>
        <v>100</v>
      </c>
      <c r="X35" s="1265"/>
      <c r="Y35" s="3429" t="s">
        <v>1692</v>
      </c>
      <c r="Z35" s="1264" t="str">
        <f t="shared" si="15"/>
        <v>市政基础设施</v>
      </c>
      <c r="AA35" s="1264">
        <f t="shared" si="3"/>
        <v>1</v>
      </c>
      <c r="AB35" s="1264">
        <f t="shared" si="4"/>
        <v>1</v>
      </c>
      <c r="AC35" s="1264">
        <f t="shared" si="5"/>
        <v>1</v>
      </c>
    </row>
    <row r="36" spans="1:29" ht="15">
      <c r="A36" s="409"/>
      <c r="B36" s="364" t="s">
        <v>1788</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9"/>
      <c r="Q36" s="1263" t="str">
        <f t="shared" si="11"/>
        <v>内部装修</v>
      </c>
      <c r="R36" s="667" t="s">
        <v>14</v>
      </c>
      <c r="S36" s="668">
        <f t="shared" si="12"/>
        <v>100</v>
      </c>
      <c r="T36" s="667" t="s">
        <v>14</v>
      </c>
      <c r="U36" s="668">
        <f t="shared" si="13"/>
        <v>100</v>
      </c>
      <c r="V36" s="667" t="s">
        <v>14</v>
      </c>
      <c r="W36" s="668">
        <f t="shared" si="14"/>
        <v>100</v>
      </c>
      <c r="X36" s="1265"/>
      <c r="Y36" s="3429"/>
      <c r="Z36" s="1264" t="str">
        <f t="shared" si="15"/>
        <v>内部装修</v>
      </c>
      <c r="AA36" s="1264">
        <f t="shared" si="3"/>
        <v>1</v>
      </c>
      <c r="AB36" s="1264">
        <f t="shared" si="4"/>
        <v>1</v>
      </c>
      <c r="AC36" s="1264">
        <f t="shared" si="5"/>
        <v>1</v>
      </c>
    </row>
    <row r="37" spans="1:29" ht="15">
      <c r="A37" s="409"/>
      <c r="B37" s="364" t="s">
        <v>1824</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9"/>
      <c r="Q37" s="1263" t="str">
        <f t="shared" si="11"/>
        <v>内部装修状况</v>
      </c>
      <c r="R37" s="667" t="s">
        <v>14</v>
      </c>
      <c r="S37" s="668">
        <f t="shared" si="12"/>
        <v>100</v>
      </c>
      <c r="T37" s="667" t="s">
        <v>14</v>
      </c>
      <c r="U37" s="668">
        <f t="shared" si="13"/>
        <v>100</v>
      </c>
      <c r="V37" s="667" t="s">
        <v>14</v>
      </c>
      <c r="W37" s="668">
        <f t="shared" si="14"/>
        <v>100</v>
      </c>
      <c r="X37" s="1265"/>
      <c r="Y37" s="342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9"/>
      <c r="Q38" s="531">
        <f t="shared" si="11"/>
        <v>111</v>
      </c>
      <c r="R38" s="669" t="s">
        <v>14</v>
      </c>
      <c r="S38" s="670">
        <f t="shared" si="12"/>
        <v>100</v>
      </c>
      <c r="T38" s="669" t="s">
        <v>14</v>
      </c>
      <c r="U38" s="670">
        <f t="shared" si="13"/>
        <v>100</v>
      </c>
      <c r="V38" s="669" t="s">
        <v>14</v>
      </c>
      <c r="W38" s="670">
        <f t="shared" si="14"/>
        <v>100</v>
      </c>
      <c r="X38" s="671"/>
      <c r="Y38" s="342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9"/>
      <c r="Q39" s="1263">
        <f t="shared" si="11"/>
        <v>111</v>
      </c>
      <c r="R39" s="667" t="s">
        <v>14</v>
      </c>
      <c r="S39" s="668">
        <f t="shared" si="12"/>
        <v>100</v>
      </c>
      <c r="T39" s="667" t="s">
        <v>14</v>
      </c>
      <c r="U39" s="668">
        <f t="shared" si="13"/>
        <v>100</v>
      </c>
      <c r="V39" s="667" t="s">
        <v>14</v>
      </c>
      <c r="W39" s="668">
        <f t="shared" si="14"/>
        <v>100</v>
      </c>
      <c r="X39" s="1265"/>
      <c r="Y39" s="342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0"/>
      <c r="Q40" s="1263">
        <f t="shared" si="11"/>
        <v>111</v>
      </c>
      <c r="R40" s="667" t="s">
        <v>14</v>
      </c>
      <c r="S40" s="668">
        <f t="shared" si="12"/>
        <v>100</v>
      </c>
      <c r="T40" s="667" t="s">
        <v>14</v>
      </c>
      <c r="U40" s="668">
        <f t="shared" si="13"/>
        <v>100</v>
      </c>
      <c r="V40" s="667" t="s">
        <v>14</v>
      </c>
      <c r="W40" s="668">
        <f t="shared" si="14"/>
        <v>100</v>
      </c>
      <c r="X40" s="1265"/>
      <c r="Y40" s="3430"/>
      <c r="Z40" s="1264">
        <f t="shared" si="15"/>
        <v>111</v>
      </c>
      <c r="AA40" s="1264">
        <f t="shared" si="3"/>
        <v>1</v>
      </c>
      <c r="AB40" s="1264">
        <f t="shared" si="4"/>
        <v>1</v>
      </c>
      <c r="AC40" s="1264">
        <f t="shared" si="5"/>
        <v>1</v>
      </c>
    </row>
    <row r="41" spans="1:29" ht="15">
      <c r="A41" s="416" t="s">
        <v>1704</v>
      </c>
      <c r="B41" s="417"/>
      <c r="C41" s="1081" t="s">
        <v>0</v>
      </c>
      <c r="D41" s="418"/>
      <c r="E41" s="419"/>
      <c r="F41" s="420"/>
      <c r="G41" s="421"/>
      <c r="H41" s="422"/>
      <c r="I41" s="419"/>
      <c r="J41" s="422"/>
      <c r="K41" s="674"/>
      <c r="L41" s="873"/>
      <c r="M41" s="861"/>
      <c r="N41" s="861"/>
      <c r="O41" s="861"/>
      <c r="P41" s="3422" t="str">
        <f>A41</f>
        <v>成交单价（元/平方米）</v>
      </c>
      <c r="Q41" s="3422"/>
      <c r="R41" s="3423">
        <f>E41</f>
        <v>0</v>
      </c>
      <c r="S41" s="3423"/>
      <c r="T41" s="3423">
        <f>G41</f>
        <v>0</v>
      </c>
      <c r="U41" s="3423"/>
      <c r="V41" s="3423">
        <f>I41</f>
        <v>0</v>
      </c>
      <c r="W41" s="3423"/>
      <c r="X41" s="385"/>
      <c r="Y41" s="673"/>
      <c r="Z41" s="385"/>
      <c r="AA41" s="385"/>
      <c r="AB41" s="385"/>
      <c r="AC41" s="385"/>
    </row>
    <row r="42" spans="1:29" ht="15.75" thickBot="1">
      <c r="A42" s="423" t="s">
        <v>1789</v>
      </c>
      <c r="B42" s="424"/>
      <c r="C42" s="1082" t="e">
        <f>R43</f>
        <v>#DIV/0!</v>
      </c>
      <c r="D42" s="2141" t="s">
        <v>2134</v>
      </c>
      <c r="E42" s="1083" t="e">
        <f>R42</f>
        <v>#DIV/0!</v>
      </c>
      <c r="F42" s="2142"/>
      <c r="G42" s="1082" t="e">
        <f>T42</f>
        <v>#DIV/0!</v>
      </c>
      <c r="H42" s="2142"/>
      <c r="I42" s="1083" t="e">
        <f>V42</f>
        <v>#DIV/0!</v>
      </c>
      <c r="J42" s="2142"/>
      <c r="K42" s="2144">
        <f>F42+H42+J42</f>
        <v>0</v>
      </c>
      <c r="L42" s="873"/>
      <c r="M42" s="861"/>
      <c r="N42" s="861"/>
      <c r="O42" s="861"/>
      <c r="P42" s="3422" t="str">
        <f>A42</f>
        <v>比较价值（元/平方米）</v>
      </c>
      <c r="Q42" s="3422"/>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385"/>
      <c r="Y42" s="385"/>
      <c r="Z42" s="385"/>
      <c r="AA42" s="385"/>
      <c r="AB42" s="385"/>
      <c r="AC42" s="385"/>
    </row>
    <row r="43" spans="1:29" ht="15.75" thickBot="1">
      <c r="A43" s="427" t="s">
        <v>1790</v>
      </c>
      <c r="B43" s="428"/>
      <c r="C43" s="351" t="e">
        <f>R43</f>
        <v>#DIV/0!</v>
      </c>
      <c r="D43" s="351"/>
      <c r="E43" s="351"/>
      <c r="F43" s="351"/>
      <c r="G43" s="351"/>
      <c r="H43" s="351"/>
      <c r="I43" s="351"/>
      <c r="J43" s="351"/>
      <c r="K43" s="675"/>
      <c r="L43" s="873"/>
      <c r="M43" s="861"/>
      <c r="N43" s="861"/>
      <c r="O43" s="861"/>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1794</v>
      </c>
      <c r="B51" s="385"/>
      <c r="C51" s="659"/>
      <c r="D51" s="659"/>
      <c r="E51" s="659"/>
      <c r="F51" s="660"/>
      <c r="G51" s="660"/>
      <c r="H51" s="659"/>
      <c r="I51" s="659"/>
      <c r="J51" s="659"/>
      <c r="K51" s="887"/>
      <c r="L51" s="888"/>
      <c r="M51" s="886"/>
      <c r="N51" s="886"/>
      <c r="O51" s="886"/>
      <c r="P51" s="438"/>
      <c r="Q51" s="439"/>
    </row>
    <row r="52" spans="1:17" s="442" customFormat="1" ht="15">
      <c r="A52" s="440" t="s">
        <v>1675</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1712</v>
      </c>
      <c r="B54" s="450"/>
      <c r="C54" s="451"/>
      <c r="D54" s="452"/>
      <c r="E54" s="452"/>
      <c r="F54" s="452"/>
      <c r="G54" s="452"/>
      <c r="H54" s="452"/>
      <c r="I54" s="452"/>
      <c r="J54" s="452"/>
      <c r="K54" s="452"/>
      <c r="L54" s="452"/>
      <c r="M54" s="453"/>
      <c r="N54" s="2539"/>
      <c r="O54" s="2540"/>
      <c r="P54" s="439"/>
      <c r="Q54" s="439"/>
    </row>
    <row r="55" spans="1:17" s="102" customFormat="1" ht="15">
      <c r="A55" s="455" t="s">
        <v>1677</v>
      </c>
      <c r="B55" s="444"/>
      <c r="C55" s="456" t="s">
        <v>1772</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1715</v>
      </c>
      <c r="B57" s="460" t="s">
        <v>1681</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1684</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1685</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1686</v>
      </c>
      <c r="B70" s="460" t="s">
        <v>1825</v>
      </c>
      <c r="C70" s="504" t="s">
        <v>1717</v>
      </c>
      <c r="D70" s="504" t="s">
        <v>1718</v>
      </c>
      <c r="E70" s="504" t="s">
        <v>1719</v>
      </c>
      <c r="F70" s="504" t="s">
        <v>1720</v>
      </c>
      <c r="G70" s="504" t="s">
        <v>1721</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1722</v>
      </c>
      <c r="C72" s="509" t="s">
        <v>1717</v>
      </c>
      <c r="D72" s="509" t="s">
        <v>1718</v>
      </c>
      <c r="E72" s="509" t="s">
        <v>1719</v>
      </c>
      <c r="F72" s="509" t="s">
        <v>1720</v>
      </c>
      <c r="G72" s="509" t="s">
        <v>1721</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1723</v>
      </c>
      <c r="C74" s="509" t="s">
        <v>1717</v>
      </c>
      <c r="D74" s="509" t="s">
        <v>1718</v>
      </c>
      <c r="E74" s="509" t="s">
        <v>1719</v>
      </c>
      <c r="F74" s="509" t="s">
        <v>1720</v>
      </c>
      <c r="G74" s="509" t="s">
        <v>1721</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1809</v>
      </c>
      <c r="C76" s="581" t="s">
        <v>1795</v>
      </c>
      <c r="D76" s="581" t="s">
        <v>1796</v>
      </c>
      <c r="E76" s="581" t="s">
        <v>1797</v>
      </c>
      <c r="F76" s="581" t="s">
        <v>1798</v>
      </c>
      <c r="G76" s="581" t="s">
        <v>1799</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1818</v>
      </c>
      <c r="C78" s="509" t="s">
        <v>1717</v>
      </c>
      <c r="D78" s="509" t="s">
        <v>1718</v>
      </c>
      <c r="E78" s="509" t="s">
        <v>1719</v>
      </c>
      <c r="F78" s="509" t="s">
        <v>1720</v>
      </c>
      <c r="G78" s="509" t="s">
        <v>1721</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1690</v>
      </c>
      <c r="B88" s="460" t="s">
        <v>1732</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1733</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1734</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1736</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1186</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1737</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1738</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1740</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1826</v>
      </c>
      <c r="C106" s="509" t="s">
        <v>1717</v>
      </c>
      <c r="D106" s="509" t="s">
        <v>1718</v>
      </c>
      <c r="E106" s="509" t="s">
        <v>1719</v>
      </c>
      <c r="F106" s="509" t="s">
        <v>1720</v>
      </c>
      <c r="G106" s="509" t="s">
        <v>1721</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3320</v>
      </c>
      <c r="C1" s="1141" t="s">
        <v>1658</v>
      </c>
      <c r="D1" s="1142"/>
      <c r="E1" s="3132"/>
      <c r="F1" s="1735"/>
      <c r="G1" s="1144" t="s">
        <v>1763</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1460</v>
      </c>
      <c r="B3" s="536" t="e">
        <f>IF(AND(C2="——",B37="元/平方米"),C39,ROUND(B2*10000/D3,0))</f>
        <v>#DIV/0!</v>
      </c>
      <c r="C3" s="344" t="s">
        <v>1764</v>
      </c>
      <c r="D3" s="343">
        <f>SUMIF('数据-汇总表'!$C19:$C33,D1,'数据-汇总表'!$E19:$E33)</f>
        <v>0</v>
      </c>
      <c r="E3" s="344" t="s">
        <v>1828</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1765</v>
      </c>
      <c r="B4" s="346"/>
      <c r="C4" s="3437" t="s">
        <v>1766</v>
      </c>
      <c r="D4" s="3438"/>
      <c r="E4" s="3439" t="s">
        <v>1767</v>
      </c>
      <c r="F4" s="3440"/>
      <c r="G4" s="3437" t="s">
        <v>1768</v>
      </c>
      <c r="H4" s="3438"/>
      <c r="I4" s="3437" t="s">
        <v>1769</v>
      </c>
      <c r="J4" s="3438"/>
      <c r="K4" s="537" t="s">
        <v>1770</v>
      </c>
      <c r="L4" s="2487"/>
      <c r="M4" s="2488"/>
      <c r="N4" s="2488"/>
      <c r="O4" s="2488"/>
      <c r="P4" s="3441" t="s">
        <v>1771</v>
      </c>
      <c r="Q4" s="3442"/>
      <c r="R4" s="3447" t="s">
        <v>1767</v>
      </c>
      <c r="S4" s="3448"/>
      <c r="T4" s="3447" t="s">
        <v>1768</v>
      </c>
      <c r="U4" s="3448"/>
      <c r="V4" s="3423" t="s">
        <v>1769</v>
      </c>
      <c r="W4" s="3423"/>
      <c r="X4" s="1265"/>
      <c r="Y4" s="3447" t="s">
        <v>1771</v>
      </c>
      <c r="Z4" s="3448"/>
      <c r="AA4" s="3434" t="s">
        <v>1767</v>
      </c>
      <c r="AB4" s="3435" t="s">
        <v>1768</v>
      </c>
      <c r="AC4" s="3434" t="s">
        <v>1769</v>
      </c>
    </row>
    <row r="5" spans="1:29" ht="15">
      <c r="A5" s="348"/>
      <c r="B5" s="349"/>
      <c r="C5" s="3455" t="s">
        <v>1669</v>
      </c>
      <c r="D5" s="3456"/>
      <c r="E5" s="3462" t="s">
        <v>1670</v>
      </c>
      <c r="F5" s="3463"/>
      <c r="G5" s="3455" t="s">
        <v>1671</v>
      </c>
      <c r="H5" s="3456"/>
      <c r="I5" s="3455" t="s">
        <v>1672</v>
      </c>
      <c r="J5" s="3456"/>
      <c r="K5" s="537"/>
      <c r="L5" s="2487"/>
      <c r="M5" s="2488"/>
      <c r="N5" s="2488"/>
      <c r="O5" s="2488"/>
      <c r="P5" s="3443"/>
      <c r="Q5" s="3444"/>
      <c r="R5" s="3449"/>
      <c r="S5" s="3450"/>
      <c r="T5" s="3449"/>
      <c r="U5" s="3450"/>
      <c r="V5" s="3423"/>
      <c r="W5" s="3423"/>
      <c r="X5" s="1265"/>
      <c r="Y5" s="3449"/>
      <c r="Z5" s="3450"/>
      <c r="AA5" s="3435"/>
      <c r="AB5" s="3435"/>
      <c r="AC5" s="3435"/>
    </row>
    <row r="6" spans="1:29" ht="15.75" thickBot="1">
      <c r="A6" s="350"/>
      <c r="B6" s="351"/>
      <c r="C6" s="3453" t="s">
        <v>1673</v>
      </c>
      <c r="D6" s="3454"/>
      <c r="E6" s="3460" t="s">
        <v>1673</v>
      </c>
      <c r="F6" s="3461"/>
      <c r="G6" s="3453" t="s">
        <v>1673</v>
      </c>
      <c r="H6" s="3454"/>
      <c r="I6" s="3453" t="s">
        <v>1673</v>
      </c>
      <c r="J6" s="3454"/>
      <c r="K6" s="537" t="s">
        <v>1674</v>
      </c>
      <c r="L6" s="2487"/>
      <c r="M6" s="2488"/>
      <c r="N6" s="2488"/>
      <c r="O6" s="2488"/>
      <c r="P6" s="3445"/>
      <c r="Q6" s="3446"/>
      <c r="R6" s="3449"/>
      <c r="S6" s="3450"/>
      <c r="T6" s="3451"/>
      <c r="U6" s="3452"/>
      <c r="V6" s="3423"/>
      <c r="W6" s="3423"/>
      <c r="X6" s="1265"/>
      <c r="Y6" s="3451"/>
      <c r="Z6" s="3452"/>
      <c r="AA6" s="3436"/>
      <c r="AB6" s="3436"/>
      <c r="AC6" s="3436"/>
    </row>
    <row r="7" spans="1:29" s="102" customFormat="1" ht="15.75" thickBot="1">
      <c r="A7" s="352" t="s">
        <v>1675</v>
      </c>
      <c r="B7" s="353"/>
      <c r="C7" s="354">
        <f>'数据-取费表'!B2</f>
        <v>45889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57" t="s">
        <v>1676</v>
      </c>
      <c r="Q7" s="3459"/>
      <c r="R7" s="664" t="s">
        <v>14</v>
      </c>
      <c r="S7" s="665">
        <f t="shared" ref="S7:S14" si="0">F7</f>
        <v>0</v>
      </c>
      <c r="T7" s="664" t="s">
        <v>14</v>
      </c>
      <c r="U7" s="665">
        <f t="shared" ref="U7:U14" si="1">H7</f>
        <v>0</v>
      </c>
      <c r="V7" s="664" t="s">
        <v>14</v>
      </c>
      <c r="W7" s="665">
        <f t="shared" ref="W7:W14" si="2">J7</f>
        <v>0</v>
      </c>
      <c r="X7" s="666"/>
      <c r="Y7" s="3457" t="s">
        <v>1676</v>
      </c>
      <c r="Z7" s="3458"/>
      <c r="AA7" s="50" t="e">
        <f>D7/F7</f>
        <v>#DIV/0!</v>
      </c>
      <c r="AB7" s="50" t="e">
        <f>D7/H7</f>
        <v>#DIV/0!</v>
      </c>
      <c r="AC7" s="50" t="e">
        <f>D7/J7</f>
        <v>#DIV/0!</v>
      </c>
    </row>
    <row r="8" spans="1:29" s="102" customFormat="1" ht="15.75" thickBot="1">
      <c r="A8" s="352" t="s">
        <v>1677</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57" t="s">
        <v>1679</v>
      </c>
      <c r="Q8" s="3458"/>
      <c r="R8" s="664" t="s">
        <v>14</v>
      </c>
      <c r="S8" s="665">
        <f t="shared" si="0"/>
        <v>100</v>
      </c>
      <c r="T8" s="664" t="s">
        <v>14</v>
      </c>
      <c r="U8" s="665">
        <f t="shared" si="1"/>
        <v>100</v>
      </c>
      <c r="V8" s="664" t="s">
        <v>14</v>
      </c>
      <c r="W8" s="665">
        <f t="shared" si="2"/>
        <v>100</v>
      </c>
      <c r="X8" s="666"/>
      <c r="Y8" s="3457" t="s">
        <v>1679</v>
      </c>
      <c r="Z8" s="3458"/>
      <c r="AA8" s="50">
        <f t="shared" ref="AA8:AA36" si="3">D8/F8</f>
        <v>1</v>
      </c>
      <c r="AB8" s="50">
        <f t="shared" ref="AB8:AB36" si="4">D8/H8</f>
        <v>1</v>
      </c>
      <c r="AC8" s="50">
        <f t="shared" ref="AC8:AC36" si="5">D8/J8</f>
        <v>1</v>
      </c>
    </row>
    <row r="9" spans="1:29" s="102" customFormat="1">
      <c r="A9" s="57" t="s">
        <v>1680</v>
      </c>
      <c r="B9" s="564" t="s">
        <v>1681</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2" t="s">
        <v>1682</v>
      </c>
      <c r="Q9" s="530" t="str">
        <f t="shared" ref="Q9:Q14" si="6">B9</f>
        <v>用途</v>
      </c>
      <c r="R9" s="664" t="s">
        <v>14</v>
      </c>
      <c r="S9" s="665">
        <f t="shared" si="0"/>
        <v>100</v>
      </c>
      <c r="T9" s="664" t="s">
        <v>14</v>
      </c>
      <c r="U9" s="665">
        <f t="shared" si="1"/>
        <v>100</v>
      </c>
      <c r="V9" s="664" t="s">
        <v>14</v>
      </c>
      <c r="W9" s="665">
        <f t="shared" si="2"/>
        <v>100</v>
      </c>
      <c r="X9" s="666"/>
      <c r="Y9" s="3277" t="s">
        <v>1683</v>
      </c>
      <c r="Z9" s="50" t="str">
        <f t="shared" ref="Z9:Z14" si="7">Q9</f>
        <v>用途</v>
      </c>
      <c r="AA9" s="50">
        <f t="shared" si="3"/>
        <v>1</v>
      </c>
      <c r="AB9" s="50">
        <f t="shared" si="4"/>
        <v>1</v>
      </c>
      <c r="AC9" s="50">
        <f t="shared" si="5"/>
        <v>1</v>
      </c>
    </row>
    <row r="10" spans="1:29" s="366" customFormat="1" ht="27">
      <c r="A10" s="565"/>
      <c r="B10" s="566" t="s">
        <v>1684</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2"/>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
      <c r="A14" s="345" t="s">
        <v>1686</v>
      </c>
      <c r="B14" s="554" t="s">
        <v>1829</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4" t="s">
        <v>1687</v>
      </c>
      <c r="Q14" s="1263" t="str">
        <f t="shared" si="6"/>
        <v>交通便捷度</v>
      </c>
      <c r="R14" s="667" t="s">
        <v>14</v>
      </c>
      <c r="S14" s="668">
        <f t="shared" si="0"/>
        <v>100</v>
      </c>
      <c r="T14" s="667" t="s">
        <v>14</v>
      </c>
      <c r="U14" s="668">
        <f t="shared" si="1"/>
        <v>100</v>
      </c>
      <c r="V14" s="667" t="s">
        <v>14</v>
      </c>
      <c r="W14" s="668">
        <f t="shared" si="2"/>
        <v>100</v>
      </c>
      <c r="X14" s="1265"/>
      <c r="Y14" s="3424" t="s">
        <v>1687</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5"/>
      <c r="Q15" s="1263"/>
      <c r="R15" s="667"/>
      <c r="S15" s="668"/>
      <c r="T15" s="667"/>
      <c r="U15" s="668"/>
      <c r="V15" s="667"/>
      <c r="W15" s="668"/>
      <c r="X15" s="1265"/>
      <c r="Y15" s="3425"/>
      <c r="Z15" s="1264"/>
      <c r="AA15" s="1264">
        <v>1</v>
      </c>
      <c r="AB15" s="1264">
        <v>1</v>
      </c>
      <c r="AC15" s="1264">
        <v>1</v>
      </c>
    </row>
    <row r="16" spans="1:29" ht="15">
      <c r="A16" s="348"/>
      <c r="B16" s="556" t="s">
        <v>1808</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5"/>
      <c r="Q17" s="1263"/>
      <c r="R17" s="667"/>
      <c r="S17" s="668"/>
      <c r="T17" s="667"/>
      <c r="U17" s="668"/>
      <c r="V17" s="667"/>
      <c r="W17" s="668"/>
      <c r="X17" s="1265"/>
      <c r="Y17" s="3425"/>
      <c r="Z17" s="1264"/>
      <c r="AA17" s="1264">
        <v>1</v>
      </c>
      <c r="AB17" s="1264">
        <v>1</v>
      </c>
      <c r="AC17" s="1264">
        <v>1</v>
      </c>
    </row>
    <row r="18" spans="1:29" ht="15">
      <c r="A18" s="348"/>
      <c r="B18" s="557" t="s">
        <v>1809</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5"/>
      <c r="Q19" s="1263"/>
      <c r="R19" s="667"/>
      <c r="S19" s="668"/>
      <c r="T19" s="667"/>
      <c r="U19" s="668"/>
      <c r="V19" s="667"/>
      <c r="W19" s="668"/>
      <c r="X19" s="1265"/>
      <c r="Y19" s="3425"/>
      <c r="Z19" s="1264"/>
      <c r="AA19" s="1264">
        <v>1</v>
      </c>
      <c r="AB19" s="1264">
        <v>1</v>
      </c>
      <c r="AC19" s="1264">
        <v>1</v>
      </c>
    </row>
    <row r="20" spans="1:29" ht="15">
      <c r="A20" s="348"/>
      <c r="B20" s="556" t="s">
        <v>1830</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5"/>
      <c r="Q21" s="1263"/>
      <c r="R21" s="667"/>
      <c r="S21" s="668"/>
      <c r="T21" s="667"/>
      <c r="U21" s="668"/>
      <c r="V21" s="667"/>
      <c r="W21" s="668"/>
      <c r="X21" s="1265"/>
      <c r="Y21" s="3425"/>
      <c r="Z21" s="1264"/>
      <c r="AA21" s="1264">
        <v>1</v>
      </c>
      <c r="AB21" s="1264">
        <v>1</v>
      </c>
      <c r="AC21" s="1264">
        <v>1</v>
      </c>
    </row>
    <row r="22" spans="1:29" ht="15">
      <c r="A22" s="348"/>
      <c r="B22" s="556" t="s">
        <v>1831</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5"/>
      <c r="Q24" s="1263">
        <f t="shared" ref="Q24:Q36"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28.5">
      <c r="A26" s="574" t="s">
        <v>1690</v>
      </c>
      <c r="B26" s="59" t="s">
        <v>1832</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79" t="s">
        <v>1692</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9" t="s">
        <v>1692</v>
      </c>
      <c r="Z26" s="1264" t="str">
        <f t="shared" ref="Z26:Z36" si="15">Q26</f>
        <v>配套类型</v>
      </c>
      <c r="AA26" s="1264" t="e">
        <f t="shared" si="3"/>
        <v>#DIV/0!</v>
      </c>
      <c r="AB26" s="1264" t="e">
        <f t="shared" si="4"/>
        <v>#DIV/0!</v>
      </c>
      <c r="AC26" s="1264" t="e">
        <f t="shared" si="5"/>
        <v>#DIV/0!</v>
      </c>
    </row>
    <row r="27" spans="1:29" s="408" customFormat="1" ht="15">
      <c r="A27" s="575"/>
      <c r="B27" s="119" t="s">
        <v>1833</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9"/>
      <c r="Q27" s="531" t="str">
        <f t="shared" si="11"/>
        <v>项目停车位配比</v>
      </c>
      <c r="R27" s="669" t="s">
        <v>14</v>
      </c>
      <c r="S27" s="670">
        <f t="shared" si="12"/>
        <v>100</v>
      </c>
      <c r="T27" s="669" t="s">
        <v>14</v>
      </c>
      <c r="U27" s="670">
        <f t="shared" si="13"/>
        <v>100</v>
      </c>
      <c r="V27" s="669" t="s">
        <v>14</v>
      </c>
      <c r="W27" s="670">
        <f t="shared" si="14"/>
        <v>100</v>
      </c>
      <c r="X27" s="671"/>
      <c r="Y27" s="3429"/>
      <c r="Z27" s="672" t="str">
        <f t="shared" si="15"/>
        <v>项目停车位配比</v>
      </c>
      <c r="AA27" s="1264">
        <f t="shared" si="3"/>
        <v>1</v>
      </c>
      <c r="AB27" s="1264">
        <f t="shared" si="4"/>
        <v>1</v>
      </c>
      <c r="AC27" s="1264">
        <f t="shared" si="5"/>
        <v>1</v>
      </c>
    </row>
    <row r="28" spans="1:29" ht="15">
      <c r="A28" s="577"/>
      <c r="B28" s="119" t="s">
        <v>1834</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9"/>
      <c r="Q28" s="1263" t="str">
        <f t="shared" si="11"/>
        <v>公共部分装修</v>
      </c>
      <c r="R28" s="667" t="s">
        <v>14</v>
      </c>
      <c r="S28" s="668">
        <f t="shared" si="12"/>
        <v>100</v>
      </c>
      <c r="T28" s="667" t="s">
        <v>14</v>
      </c>
      <c r="U28" s="668">
        <f t="shared" si="13"/>
        <v>100</v>
      </c>
      <c r="V28" s="667" t="s">
        <v>14</v>
      </c>
      <c r="W28" s="668">
        <f t="shared" si="14"/>
        <v>100</v>
      </c>
      <c r="X28" s="1265"/>
      <c r="Y28" s="3429"/>
      <c r="Z28" s="1264" t="str">
        <f t="shared" si="15"/>
        <v>公共部分装修</v>
      </c>
      <c r="AA28" s="1264">
        <f t="shared" si="3"/>
        <v>1</v>
      </c>
      <c r="AB28" s="1264">
        <f t="shared" si="4"/>
        <v>1</v>
      </c>
      <c r="AC28" s="1264">
        <f t="shared" si="5"/>
        <v>1</v>
      </c>
    </row>
    <row r="29" spans="1:29" ht="15">
      <c r="A29" s="577"/>
      <c r="B29" s="119" t="s">
        <v>1835</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9"/>
      <c r="Q29" s="1263" t="str">
        <f t="shared" si="11"/>
        <v>成新率</v>
      </c>
      <c r="R29" s="667" t="s">
        <v>14</v>
      </c>
      <c r="S29" s="668" t="e">
        <f t="shared" si="12"/>
        <v>#N/A</v>
      </c>
      <c r="T29" s="667" t="s">
        <v>14</v>
      </c>
      <c r="U29" s="668" t="e">
        <f t="shared" si="13"/>
        <v>#N/A</v>
      </c>
      <c r="V29" s="667" t="s">
        <v>14</v>
      </c>
      <c r="W29" s="668" t="e">
        <f t="shared" si="14"/>
        <v>#N/A</v>
      </c>
      <c r="X29" s="1265"/>
      <c r="Y29" s="3429"/>
      <c r="Z29" s="1264" t="str">
        <f t="shared" si="15"/>
        <v>成新率</v>
      </c>
      <c r="AA29" s="1264" t="e">
        <f t="shared" si="3"/>
        <v>#N/A</v>
      </c>
      <c r="AB29" s="1264" t="e">
        <f t="shared" si="4"/>
        <v>#N/A</v>
      </c>
      <c r="AC29" s="1264" t="e">
        <f t="shared" si="5"/>
        <v>#N/A</v>
      </c>
    </row>
    <row r="30" spans="1:29" ht="15">
      <c r="A30" s="577"/>
      <c r="B30" s="119" t="s">
        <v>1836</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9"/>
      <c r="Q30" s="1263" t="str">
        <f t="shared" si="11"/>
        <v>物业等级</v>
      </c>
      <c r="R30" s="667" t="s">
        <v>14</v>
      </c>
      <c r="S30" s="668">
        <f t="shared" si="12"/>
        <v>100</v>
      </c>
      <c r="T30" s="667" t="s">
        <v>14</v>
      </c>
      <c r="U30" s="668">
        <f t="shared" si="13"/>
        <v>100</v>
      </c>
      <c r="V30" s="667" t="s">
        <v>14</v>
      </c>
      <c r="W30" s="668">
        <f t="shared" si="14"/>
        <v>100</v>
      </c>
      <c r="X30" s="1265"/>
      <c r="Y30" s="3429"/>
      <c r="Z30" s="1264" t="str">
        <f t="shared" si="15"/>
        <v>物业等级</v>
      </c>
      <c r="AA30" s="1264">
        <f t="shared" si="3"/>
        <v>1</v>
      </c>
      <c r="AB30" s="1264">
        <f t="shared" si="4"/>
        <v>1</v>
      </c>
      <c r="AC30" s="1264">
        <f t="shared" si="5"/>
        <v>1</v>
      </c>
    </row>
    <row r="31" spans="1:29" s="102" customFormat="1" ht="15">
      <c r="A31" s="579"/>
      <c r="B31" s="119" t="s">
        <v>1837</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9"/>
      <c r="Q31" s="530" t="str">
        <f t="shared" si="11"/>
        <v>停车位面积</v>
      </c>
      <c r="R31" s="664" t="s">
        <v>14</v>
      </c>
      <c r="S31" s="665" t="e">
        <f t="shared" si="12"/>
        <v>#N/A</v>
      </c>
      <c r="T31" s="664" t="s">
        <v>14</v>
      </c>
      <c r="U31" s="665" t="e">
        <f t="shared" si="13"/>
        <v>#N/A</v>
      </c>
      <c r="V31" s="664" t="s">
        <v>14</v>
      </c>
      <c r="W31" s="665" t="e">
        <f t="shared" si="14"/>
        <v>#N/A</v>
      </c>
      <c r="X31" s="666"/>
      <c r="Y31" s="3429"/>
      <c r="Z31" s="50" t="str">
        <f t="shared" si="15"/>
        <v>停车位面积</v>
      </c>
      <c r="AA31" s="50" t="e">
        <f t="shared" si="3"/>
        <v>#N/A</v>
      </c>
      <c r="AB31" s="50" t="e">
        <f t="shared" si="4"/>
        <v>#N/A</v>
      </c>
      <c r="AC31" s="50" t="e">
        <f t="shared" si="5"/>
        <v>#N/A</v>
      </c>
    </row>
    <row r="32" spans="1:29" ht="15">
      <c r="A32" s="577"/>
      <c r="B32" s="119" t="s">
        <v>1838</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9" t="s">
        <v>1692</v>
      </c>
      <c r="Q32" s="1263" t="str">
        <f t="shared" si="11"/>
        <v>车位类型</v>
      </c>
      <c r="R32" s="667" t="s">
        <v>14</v>
      </c>
      <c r="S32" s="668">
        <f t="shared" si="12"/>
        <v>100</v>
      </c>
      <c r="T32" s="667" t="s">
        <v>14</v>
      </c>
      <c r="U32" s="668">
        <f t="shared" si="13"/>
        <v>100</v>
      </c>
      <c r="V32" s="667" t="s">
        <v>14</v>
      </c>
      <c r="W32" s="668">
        <f t="shared" si="14"/>
        <v>100</v>
      </c>
      <c r="X32" s="1265"/>
      <c r="Y32" s="3429" t="s">
        <v>1692</v>
      </c>
      <c r="Z32" s="1264" t="str">
        <f t="shared" si="15"/>
        <v>车位类型</v>
      </c>
      <c r="AA32" s="1264">
        <f t="shared" si="3"/>
        <v>1</v>
      </c>
      <c r="AB32" s="1264">
        <f t="shared" si="4"/>
        <v>1</v>
      </c>
      <c r="AC32" s="1264">
        <f t="shared" si="5"/>
        <v>1</v>
      </c>
    </row>
    <row r="33" spans="1:29" ht="15">
      <c r="A33" s="577"/>
      <c r="B33" s="119" t="s">
        <v>1839</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9"/>
      <c r="Q33" s="1263" t="str">
        <f t="shared" si="11"/>
        <v>是否直接入户</v>
      </c>
      <c r="R33" s="667" t="s">
        <v>14</v>
      </c>
      <c r="S33" s="668">
        <f t="shared" si="12"/>
        <v>100</v>
      </c>
      <c r="T33" s="667" t="s">
        <v>14</v>
      </c>
      <c r="U33" s="668">
        <f t="shared" si="13"/>
        <v>100</v>
      </c>
      <c r="V33" s="667" t="s">
        <v>14</v>
      </c>
      <c r="W33" s="668">
        <f t="shared" si="14"/>
        <v>100</v>
      </c>
      <c r="X33" s="1265"/>
      <c r="Y33" s="342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9"/>
      <c r="Q35" s="531">
        <f t="shared" si="11"/>
        <v>111</v>
      </c>
      <c r="R35" s="669" t="s">
        <v>14</v>
      </c>
      <c r="S35" s="670">
        <f t="shared" si="12"/>
        <v>100</v>
      </c>
      <c r="T35" s="669" t="s">
        <v>14</v>
      </c>
      <c r="U35" s="670">
        <f t="shared" si="13"/>
        <v>100</v>
      </c>
      <c r="V35" s="669" t="s">
        <v>14</v>
      </c>
      <c r="W35" s="670">
        <f t="shared" si="14"/>
        <v>100</v>
      </c>
      <c r="X35" s="671"/>
      <c r="Y35" s="342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9"/>
      <c r="Q36" s="1263">
        <f t="shared" si="11"/>
        <v>111</v>
      </c>
      <c r="R36" s="667" t="s">
        <v>14</v>
      </c>
      <c r="S36" s="668">
        <f t="shared" si="12"/>
        <v>100</v>
      </c>
      <c r="T36" s="667" t="s">
        <v>14</v>
      </c>
      <c r="U36" s="668">
        <f t="shared" si="13"/>
        <v>100</v>
      </c>
      <c r="V36" s="667" t="s">
        <v>14</v>
      </c>
      <c r="W36" s="668">
        <f t="shared" si="14"/>
        <v>100</v>
      </c>
      <c r="X36" s="1265"/>
      <c r="Y36" s="3429"/>
      <c r="Z36" s="1264">
        <f t="shared" si="15"/>
        <v>111</v>
      </c>
      <c r="AA36" s="1264">
        <f t="shared" si="3"/>
        <v>1</v>
      </c>
      <c r="AB36" s="1264">
        <f t="shared" si="4"/>
        <v>1</v>
      </c>
      <c r="AC36" s="1264">
        <f t="shared" si="5"/>
        <v>1</v>
      </c>
    </row>
    <row r="37" spans="1:29" ht="15">
      <c r="A37" s="416" t="s">
        <v>1840</v>
      </c>
      <c r="B37" s="1821" t="s">
        <v>3340</v>
      </c>
      <c r="C37" s="1081" t="s">
        <v>0</v>
      </c>
      <c r="D37" s="418"/>
      <c r="E37" s="419"/>
      <c r="F37" s="420"/>
      <c r="G37" s="421"/>
      <c r="H37" s="422"/>
      <c r="I37" s="419"/>
      <c r="J37" s="422"/>
      <c r="K37" s="545"/>
      <c r="L37" s="2495"/>
      <c r="M37" s="2488"/>
      <c r="N37" s="2488"/>
      <c r="O37" s="2488"/>
      <c r="P37" s="3422" t="str">
        <f>A37</f>
        <v>成交单价</v>
      </c>
      <c r="Q37" s="3422"/>
      <c r="R37" s="3423">
        <f>E37</f>
        <v>0</v>
      </c>
      <c r="S37" s="3423"/>
      <c r="T37" s="3423">
        <f>G37</f>
        <v>0</v>
      </c>
      <c r="U37" s="3423"/>
      <c r="V37" s="3423">
        <f>I37</f>
        <v>0</v>
      </c>
      <c r="W37" s="3423"/>
      <c r="X37" s="385"/>
      <c r="Y37" s="673"/>
      <c r="Z37" s="385"/>
      <c r="AA37" s="385"/>
      <c r="AB37" s="385"/>
      <c r="AC37" s="385"/>
    </row>
    <row r="38" spans="1:29" ht="15.75" thickBot="1">
      <c r="A38" s="423" t="s">
        <v>1841</v>
      </c>
      <c r="B38" s="424" t="str">
        <f>B37</f>
        <v>元/平方米</v>
      </c>
      <c r="C38" s="1082" t="e">
        <f>R39</f>
        <v>#DIV/0!</v>
      </c>
      <c r="D38" s="2141" t="s">
        <v>2134</v>
      </c>
      <c r="E38" s="1083" t="e">
        <f>R38</f>
        <v>#DIV/0!</v>
      </c>
      <c r="F38" s="2142"/>
      <c r="G38" s="1082" t="e">
        <f>T38</f>
        <v>#DIV/0!</v>
      </c>
      <c r="H38" s="2142"/>
      <c r="I38" s="1083" t="e">
        <f>V38</f>
        <v>#DIV/0!</v>
      </c>
      <c r="J38" s="2142"/>
      <c r="K38" s="2144">
        <f>F38+H38+J38</f>
        <v>0</v>
      </c>
      <c r="L38" s="2495"/>
      <c r="M38" s="2488"/>
      <c r="N38" s="2488"/>
      <c r="O38" s="2488"/>
      <c r="P38" s="3422" t="str">
        <f>A38</f>
        <v>比较价值（元/平方米）</v>
      </c>
      <c r="Q38" s="3422"/>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5"/>
      <c r="Y38" s="385"/>
      <c r="Z38" s="385"/>
      <c r="AA38" s="385"/>
      <c r="AB38" s="385"/>
      <c r="AC38" s="385"/>
    </row>
    <row r="39" spans="1:29" ht="15.75" thickBot="1">
      <c r="A39" s="427" t="s">
        <v>1842</v>
      </c>
      <c r="B39" s="428"/>
      <c r="C39" s="351" t="e">
        <f>R39</f>
        <v>#DIV/0!</v>
      </c>
      <c r="D39" s="351"/>
      <c r="E39" s="351"/>
      <c r="F39" s="351"/>
      <c r="G39" s="351"/>
      <c r="H39" s="351"/>
      <c r="I39" s="351"/>
      <c r="J39" s="351"/>
      <c r="K39" s="546"/>
      <c r="L39" s="2495"/>
      <c r="M39" s="2488"/>
      <c r="N39" s="2488"/>
      <c r="O39" s="2488"/>
      <c r="P39" s="3419" t="str">
        <f>A39</f>
        <v>估价对象XX用房的比较价值（楼面单价，元/平方米）</v>
      </c>
      <c r="Q39" s="3420"/>
      <c r="R39" s="3480" t="e">
        <f>IF(F1="售价",ROUND(IF(D38="简单平均",AVERAGE(R38:W38),R38*F38+T38*H38+V38*J38),0),ROUND(IF(D38="简单平均",AVERAGE(R38:V38),R38*F38+T38*H38+V38*J38),1))</f>
        <v>#DIV/0!</v>
      </c>
      <c r="S39" s="3480"/>
      <c r="T39" s="3480"/>
      <c r="U39" s="3480"/>
      <c r="V39" s="3480"/>
      <c r="W39" s="348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1843</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1844</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1845</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1846</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1847</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1712</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1677</v>
      </c>
      <c r="B51" s="444"/>
      <c r="C51" s="456" t="s">
        <v>1772</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1715</v>
      </c>
      <c r="B53" s="460" t="s">
        <v>1681</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1684</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1686</v>
      </c>
      <c r="B63" s="460" t="s">
        <v>1722</v>
      </c>
      <c r="C63" s="504" t="s">
        <v>1717</v>
      </c>
      <c r="D63" s="504" t="s">
        <v>1718</v>
      </c>
      <c r="E63" s="504" t="s">
        <v>1719</v>
      </c>
      <c r="F63" s="504" t="s">
        <v>1720</v>
      </c>
      <c r="G63" s="504" t="s">
        <v>1721</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1723</v>
      </c>
      <c r="C65" s="509" t="s">
        <v>1717</v>
      </c>
      <c r="D65" s="509" t="s">
        <v>1718</v>
      </c>
      <c r="E65" s="509" t="s">
        <v>1719</v>
      </c>
      <c r="F65" s="509" t="s">
        <v>1720</v>
      </c>
      <c r="G65" s="509" t="s">
        <v>1721</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1809</v>
      </c>
      <c r="C67" s="581" t="s">
        <v>1795</v>
      </c>
      <c r="D67" s="581" t="s">
        <v>1796</v>
      </c>
      <c r="E67" s="581" t="s">
        <v>1797</v>
      </c>
      <c r="F67" s="581" t="s">
        <v>1798</v>
      </c>
      <c r="G67" s="581" t="s">
        <v>1799</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1729</v>
      </c>
      <c r="C69" s="509" t="s">
        <v>1717</v>
      </c>
      <c r="D69" s="509" t="s">
        <v>1718</v>
      </c>
      <c r="E69" s="509" t="s">
        <v>1719</v>
      </c>
      <c r="F69" s="509" t="s">
        <v>1720</v>
      </c>
      <c r="G69" s="509" t="s">
        <v>1721</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1848</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1690</v>
      </c>
      <c r="B79" s="460" t="s">
        <v>1849</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1850</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1736</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1851</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1852</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1853</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1854</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1855</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1827</v>
      </c>
      <c r="B1" s="1140" t="s">
        <v>3321</v>
      </c>
      <c r="C1" s="1141" t="s">
        <v>1658</v>
      </c>
      <c r="D1" s="1142"/>
      <c r="E1" s="3132"/>
      <c r="F1" s="1735"/>
      <c r="G1" s="1152" t="s">
        <v>1763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1458</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1459</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t="e">
        <f>IF(C2="——",C37,ROUND(B2*10000/D3,0))</f>
        <v>#DIV/0!</v>
      </c>
      <c r="C3" s="344" t="s">
        <v>1764</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437" t="s">
        <v>1766</v>
      </c>
      <c r="D4" s="3438"/>
      <c r="E4" s="3439" t="s">
        <v>1767</v>
      </c>
      <c r="F4" s="3440"/>
      <c r="G4" s="3437" t="s">
        <v>1768</v>
      </c>
      <c r="H4" s="3438"/>
      <c r="I4" s="3437" t="s">
        <v>1769</v>
      </c>
      <c r="J4" s="3438"/>
      <c r="K4" s="537" t="s">
        <v>1770</v>
      </c>
      <c r="L4" s="2487"/>
      <c r="M4" s="2488"/>
      <c r="N4" s="2488"/>
      <c r="O4" s="2488"/>
      <c r="P4" s="3441" t="s">
        <v>1771</v>
      </c>
      <c r="Q4" s="3442"/>
      <c r="R4" s="3447" t="s">
        <v>1767</v>
      </c>
      <c r="S4" s="3448"/>
      <c r="T4" s="3447" t="s">
        <v>1768</v>
      </c>
      <c r="U4" s="3448"/>
      <c r="V4" s="3423" t="s">
        <v>1769</v>
      </c>
      <c r="W4" s="3423"/>
      <c r="X4" s="1265"/>
      <c r="Y4" s="3447" t="s">
        <v>1771</v>
      </c>
      <c r="Z4" s="3448"/>
      <c r="AA4" s="3434" t="s">
        <v>1767</v>
      </c>
      <c r="AB4" s="3435" t="s">
        <v>1768</v>
      </c>
      <c r="AC4" s="3434" t="s">
        <v>1769</v>
      </c>
    </row>
    <row r="5" spans="1:29" ht="15">
      <c r="A5" s="348"/>
      <c r="B5" s="349"/>
      <c r="C5" s="3455" t="s">
        <v>1669</v>
      </c>
      <c r="D5" s="3456"/>
      <c r="E5" s="3462" t="s">
        <v>1670</v>
      </c>
      <c r="F5" s="3463"/>
      <c r="G5" s="3455" t="s">
        <v>1671</v>
      </c>
      <c r="H5" s="3456"/>
      <c r="I5" s="3455" t="s">
        <v>1672</v>
      </c>
      <c r="J5" s="3456"/>
      <c r="K5" s="537"/>
      <c r="L5" s="2487"/>
      <c r="M5" s="2488"/>
      <c r="N5" s="2488"/>
      <c r="O5" s="2488"/>
      <c r="P5" s="3443"/>
      <c r="Q5" s="3444"/>
      <c r="R5" s="3449"/>
      <c r="S5" s="3450"/>
      <c r="T5" s="3449"/>
      <c r="U5" s="3450"/>
      <c r="V5" s="3423"/>
      <c r="W5" s="3423"/>
      <c r="X5" s="1265"/>
      <c r="Y5" s="3449"/>
      <c r="Z5" s="3450"/>
      <c r="AA5" s="3435"/>
      <c r="AB5" s="3435"/>
      <c r="AC5" s="3435"/>
    </row>
    <row r="6" spans="1:29" ht="15.75" thickBot="1">
      <c r="A6" s="350"/>
      <c r="B6" s="351"/>
      <c r="C6" s="3453" t="s">
        <v>1673</v>
      </c>
      <c r="D6" s="3454"/>
      <c r="E6" s="3460" t="s">
        <v>1673</v>
      </c>
      <c r="F6" s="3461"/>
      <c r="G6" s="3453" t="s">
        <v>1673</v>
      </c>
      <c r="H6" s="3454"/>
      <c r="I6" s="3453" t="s">
        <v>1673</v>
      </c>
      <c r="J6" s="3454"/>
      <c r="K6" s="537" t="s">
        <v>1674</v>
      </c>
      <c r="L6" s="2487"/>
      <c r="M6" s="2488"/>
      <c r="N6" s="2488"/>
      <c r="O6" s="2488"/>
      <c r="P6" s="3445"/>
      <c r="Q6" s="3446"/>
      <c r="R6" s="3449"/>
      <c r="S6" s="3450"/>
      <c r="T6" s="3451"/>
      <c r="U6" s="3452"/>
      <c r="V6" s="3423"/>
      <c r="W6" s="3423"/>
      <c r="X6" s="1265"/>
      <c r="Y6" s="3451"/>
      <c r="Z6" s="3452"/>
      <c r="AA6" s="3436"/>
      <c r="AB6" s="3436"/>
      <c r="AC6" s="3436"/>
    </row>
    <row r="7" spans="1:29" s="102" customFormat="1" ht="15.75" thickBot="1">
      <c r="A7" s="352" t="s">
        <v>1675</v>
      </c>
      <c r="B7" s="353"/>
      <c r="C7" s="354">
        <f>'数据-取费表'!B2</f>
        <v>45889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57" t="s">
        <v>1676</v>
      </c>
      <c r="Q7" s="3459"/>
      <c r="R7" s="664" t="s">
        <v>14</v>
      </c>
      <c r="S7" s="665">
        <f t="shared" ref="S7:S14" si="0">F7</f>
        <v>0</v>
      </c>
      <c r="T7" s="664" t="s">
        <v>14</v>
      </c>
      <c r="U7" s="665">
        <f t="shared" ref="U7:U14" si="1">H7</f>
        <v>0</v>
      </c>
      <c r="V7" s="664" t="s">
        <v>14</v>
      </c>
      <c r="W7" s="665">
        <f t="shared" ref="W7:W14" si="2">J7</f>
        <v>0</v>
      </c>
      <c r="X7" s="666"/>
      <c r="Y7" s="3457" t="s">
        <v>1676</v>
      </c>
      <c r="Z7" s="3458"/>
      <c r="AA7" s="50" t="e">
        <f>D7/F7</f>
        <v>#DIV/0!</v>
      </c>
      <c r="AB7" s="50" t="e">
        <f>D7/H7</f>
        <v>#DIV/0!</v>
      </c>
      <c r="AC7" s="50" t="e">
        <f>D7/J7</f>
        <v>#DIV/0!</v>
      </c>
    </row>
    <row r="8" spans="1:29" s="102" customFormat="1" ht="15.75" thickBot="1">
      <c r="A8" s="352" t="s">
        <v>1677</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57" t="s">
        <v>1679</v>
      </c>
      <c r="Q8" s="3458"/>
      <c r="R8" s="664" t="s">
        <v>14</v>
      </c>
      <c r="S8" s="665">
        <f t="shared" si="0"/>
        <v>100</v>
      </c>
      <c r="T8" s="664" t="s">
        <v>14</v>
      </c>
      <c r="U8" s="665">
        <f t="shared" si="1"/>
        <v>100</v>
      </c>
      <c r="V8" s="664" t="s">
        <v>14</v>
      </c>
      <c r="W8" s="665">
        <f t="shared" si="2"/>
        <v>100</v>
      </c>
      <c r="X8" s="666"/>
      <c r="Y8" s="3457" t="s">
        <v>1679</v>
      </c>
      <c r="Z8" s="3458"/>
      <c r="AA8" s="50">
        <f t="shared" ref="AA8:AA34" si="3">D8/F8</f>
        <v>1</v>
      </c>
      <c r="AB8" s="50">
        <f t="shared" ref="AB8:AB34" si="4">D8/H8</f>
        <v>1</v>
      </c>
      <c r="AC8" s="50">
        <f t="shared" ref="AC8:AC34" si="5">D8/J8</f>
        <v>1</v>
      </c>
    </row>
    <row r="9" spans="1:29" s="102" customFormat="1">
      <c r="A9" s="359" t="s">
        <v>1680</v>
      </c>
      <c r="B9" s="60" t="s">
        <v>1681</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2" t="s">
        <v>1682</v>
      </c>
      <c r="Q9" s="530" t="str">
        <f t="shared" ref="Q9:Q14" si="6">B9</f>
        <v>用途</v>
      </c>
      <c r="R9" s="664" t="s">
        <v>14</v>
      </c>
      <c r="S9" s="665">
        <f t="shared" si="0"/>
        <v>100</v>
      </c>
      <c r="T9" s="664" t="s">
        <v>14</v>
      </c>
      <c r="U9" s="665">
        <f t="shared" si="1"/>
        <v>100</v>
      </c>
      <c r="V9" s="664" t="s">
        <v>14</v>
      </c>
      <c r="W9" s="665">
        <f t="shared" si="2"/>
        <v>100</v>
      </c>
      <c r="X9" s="666"/>
      <c r="Y9" s="3277" t="s">
        <v>1683</v>
      </c>
      <c r="Z9" s="50" t="str">
        <f t="shared" ref="Z9:Z14" si="7">Q9</f>
        <v>用途</v>
      </c>
      <c r="AA9" s="50">
        <f t="shared" si="3"/>
        <v>1</v>
      </c>
      <c r="AB9" s="50">
        <f t="shared" si="4"/>
        <v>1</v>
      </c>
      <c r="AC9" s="50">
        <f t="shared" si="5"/>
        <v>1</v>
      </c>
    </row>
    <row r="10" spans="1:29" s="366" customFormat="1" ht="27">
      <c r="A10" s="363"/>
      <c r="B10" s="364" t="s">
        <v>1684</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2"/>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
      <c r="A14" s="379" t="s">
        <v>1686</v>
      </c>
      <c r="B14" s="58" t="s">
        <v>1829</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4" t="s">
        <v>1687</v>
      </c>
      <c r="Q14" s="1263" t="str">
        <f t="shared" si="6"/>
        <v>交通便捷度</v>
      </c>
      <c r="R14" s="667" t="s">
        <v>14</v>
      </c>
      <c r="S14" s="668">
        <f t="shared" si="0"/>
        <v>100</v>
      </c>
      <c r="T14" s="667" t="s">
        <v>14</v>
      </c>
      <c r="U14" s="668">
        <f t="shared" si="1"/>
        <v>100</v>
      </c>
      <c r="V14" s="667" t="s">
        <v>14</v>
      </c>
      <c r="W14" s="668">
        <f t="shared" si="2"/>
        <v>100</v>
      </c>
      <c r="X14" s="1265"/>
      <c r="Y14" s="3424" t="s">
        <v>1687</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5"/>
      <c r="Q15" s="1263"/>
      <c r="R15" s="667"/>
      <c r="S15" s="668"/>
      <c r="T15" s="667"/>
      <c r="U15" s="668"/>
      <c r="V15" s="667"/>
      <c r="W15" s="668"/>
      <c r="X15" s="1265"/>
      <c r="Y15" s="3425"/>
      <c r="Z15" s="1264"/>
      <c r="AA15" s="1264">
        <v>1</v>
      </c>
      <c r="AB15" s="1264">
        <v>1</v>
      </c>
      <c r="AC15" s="1264">
        <v>1</v>
      </c>
    </row>
    <row r="16" spans="1:29" ht="15">
      <c r="A16" s="367"/>
      <c r="B16" s="390" t="s">
        <v>1808</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5"/>
      <c r="Q17" s="1263"/>
      <c r="R17" s="667"/>
      <c r="S17" s="668"/>
      <c r="T17" s="667"/>
      <c r="U17" s="668"/>
      <c r="V17" s="667"/>
      <c r="W17" s="668"/>
      <c r="X17" s="1265"/>
      <c r="Y17" s="3425"/>
      <c r="Z17" s="1264"/>
      <c r="AA17" s="1264">
        <v>1</v>
      </c>
      <c r="AB17" s="1264">
        <v>1</v>
      </c>
      <c r="AC17" s="1264">
        <v>1</v>
      </c>
    </row>
    <row r="18" spans="1:29" ht="15">
      <c r="A18" s="367"/>
      <c r="B18" s="586" t="s">
        <v>1809</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5"/>
      <c r="Q19" s="1263"/>
      <c r="R19" s="667"/>
      <c r="S19" s="668"/>
      <c r="T19" s="667"/>
      <c r="U19" s="668"/>
      <c r="V19" s="667"/>
      <c r="W19" s="668"/>
      <c r="X19" s="1265"/>
      <c r="Y19" s="3425"/>
      <c r="Z19" s="1264"/>
      <c r="AA19" s="1264">
        <v>1</v>
      </c>
      <c r="AB19" s="1264">
        <v>1</v>
      </c>
      <c r="AC19" s="1264">
        <v>1</v>
      </c>
    </row>
    <row r="20" spans="1:29" ht="15">
      <c r="A20" s="367"/>
      <c r="B20" s="390" t="s">
        <v>1830</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5"/>
      <c r="Q21" s="1263"/>
      <c r="R21" s="667"/>
      <c r="S21" s="668"/>
      <c r="T21" s="667"/>
      <c r="U21" s="668"/>
      <c r="V21" s="667"/>
      <c r="W21" s="668"/>
      <c r="X21" s="1265"/>
      <c r="Y21" s="3425"/>
      <c r="Z21" s="1264"/>
      <c r="AA21" s="1264">
        <v>1</v>
      </c>
      <c r="AB21" s="1264">
        <v>1</v>
      </c>
      <c r="AC21" s="1264">
        <v>1</v>
      </c>
    </row>
    <row r="22" spans="1:29" ht="15">
      <c r="A22" s="367"/>
      <c r="B22" s="390" t="s">
        <v>1831</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5"/>
      <c r="Q24" s="1263">
        <f t="shared" ref="Q24:Q34"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28.5">
      <c r="A26" s="404" t="s">
        <v>1690</v>
      </c>
      <c r="B26" s="60" t="s">
        <v>1834</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79" t="s">
        <v>1692</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9" t="s">
        <v>1692</v>
      </c>
      <c r="Z26" s="1264" t="str">
        <f t="shared" ref="Z26:Z34" si="15">Q26</f>
        <v>公共部分装修</v>
      </c>
      <c r="AA26" s="1264">
        <f t="shared" si="3"/>
        <v>1</v>
      </c>
      <c r="AB26" s="1264">
        <f t="shared" si="4"/>
        <v>1</v>
      </c>
      <c r="AC26" s="1264">
        <f t="shared" si="5"/>
        <v>1</v>
      </c>
    </row>
    <row r="27" spans="1:29" s="408" customFormat="1" ht="15">
      <c r="A27" s="406"/>
      <c r="B27" s="364" t="s">
        <v>1835</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9"/>
      <c r="Q27" s="531" t="str">
        <f t="shared" si="11"/>
        <v>成新率</v>
      </c>
      <c r="R27" s="669" t="s">
        <v>14</v>
      </c>
      <c r="S27" s="670" t="e">
        <f t="shared" si="12"/>
        <v>#N/A</v>
      </c>
      <c r="T27" s="669" t="s">
        <v>14</v>
      </c>
      <c r="U27" s="670" t="e">
        <f t="shared" si="13"/>
        <v>#N/A</v>
      </c>
      <c r="V27" s="669" t="s">
        <v>14</v>
      </c>
      <c r="W27" s="670" t="e">
        <f t="shared" si="14"/>
        <v>#N/A</v>
      </c>
      <c r="X27" s="671"/>
      <c r="Y27" s="3429"/>
      <c r="Z27" s="672" t="str">
        <f t="shared" si="15"/>
        <v>成新率</v>
      </c>
      <c r="AA27" s="1264" t="e">
        <f t="shared" si="3"/>
        <v>#N/A</v>
      </c>
      <c r="AB27" s="1264" t="e">
        <f t="shared" si="4"/>
        <v>#N/A</v>
      </c>
      <c r="AC27" s="1264" t="e">
        <f t="shared" si="5"/>
        <v>#N/A</v>
      </c>
    </row>
    <row r="28" spans="1:29" ht="15">
      <c r="A28" s="409"/>
      <c r="B28" s="364" t="s">
        <v>1836</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9"/>
      <c r="Q28" s="1263" t="str">
        <f t="shared" si="11"/>
        <v>物业等级</v>
      </c>
      <c r="R28" s="667" t="s">
        <v>14</v>
      </c>
      <c r="S28" s="668">
        <f t="shared" si="12"/>
        <v>100</v>
      </c>
      <c r="T28" s="667" t="s">
        <v>14</v>
      </c>
      <c r="U28" s="668">
        <f t="shared" si="13"/>
        <v>100</v>
      </c>
      <c r="V28" s="667" t="s">
        <v>14</v>
      </c>
      <c r="W28" s="668">
        <f t="shared" si="14"/>
        <v>100</v>
      </c>
      <c r="X28" s="1265"/>
      <c r="Y28" s="3429"/>
      <c r="Z28" s="1264" t="str">
        <f t="shared" si="15"/>
        <v>物业等级</v>
      </c>
      <c r="AA28" s="1264">
        <f t="shared" si="3"/>
        <v>1</v>
      </c>
      <c r="AB28" s="1264">
        <f t="shared" si="4"/>
        <v>1</v>
      </c>
      <c r="AC28" s="1264">
        <f t="shared" si="5"/>
        <v>1</v>
      </c>
    </row>
    <row r="29" spans="1:29" ht="15">
      <c r="A29" s="409"/>
      <c r="B29" s="364" t="s">
        <v>1856</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9"/>
      <c r="Q29" s="1263" t="str">
        <f t="shared" si="11"/>
        <v>有无电梯</v>
      </c>
      <c r="R29" s="667" t="s">
        <v>14</v>
      </c>
      <c r="S29" s="668">
        <f t="shared" si="12"/>
        <v>100</v>
      </c>
      <c r="T29" s="667" t="s">
        <v>14</v>
      </c>
      <c r="U29" s="668">
        <f t="shared" si="13"/>
        <v>100</v>
      </c>
      <c r="V29" s="667" t="s">
        <v>14</v>
      </c>
      <c r="W29" s="668">
        <f t="shared" si="14"/>
        <v>100</v>
      </c>
      <c r="X29" s="1265"/>
      <c r="Y29" s="3429"/>
      <c r="Z29" s="1264" t="str">
        <f t="shared" si="15"/>
        <v>有无电梯</v>
      </c>
      <c r="AA29" s="1264">
        <f t="shared" si="3"/>
        <v>1</v>
      </c>
      <c r="AB29" s="1264">
        <f t="shared" si="4"/>
        <v>1</v>
      </c>
      <c r="AC29" s="1264">
        <f t="shared" si="5"/>
        <v>1</v>
      </c>
    </row>
    <row r="30" spans="1:29" ht="15">
      <c r="A30" s="409"/>
      <c r="B30" s="364" t="s">
        <v>1857</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9"/>
      <c r="Q30" s="1263" t="str">
        <f t="shared" si="11"/>
        <v>建筑面积</v>
      </c>
      <c r="R30" s="667" t="s">
        <v>14</v>
      </c>
      <c r="S30" s="668" t="e">
        <f t="shared" si="12"/>
        <v>#N/A</v>
      </c>
      <c r="T30" s="667" t="s">
        <v>14</v>
      </c>
      <c r="U30" s="668" t="e">
        <f t="shared" si="13"/>
        <v>#N/A</v>
      </c>
      <c r="V30" s="667" t="s">
        <v>14</v>
      </c>
      <c r="W30" s="668" t="e">
        <f t="shared" si="14"/>
        <v>#N/A</v>
      </c>
      <c r="X30" s="1265"/>
      <c r="Y30" s="3429"/>
      <c r="Z30" s="1264" t="str">
        <f t="shared" si="15"/>
        <v>建筑面积</v>
      </c>
      <c r="AA30" s="1264" t="e">
        <f t="shared" si="3"/>
        <v>#N/A</v>
      </c>
      <c r="AB30" s="1264" t="e">
        <f t="shared" si="4"/>
        <v>#N/A</v>
      </c>
      <c r="AC30" s="1264" t="e">
        <f t="shared" si="5"/>
        <v>#N/A</v>
      </c>
    </row>
    <row r="31" spans="1:29" s="102" customFormat="1" ht="15">
      <c r="A31" s="410"/>
      <c r="B31" s="364" t="s">
        <v>1858</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9"/>
      <c r="Q31" s="530" t="str">
        <f t="shared" si="11"/>
        <v>是否封闭</v>
      </c>
      <c r="R31" s="664" t="s">
        <v>14</v>
      </c>
      <c r="S31" s="665">
        <f t="shared" si="12"/>
        <v>100</v>
      </c>
      <c r="T31" s="664" t="s">
        <v>14</v>
      </c>
      <c r="U31" s="665">
        <f t="shared" si="13"/>
        <v>100</v>
      </c>
      <c r="V31" s="664" t="s">
        <v>14</v>
      </c>
      <c r="W31" s="665">
        <f t="shared" si="14"/>
        <v>100</v>
      </c>
      <c r="X31" s="666"/>
      <c r="Y31" s="342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9" t="s">
        <v>1692</v>
      </c>
      <c r="Q32" s="1263">
        <f t="shared" si="11"/>
        <v>111</v>
      </c>
      <c r="R32" s="667" t="s">
        <v>14</v>
      </c>
      <c r="S32" s="668">
        <f t="shared" si="12"/>
        <v>100</v>
      </c>
      <c r="T32" s="667" t="s">
        <v>14</v>
      </c>
      <c r="U32" s="668">
        <f t="shared" si="13"/>
        <v>100</v>
      </c>
      <c r="V32" s="667" t="s">
        <v>14</v>
      </c>
      <c r="W32" s="668">
        <f t="shared" si="14"/>
        <v>100</v>
      </c>
      <c r="X32" s="1265"/>
      <c r="Y32" s="3429" t="s">
        <v>1692</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9"/>
      <c r="Q33" s="1263">
        <f t="shared" si="11"/>
        <v>111</v>
      </c>
      <c r="R33" s="667" t="s">
        <v>14</v>
      </c>
      <c r="S33" s="668">
        <f t="shared" si="12"/>
        <v>100</v>
      </c>
      <c r="T33" s="667" t="s">
        <v>14</v>
      </c>
      <c r="U33" s="668">
        <f t="shared" si="13"/>
        <v>100</v>
      </c>
      <c r="V33" s="667" t="s">
        <v>14</v>
      </c>
      <c r="W33" s="668">
        <f t="shared" si="14"/>
        <v>100</v>
      </c>
      <c r="X33" s="1265"/>
      <c r="Y33" s="342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30" ht="15">
      <c r="A35" s="416" t="s">
        <v>1704</v>
      </c>
      <c r="B35" s="417"/>
      <c r="C35" s="1081" t="s">
        <v>0</v>
      </c>
      <c r="D35" s="418"/>
      <c r="E35" s="419"/>
      <c r="F35" s="420"/>
      <c r="G35" s="421"/>
      <c r="H35" s="422"/>
      <c r="I35" s="419"/>
      <c r="J35" s="422"/>
      <c r="K35" s="674"/>
      <c r="L35" s="2495"/>
      <c r="M35" s="2488"/>
      <c r="N35" s="2488"/>
      <c r="O35" s="2488"/>
      <c r="P35" s="3422" t="str">
        <f>A35</f>
        <v>成交单价（元/平方米）</v>
      </c>
      <c r="Q35" s="3422"/>
      <c r="R35" s="3423">
        <f>E35</f>
        <v>0</v>
      </c>
      <c r="S35" s="3423"/>
      <c r="T35" s="3423">
        <f>G35</f>
        <v>0</v>
      </c>
      <c r="U35" s="3423"/>
      <c r="V35" s="3423">
        <f>I35</f>
        <v>0</v>
      </c>
      <c r="W35" s="3423"/>
      <c r="X35" s="385"/>
      <c r="Y35" s="673"/>
      <c r="Z35" s="385"/>
      <c r="AA35" s="385"/>
      <c r="AB35" s="385"/>
      <c r="AC35" s="385"/>
    </row>
    <row r="36" spans="1:30" ht="15.75" thickBot="1">
      <c r="A36" s="423" t="s">
        <v>1789</v>
      </c>
      <c r="B36" s="424"/>
      <c r="C36" s="1082" t="e">
        <f>R37</f>
        <v>#DIV/0!</v>
      </c>
      <c r="D36" s="2141" t="s">
        <v>2134</v>
      </c>
      <c r="E36" s="1083" t="e">
        <f>R36</f>
        <v>#DIV/0!</v>
      </c>
      <c r="F36" s="2142"/>
      <c r="G36" s="1082" t="e">
        <f>T36</f>
        <v>#DIV/0!</v>
      </c>
      <c r="H36" s="2142"/>
      <c r="I36" s="1083" t="e">
        <f>V36</f>
        <v>#DIV/0!</v>
      </c>
      <c r="J36" s="2142"/>
      <c r="K36" s="2144">
        <f>F36+H36+J36</f>
        <v>0</v>
      </c>
      <c r="L36" s="2495"/>
      <c r="M36" s="2488"/>
      <c r="N36" s="2488"/>
      <c r="O36" s="2488"/>
      <c r="P36" s="3422" t="str">
        <f>A36</f>
        <v>比较价值（元/平方米）</v>
      </c>
      <c r="Q36" s="3422"/>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5"/>
      <c r="Y36" s="385"/>
      <c r="Z36" s="385"/>
      <c r="AA36" s="385"/>
      <c r="AB36" s="385"/>
      <c r="AC36" s="385"/>
    </row>
    <row r="37" spans="1:30" ht="15.75" thickBot="1">
      <c r="A37" s="427" t="s">
        <v>1790</v>
      </c>
      <c r="B37" s="428"/>
      <c r="C37" s="351" t="e">
        <f>R37</f>
        <v>#DIV/0!</v>
      </c>
      <c r="D37" s="351"/>
      <c r="E37" s="351"/>
      <c r="F37" s="351"/>
      <c r="G37" s="351"/>
      <c r="H37" s="351"/>
      <c r="I37" s="351"/>
      <c r="J37" s="351"/>
      <c r="K37" s="675"/>
      <c r="L37" s="2495"/>
      <c r="M37" s="2488"/>
      <c r="N37" s="2488"/>
      <c r="O37" s="2488"/>
      <c r="P37" s="3419" t="str">
        <f>A37</f>
        <v>估价对象XX用房的比较价值（楼面单价，元/平方米）</v>
      </c>
      <c r="Q37" s="3420"/>
      <c r="R37" s="3480" t="e">
        <f>IF(F1="售价",ROUND(IF(D36="简单平均",AVERAGE(R36:W36),R36*F36+T36*H36+V36*J36),0),ROUND(IF(D36="简单平均",AVERAGE(R36:V36),R36*F36+T36*H36+V36*J36),1))</f>
        <v>#DIV/0!</v>
      </c>
      <c r="S37" s="3480"/>
      <c r="T37" s="3480"/>
      <c r="U37" s="3480"/>
      <c r="V37" s="3480"/>
      <c r="W37" s="348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1791</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1792</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1793</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1794</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1675</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1712</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1677</v>
      </c>
      <c r="B49" s="444"/>
      <c r="C49" s="456" t="s">
        <v>1772</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1715</v>
      </c>
      <c r="B51" s="460" t="s">
        <v>1681</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1684</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1686</v>
      </c>
      <c r="B61" s="460" t="s">
        <v>1722</v>
      </c>
      <c r="C61" s="504" t="s">
        <v>1717</v>
      </c>
      <c r="D61" s="504" t="s">
        <v>1718</v>
      </c>
      <c r="E61" s="504" t="s">
        <v>1719</v>
      </c>
      <c r="F61" s="504" t="s">
        <v>1720</v>
      </c>
      <c r="G61" s="504" t="s">
        <v>1721</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1859</v>
      </c>
      <c r="C63" s="509" t="s">
        <v>1717</v>
      </c>
      <c r="D63" s="509" t="s">
        <v>1718</v>
      </c>
      <c r="E63" s="509" t="s">
        <v>1719</v>
      </c>
      <c r="F63" s="509" t="s">
        <v>1720</v>
      </c>
      <c r="G63" s="509" t="s">
        <v>1721</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1809</v>
      </c>
      <c r="C65" s="581" t="s">
        <v>1795</v>
      </c>
      <c r="D65" s="581" t="s">
        <v>1796</v>
      </c>
      <c r="E65" s="581" t="s">
        <v>1797</v>
      </c>
      <c r="F65" s="581" t="s">
        <v>1798</v>
      </c>
      <c r="G65" s="581" t="s">
        <v>1799</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1729</v>
      </c>
      <c r="C67" s="509" t="s">
        <v>1717</v>
      </c>
      <c r="D67" s="509" t="s">
        <v>1718</v>
      </c>
      <c r="E67" s="509" t="s">
        <v>1719</v>
      </c>
      <c r="F67" s="509" t="s">
        <v>1720</v>
      </c>
      <c r="G67" s="509" t="s">
        <v>1721</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1848</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1690</v>
      </c>
      <c r="B77" s="460" t="s">
        <v>1736</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1851</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1852</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1860</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1861</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1862</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1864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437" t="s">
        <v>1766</v>
      </c>
      <c r="D4" s="3438"/>
      <c r="E4" s="3439" t="s">
        <v>1767</v>
      </c>
      <c r="F4" s="3440"/>
      <c r="G4" s="3437" t="s">
        <v>1768</v>
      </c>
      <c r="H4" s="3438"/>
      <c r="I4" s="3437" t="s">
        <v>1769</v>
      </c>
      <c r="J4" s="3438"/>
      <c r="K4" s="537" t="s">
        <v>1770</v>
      </c>
      <c r="L4" s="2487"/>
      <c r="M4" s="2488"/>
      <c r="N4" s="2488"/>
      <c r="O4" s="2488"/>
      <c r="P4" s="3441" t="s">
        <v>1771</v>
      </c>
      <c r="Q4" s="3442"/>
      <c r="R4" s="3447" t="s">
        <v>1767</v>
      </c>
      <c r="S4" s="3448"/>
      <c r="T4" s="3447" t="s">
        <v>1768</v>
      </c>
      <c r="U4" s="3448"/>
      <c r="V4" s="3423" t="s">
        <v>1769</v>
      </c>
      <c r="W4" s="3423"/>
      <c r="X4" s="1265"/>
      <c r="Y4" s="3447" t="s">
        <v>1771</v>
      </c>
      <c r="Z4" s="3448"/>
      <c r="AA4" s="3434" t="s">
        <v>1767</v>
      </c>
      <c r="AB4" s="3435" t="s">
        <v>1768</v>
      </c>
      <c r="AC4" s="3434" t="s">
        <v>1769</v>
      </c>
    </row>
    <row r="5" spans="1:29" ht="15">
      <c r="A5" s="348"/>
      <c r="B5" s="349"/>
      <c r="C5" s="3455" t="s">
        <v>1669</v>
      </c>
      <c r="D5" s="3456"/>
      <c r="E5" s="3462" t="s">
        <v>1670</v>
      </c>
      <c r="F5" s="3463"/>
      <c r="G5" s="3455" t="s">
        <v>1671</v>
      </c>
      <c r="H5" s="3456"/>
      <c r="I5" s="3455" t="s">
        <v>1672</v>
      </c>
      <c r="J5" s="3456"/>
      <c r="K5" s="537"/>
      <c r="L5" s="2487"/>
      <c r="M5" s="2488"/>
      <c r="N5" s="2488"/>
      <c r="O5" s="2488"/>
      <c r="P5" s="3443"/>
      <c r="Q5" s="3444"/>
      <c r="R5" s="3449"/>
      <c r="S5" s="3450"/>
      <c r="T5" s="3449"/>
      <c r="U5" s="3450"/>
      <c r="V5" s="3423"/>
      <c r="W5" s="3423"/>
      <c r="X5" s="1265"/>
      <c r="Y5" s="3449"/>
      <c r="Z5" s="3450"/>
      <c r="AA5" s="3435"/>
      <c r="AB5" s="3435"/>
      <c r="AC5" s="3435"/>
    </row>
    <row r="6" spans="1:29" ht="15.75" thickBot="1">
      <c r="A6" s="350"/>
      <c r="B6" s="351"/>
      <c r="C6" s="3453" t="s">
        <v>1673</v>
      </c>
      <c r="D6" s="3454"/>
      <c r="E6" s="3460" t="s">
        <v>1673</v>
      </c>
      <c r="F6" s="3461"/>
      <c r="G6" s="3453" t="s">
        <v>1673</v>
      </c>
      <c r="H6" s="3454"/>
      <c r="I6" s="3453" t="s">
        <v>1673</v>
      </c>
      <c r="J6" s="3454"/>
      <c r="K6" s="537" t="s">
        <v>1674</v>
      </c>
      <c r="L6" s="2487"/>
      <c r="M6" s="2488"/>
      <c r="N6" s="2488"/>
      <c r="O6" s="2488"/>
      <c r="P6" s="3445"/>
      <c r="Q6" s="3446"/>
      <c r="R6" s="3449"/>
      <c r="S6" s="3450"/>
      <c r="T6" s="3451"/>
      <c r="U6" s="3452"/>
      <c r="V6" s="3423"/>
      <c r="W6" s="3423"/>
      <c r="X6" s="1265"/>
      <c r="Y6" s="3451"/>
      <c r="Z6" s="3452"/>
      <c r="AA6" s="3436"/>
      <c r="AB6" s="3436"/>
      <c r="AC6" s="3436"/>
    </row>
    <row r="7" spans="1:29" s="102" customFormat="1" ht="15.75" thickBot="1">
      <c r="A7" s="352" t="s">
        <v>1675</v>
      </c>
      <c r="B7" s="353"/>
      <c r="C7" s="354">
        <f>'数据-取费表'!B2</f>
        <v>45889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57" t="s">
        <v>1676</v>
      </c>
      <c r="Q7" s="3459"/>
      <c r="R7" s="664" t="s">
        <v>14</v>
      </c>
      <c r="S7" s="665">
        <f t="shared" ref="S7:S15" si="0">F7</f>
        <v>0</v>
      </c>
      <c r="T7" s="664" t="s">
        <v>14</v>
      </c>
      <c r="U7" s="665">
        <f t="shared" ref="U7:U15" si="1">H7</f>
        <v>0</v>
      </c>
      <c r="V7" s="664" t="s">
        <v>14</v>
      </c>
      <c r="W7" s="665">
        <f t="shared" ref="W7:W15" si="2">J7</f>
        <v>0</v>
      </c>
      <c r="X7" s="666"/>
      <c r="Y7" s="3457" t="s">
        <v>1676</v>
      </c>
      <c r="Z7" s="3458"/>
      <c r="AA7" s="50" t="e">
        <f>D7/F7</f>
        <v>#DIV/0!</v>
      </c>
      <c r="AB7" s="50" t="e">
        <f>D7/H7</f>
        <v>#DIV/0!</v>
      </c>
      <c r="AC7" s="50" t="e">
        <f>D7/J7</f>
        <v>#DIV/0!</v>
      </c>
    </row>
    <row r="8" spans="1:29" s="102" customFormat="1" ht="15.75" thickBot="1">
      <c r="A8" s="352" t="s">
        <v>1677</v>
      </c>
      <c r="B8" s="353"/>
      <c r="C8" s="358" t="s">
        <v>1678</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57" t="s">
        <v>1679</v>
      </c>
      <c r="Q8" s="3458"/>
      <c r="R8" s="664" t="s">
        <v>14</v>
      </c>
      <c r="S8" s="665">
        <f t="shared" si="0"/>
        <v>0</v>
      </c>
      <c r="T8" s="664" t="s">
        <v>14</v>
      </c>
      <c r="U8" s="665">
        <f t="shared" si="1"/>
        <v>0</v>
      </c>
      <c r="V8" s="664" t="s">
        <v>14</v>
      </c>
      <c r="W8" s="665">
        <f t="shared" si="2"/>
        <v>0</v>
      </c>
      <c r="X8" s="666"/>
      <c r="Y8" s="3457" t="s">
        <v>1679</v>
      </c>
      <c r="Z8" s="3458"/>
      <c r="AA8" s="50" t="e">
        <f t="shared" ref="AA8:AA45" si="3">D8/F8</f>
        <v>#DIV/0!</v>
      </c>
      <c r="AB8" s="50" t="e">
        <f t="shared" ref="AB8:AB45" si="4">D8/H8</f>
        <v>#DIV/0!</v>
      </c>
      <c r="AC8" s="50" t="e">
        <f t="shared" ref="AC8:AC45" si="5">D8/J8</f>
        <v>#DIV/0!</v>
      </c>
    </row>
    <row r="9" spans="1:29" s="102" customFormat="1">
      <c r="A9" s="359" t="s">
        <v>1680</v>
      </c>
      <c r="B9" s="60" t="s">
        <v>1681</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2" t="s">
        <v>1682</v>
      </c>
      <c r="Q9" s="530" t="str">
        <f t="shared" ref="Q9:Q15" si="6">B9</f>
        <v>用途</v>
      </c>
      <c r="R9" s="664" t="s">
        <v>14</v>
      </c>
      <c r="S9" s="665">
        <f t="shared" si="0"/>
        <v>100</v>
      </c>
      <c r="T9" s="664" t="s">
        <v>14</v>
      </c>
      <c r="U9" s="665">
        <f t="shared" si="1"/>
        <v>100</v>
      </c>
      <c r="V9" s="664" t="s">
        <v>14</v>
      </c>
      <c r="W9" s="665">
        <f t="shared" si="2"/>
        <v>100</v>
      </c>
      <c r="X9" s="666"/>
      <c r="Y9" s="3277" t="s">
        <v>1683</v>
      </c>
      <c r="Z9" s="50" t="str">
        <f t="shared" ref="Z9:Z15" si="7">Q9</f>
        <v>用途</v>
      </c>
      <c r="AA9" s="50">
        <f t="shared" si="3"/>
        <v>1</v>
      </c>
      <c r="AB9" s="50">
        <f t="shared" si="4"/>
        <v>1</v>
      </c>
      <c r="AC9" s="50">
        <f t="shared" si="5"/>
        <v>1</v>
      </c>
    </row>
    <row r="10" spans="1:29" s="366" customFormat="1" ht="27">
      <c r="A10" s="363"/>
      <c r="B10" s="364" t="s">
        <v>1684</v>
      </c>
      <c r="C10" s="371"/>
      <c r="D10" s="119">
        <v>100</v>
      </c>
      <c r="E10" s="403"/>
      <c r="F10" s="119">
        <f>ROUND(100/'数据-取费表'!G16,0)</f>
        <v>142</v>
      </c>
      <c r="G10" s="402"/>
      <c r="H10" s="119">
        <f>ROUND(100/'数据-取费表'!G16,0)</f>
        <v>142</v>
      </c>
      <c r="I10" s="402"/>
      <c r="J10" s="119">
        <f>ROUND(100/'数据-取费表'!G16,0)</f>
        <v>142</v>
      </c>
      <c r="K10" s="592"/>
      <c r="L10" s="2490"/>
      <c r="M10" s="2491"/>
      <c r="N10" s="2491"/>
      <c r="O10" s="2542"/>
      <c r="P10" s="3422"/>
      <c r="Q10" s="530" t="str">
        <f t="shared" si="6"/>
        <v>土地使用年限（年）</v>
      </c>
      <c r="R10" s="664" t="s">
        <v>14</v>
      </c>
      <c r="S10" s="665">
        <f t="shared" si="0"/>
        <v>142</v>
      </c>
      <c r="T10" s="664" t="s">
        <v>14</v>
      </c>
      <c r="U10" s="665">
        <f t="shared" si="1"/>
        <v>142</v>
      </c>
      <c r="V10" s="664" t="s">
        <v>14</v>
      </c>
      <c r="W10" s="665">
        <f t="shared" si="2"/>
        <v>142</v>
      </c>
      <c r="X10" s="666"/>
      <c r="Y10" s="3277"/>
      <c r="Z10" s="50" t="str">
        <f t="shared" si="7"/>
        <v>土地使用年限（年）</v>
      </c>
      <c r="AA10" s="50">
        <f t="shared" si="3"/>
        <v>0.70422535211267601</v>
      </c>
      <c r="AB10" s="50">
        <f t="shared" si="4"/>
        <v>0.70422535211267601</v>
      </c>
      <c r="AC10" s="50">
        <f t="shared" si="5"/>
        <v>0.70422535211267601</v>
      </c>
    </row>
    <row r="11" spans="1:29" ht="15">
      <c r="A11" s="367"/>
      <c r="B11" s="364" t="s">
        <v>1685</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2"/>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t="s">
        <v>1866</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2"/>
      <c r="Q12" s="530" t="str">
        <f t="shared" si="6"/>
        <v>配建</v>
      </c>
      <c r="R12" s="664" t="s">
        <v>14</v>
      </c>
      <c r="S12" s="665">
        <f t="shared" si="0"/>
        <v>100</v>
      </c>
      <c r="T12" s="664" t="s">
        <v>14</v>
      </c>
      <c r="U12" s="665">
        <f t="shared" si="1"/>
        <v>100</v>
      </c>
      <c r="V12" s="664" t="s">
        <v>14</v>
      </c>
      <c r="W12" s="665">
        <f t="shared" si="2"/>
        <v>100</v>
      </c>
      <c r="X12" s="666"/>
      <c r="Y12" s="327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2"/>
      <c r="Q13" s="530">
        <f t="shared" si="6"/>
        <v>111</v>
      </c>
      <c r="R13" s="664" t="s">
        <v>14</v>
      </c>
      <c r="S13" s="665">
        <f t="shared" si="0"/>
        <v>100</v>
      </c>
      <c r="T13" s="664" t="s">
        <v>14</v>
      </c>
      <c r="U13" s="665">
        <f t="shared" si="1"/>
        <v>100</v>
      </c>
      <c r="V13" s="664" t="s">
        <v>14</v>
      </c>
      <c r="W13" s="665">
        <f t="shared" si="2"/>
        <v>100</v>
      </c>
      <c r="X13" s="666"/>
      <c r="Y13" s="327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2"/>
      <c r="Q14" s="530">
        <f t="shared" si="6"/>
        <v>111</v>
      </c>
      <c r="R14" s="664" t="s">
        <v>14</v>
      </c>
      <c r="S14" s="665">
        <f t="shared" si="0"/>
        <v>100</v>
      </c>
      <c r="T14" s="664" t="s">
        <v>14</v>
      </c>
      <c r="U14" s="665">
        <f t="shared" si="1"/>
        <v>100</v>
      </c>
      <c r="V14" s="664" t="s">
        <v>14</v>
      </c>
      <c r="W14" s="665">
        <f t="shared" si="2"/>
        <v>100</v>
      </c>
      <c r="X14" s="666"/>
      <c r="Y14" s="3277"/>
      <c r="Z14" s="50">
        <f t="shared" si="7"/>
        <v>111</v>
      </c>
      <c r="AA14" s="50">
        <f>D14/F14</f>
        <v>1</v>
      </c>
      <c r="AB14" s="50">
        <f>D14/H14</f>
        <v>1</v>
      </c>
      <c r="AC14" s="50">
        <f>D14/J14</f>
        <v>1</v>
      </c>
    </row>
    <row r="15" spans="1:29" ht="15">
      <c r="A15" s="379" t="s">
        <v>1686</v>
      </c>
      <c r="B15" s="58" t="s">
        <v>1253</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4" t="s">
        <v>1687</v>
      </c>
      <c r="Q15" s="1263" t="str">
        <f t="shared" si="6"/>
        <v>居住社区成熟度</v>
      </c>
      <c r="R15" s="667" t="s">
        <v>14</v>
      </c>
      <c r="S15" s="668">
        <f t="shared" si="0"/>
        <v>100</v>
      </c>
      <c r="T15" s="667" t="s">
        <v>14</v>
      </c>
      <c r="U15" s="668">
        <f t="shared" si="1"/>
        <v>100</v>
      </c>
      <c r="V15" s="667" t="s">
        <v>14</v>
      </c>
      <c r="W15" s="668">
        <f t="shared" si="2"/>
        <v>100</v>
      </c>
      <c r="X15" s="1265"/>
      <c r="Y15" s="3424" t="s">
        <v>1687</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5"/>
      <c r="Q16" s="1263"/>
      <c r="R16" s="667"/>
      <c r="S16" s="668"/>
      <c r="T16" s="667"/>
      <c r="U16" s="668"/>
      <c r="V16" s="667"/>
      <c r="W16" s="668"/>
      <c r="X16" s="1265"/>
      <c r="Y16" s="3425"/>
      <c r="Z16" s="1264"/>
      <c r="AA16" s="1264">
        <v>1</v>
      </c>
      <c r="AB16" s="1264">
        <v>1</v>
      </c>
      <c r="AC16" s="1264">
        <v>1</v>
      </c>
    </row>
    <row r="17" spans="1:29" ht="15">
      <c r="A17" s="367"/>
      <c r="B17" s="390" t="s">
        <v>1773</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5"/>
      <c r="Q17" s="1263" t="str">
        <f>B17</f>
        <v>商业繁华度</v>
      </c>
      <c r="R17" s="667" t="s">
        <v>14</v>
      </c>
      <c r="S17" s="668">
        <f>F17</f>
        <v>100</v>
      </c>
      <c r="T17" s="667" t="s">
        <v>14</v>
      </c>
      <c r="U17" s="668">
        <f>H17</f>
        <v>100</v>
      </c>
      <c r="V17" s="667" t="s">
        <v>14</v>
      </c>
      <c r="W17" s="668">
        <f>J17</f>
        <v>100</v>
      </c>
      <c r="X17" s="1265"/>
      <c r="Y17" s="342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5"/>
      <c r="Q18" s="1263"/>
      <c r="R18" s="667"/>
      <c r="S18" s="668"/>
      <c r="T18" s="667"/>
      <c r="U18" s="668"/>
      <c r="V18" s="667"/>
      <c r="W18" s="668"/>
      <c r="X18" s="1265"/>
      <c r="Y18" s="3425"/>
      <c r="Z18" s="1264"/>
      <c r="AA18" s="1264">
        <v>1</v>
      </c>
      <c r="AB18" s="1264">
        <v>1</v>
      </c>
      <c r="AC18" s="1264">
        <v>1</v>
      </c>
    </row>
    <row r="19" spans="1:29" ht="15">
      <c r="A19" s="367"/>
      <c r="B19" s="390" t="s">
        <v>1807</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5"/>
      <c r="Q19" s="1263" t="str">
        <f>B19</f>
        <v>办公集聚程度</v>
      </c>
      <c r="R19" s="667" t="s">
        <v>14</v>
      </c>
      <c r="S19" s="668">
        <f>F19</f>
        <v>100</v>
      </c>
      <c r="T19" s="667" t="s">
        <v>14</v>
      </c>
      <c r="U19" s="668">
        <f>H19</f>
        <v>100</v>
      </c>
      <c r="V19" s="667" t="s">
        <v>14</v>
      </c>
      <c r="W19" s="668">
        <f>J19</f>
        <v>100</v>
      </c>
      <c r="X19" s="1265"/>
      <c r="Y19" s="342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5"/>
      <c r="Q20" s="1263"/>
      <c r="R20" s="667"/>
      <c r="S20" s="668"/>
      <c r="T20" s="667"/>
      <c r="U20" s="668"/>
      <c r="V20" s="667"/>
      <c r="W20" s="668"/>
      <c r="X20" s="1265"/>
      <c r="Y20" s="3425"/>
      <c r="Z20" s="1264"/>
      <c r="AA20" s="1264">
        <v>1</v>
      </c>
      <c r="AB20" s="1264">
        <v>1</v>
      </c>
      <c r="AC20" s="1264">
        <v>1</v>
      </c>
    </row>
    <row r="21" spans="1:29" ht="15">
      <c r="A21" s="367"/>
      <c r="B21" s="390" t="s">
        <v>1829</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5"/>
      <c r="Q21" s="1263" t="str">
        <f>B21</f>
        <v>交通便捷度</v>
      </c>
      <c r="R21" s="667" t="s">
        <v>14</v>
      </c>
      <c r="S21" s="668">
        <f>F21</f>
        <v>100</v>
      </c>
      <c r="T21" s="667" t="s">
        <v>14</v>
      </c>
      <c r="U21" s="668">
        <f>H21</f>
        <v>100</v>
      </c>
      <c r="V21" s="667" t="s">
        <v>14</v>
      </c>
      <c r="W21" s="668">
        <f>J21</f>
        <v>100</v>
      </c>
      <c r="X21" s="1265"/>
      <c r="Y21" s="342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5"/>
      <c r="Q22" s="1263"/>
      <c r="R22" s="667"/>
      <c r="S22" s="668"/>
      <c r="T22" s="667"/>
      <c r="U22" s="668"/>
      <c r="V22" s="667"/>
      <c r="W22" s="668"/>
      <c r="X22" s="1265"/>
      <c r="Y22" s="3425"/>
      <c r="Z22" s="1264"/>
      <c r="AA22" s="1264">
        <v>1</v>
      </c>
      <c r="AB22" s="1264">
        <v>1</v>
      </c>
      <c r="AC22" s="1264">
        <v>1</v>
      </c>
    </row>
    <row r="23" spans="1:29" ht="15">
      <c r="A23" s="348"/>
      <c r="B23" s="390" t="s">
        <v>1867</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5"/>
      <c r="Q23" s="1263" t="str">
        <f t="shared" ref="Q23:Q37" si="8">B23</f>
        <v>区域土地利用方向</v>
      </c>
      <c r="R23" s="667" t="s">
        <v>14</v>
      </c>
      <c r="S23" s="668">
        <f>F23</f>
        <v>100</v>
      </c>
      <c r="T23" s="667" t="s">
        <v>14</v>
      </c>
      <c r="U23" s="668">
        <f>H23</f>
        <v>100</v>
      </c>
      <c r="V23" s="667" t="s">
        <v>14</v>
      </c>
      <c r="W23" s="668">
        <f>J23</f>
        <v>100</v>
      </c>
      <c r="X23" s="1265"/>
      <c r="Y23" s="342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5"/>
      <c r="Q24" s="1263"/>
      <c r="R24" s="667"/>
      <c r="S24" s="668"/>
      <c r="T24" s="667"/>
      <c r="U24" s="668"/>
      <c r="V24" s="667"/>
      <c r="W24" s="668"/>
      <c r="X24" s="1265"/>
      <c r="Y24" s="3425"/>
      <c r="Z24" s="1264"/>
      <c r="AA24" s="1264"/>
      <c r="AB24" s="1264"/>
      <c r="AC24" s="1264"/>
    </row>
    <row r="25" spans="1:29" ht="27">
      <c r="A25" s="348"/>
      <c r="B25" s="586" t="s">
        <v>1868</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5"/>
      <c r="Q25" s="1263" t="str">
        <f t="shared" si="8"/>
        <v>自然及人文环境状况</v>
      </c>
      <c r="R25" s="667" t="s">
        <v>14</v>
      </c>
      <c r="S25" s="668">
        <f>F25</f>
        <v>100</v>
      </c>
      <c r="T25" s="667" t="s">
        <v>14</v>
      </c>
      <c r="U25" s="668">
        <f>H25</f>
        <v>100</v>
      </c>
      <c r="V25" s="667" t="s">
        <v>14</v>
      </c>
      <c r="W25" s="668">
        <f>J25</f>
        <v>100</v>
      </c>
      <c r="X25" s="1265"/>
      <c r="Y25" s="342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5"/>
      <c r="Q26" s="1263"/>
      <c r="R26" s="667"/>
      <c r="S26" s="668"/>
      <c r="T26" s="667"/>
      <c r="U26" s="668"/>
      <c r="V26" s="667"/>
      <c r="W26" s="668"/>
      <c r="X26" s="1265"/>
      <c r="Y26" s="3425"/>
      <c r="Z26" s="1264"/>
      <c r="AA26" s="1264">
        <v>1</v>
      </c>
      <c r="AB26" s="1264">
        <v>1</v>
      </c>
      <c r="AC26" s="1264">
        <v>1</v>
      </c>
    </row>
    <row r="27" spans="1:29" s="102" customFormat="1" ht="15">
      <c r="A27" s="443"/>
      <c r="B27" s="586" t="s">
        <v>1774</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5"/>
      <c r="Q28" s="530"/>
      <c r="R28" s="664"/>
      <c r="S28" s="665"/>
      <c r="T28" s="664"/>
      <c r="U28" s="665"/>
      <c r="V28" s="664"/>
      <c r="W28" s="665"/>
      <c r="X28" s="666"/>
      <c r="Y28" s="3425"/>
      <c r="Z28" s="50"/>
      <c r="AA28" s="1264">
        <v>1</v>
      </c>
      <c r="AB28" s="1264">
        <v>1</v>
      </c>
      <c r="AC28" s="1264">
        <v>1</v>
      </c>
    </row>
    <row r="29" spans="1:29" s="102" customFormat="1" ht="15">
      <c r="A29" s="443"/>
      <c r="B29" s="586" t="s">
        <v>1775</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5"/>
      <c r="Q30" s="530"/>
      <c r="R30" s="664"/>
      <c r="S30" s="665"/>
      <c r="T30" s="664"/>
      <c r="U30" s="665"/>
      <c r="V30" s="664"/>
      <c r="W30" s="665"/>
      <c r="X30" s="666"/>
      <c r="Y30" s="3425"/>
      <c r="Z30" s="50"/>
      <c r="AA30" s="1264">
        <v>1</v>
      </c>
      <c r="AB30" s="1264">
        <v>1</v>
      </c>
      <c r="AC30" s="1264">
        <v>1</v>
      </c>
    </row>
    <row r="31" spans="1:29" ht="15">
      <c r="A31" s="367"/>
      <c r="B31" s="395" t="s">
        <v>1776</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5"/>
      <c r="Z31" s="1264" t="str">
        <f t="shared" ref="Z31:Z45" si="13">Q31</f>
        <v>临街状况</v>
      </c>
      <c r="AA31" s="1264">
        <f t="shared" si="3"/>
        <v>1</v>
      </c>
      <c r="AB31" s="1264">
        <f t="shared" si="4"/>
        <v>1</v>
      </c>
      <c r="AC31" s="1264">
        <f t="shared" si="5"/>
        <v>1</v>
      </c>
    </row>
    <row r="32" spans="1:29" ht="27">
      <c r="A32" s="367"/>
      <c r="B32" s="586" t="s">
        <v>1811</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5"/>
      <c r="Q32" s="1263" t="str">
        <f t="shared" si="8"/>
        <v>毗邻道路的类型与等级</v>
      </c>
      <c r="R32" s="667" t="s">
        <v>14</v>
      </c>
      <c r="S32" s="668">
        <f t="shared" si="10"/>
        <v>100</v>
      </c>
      <c r="T32" s="667" t="s">
        <v>14</v>
      </c>
      <c r="U32" s="668">
        <f t="shared" si="11"/>
        <v>100</v>
      </c>
      <c r="V32" s="667" t="s">
        <v>14</v>
      </c>
      <c r="W32" s="668">
        <f t="shared" si="12"/>
        <v>100</v>
      </c>
      <c r="X32" s="1265"/>
      <c r="Y32" s="342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5"/>
      <c r="Q33" s="1263"/>
      <c r="R33" s="667"/>
      <c r="S33" s="668"/>
      <c r="T33" s="667"/>
      <c r="U33" s="668"/>
      <c r="V33" s="667"/>
      <c r="W33" s="668"/>
      <c r="X33" s="1265"/>
      <c r="Y33" s="3425"/>
      <c r="Z33" s="1264"/>
      <c r="AA33" s="1264">
        <v>1</v>
      </c>
      <c r="AB33" s="1264">
        <v>1</v>
      </c>
      <c r="AC33" s="1264">
        <v>1</v>
      </c>
    </row>
    <row r="34" spans="1:29" ht="15">
      <c r="A34" s="367"/>
      <c r="B34" s="364" t="s">
        <v>1869</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5"/>
      <c r="Q34" s="1263" t="str">
        <f t="shared" si="8"/>
        <v>土地级别</v>
      </c>
      <c r="R34" s="667" t="s">
        <v>14</v>
      </c>
      <c r="S34" s="668">
        <f t="shared" si="10"/>
        <v>100</v>
      </c>
      <c r="T34" s="667" t="s">
        <v>14</v>
      </c>
      <c r="U34" s="668">
        <f t="shared" si="11"/>
        <v>100</v>
      </c>
      <c r="V34" s="667" t="s">
        <v>14</v>
      </c>
      <c r="W34" s="668">
        <f t="shared" si="12"/>
        <v>100</v>
      </c>
      <c r="X34" s="1265"/>
      <c r="Y34" s="342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5"/>
      <c r="Q35" s="1263">
        <f t="shared" si="8"/>
        <v>111</v>
      </c>
      <c r="R35" s="667" t="s">
        <v>14</v>
      </c>
      <c r="S35" s="668">
        <f t="shared" si="10"/>
        <v>100</v>
      </c>
      <c r="T35" s="667" t="s">
        <v>14</v>
      </c>
      <c r="U35" s="668">
        <f t="shared" si="11"/>
        <v>100</v>
      </c>
      <c r="V35" s="667" t="s">
        <v>14</v>
      </c>
      <c r="W35" s="668">
        <f t="shared" si="12"/>
        <v>100</v>
      </c>
      <c r="X35" s="1265"/>
      <c r="Y35" s="342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79" t="s">
        <v>1692</v>
      </c>
      <c r="Q36" s="1263">
        <f t="shared" si="8"/>
        <v>111</v>
      </c>
      <c r="R36" s="667" t="s">
        <v>14</v>
      </c>
      <c r="S36" s="668">
        <f t="shared" si="10"/>
        <v>100</v>
      </c>
      <c r="T36" s="667" t="s">
        <v>14</v>
      </c>
      <c r="U36" s="668">
        <f t="shared" si="11"/>
        <v>100</v>
      </c>
      <c r="V36" s="667" t="s">
        <v>14</v>
      </c>
      <c r="W36" s="668">
        <f t="shared" si="12"/>
        <v>100</v>
      </c>
      <c r="X36" s="1265"/>
      <c r="Y36" s="3429" t="s">
        <v>1692</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9"/>
      <c r="Q37" s="1263">
        <f t="shared" si="8"/>
        <v>111</v>
      </c>
      <c r="R37" s="669" t="s">
        <v>14</v>
      </c>
      <c r="S37" s="670">
        <f t="shared" si="10"/>
        <v>100</v>
      </c>
      <c r="T37" s="669" t="s">
        <v>14</v>
      </c>
      <c r="U37" s="670">
        <f t="shared" si="11"/>
        <v>100</v>
      </c>
      <c r="V37" s="669" t="s">
        <v>14</v>
      </c>
      <c r="W37" s="670">
        <f t="shared" si="12"/>
        <v>100</v>
      </c>
      <c r="X37" s="671"/>
      <c r="Y37" s="3429"/>
      <c r="Z37" s="672">
        <f t="shared" si="13"/>
        <v>111</v>
      </c>
      <c r="AA37" s="1264">
        <f t="shared" si="3"/>
        <v>1</v>
      </c>
      <c r="AB37" s="1264">
        <f t="shared" si="4"/>
        <v>1</v>
      </c>
      <c r="AC37" s="1264">
        <f t="shared" si="5"/>
        <v>1</v>
      </c>
    </row>
    <row r="38" spans="1:29" ht="15">
      <c r="A38" s="409" t="s">
        <v>1690</v>
      </c>
      <c r="B38" s="395" t="s">
        <v>1870</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9"/>
      <c r="Q38" s="1263" t="str">
        <f>B38</f>
        <v>宗地面积</v>
      </c>
      <c r="R38" s="667" t="s">
        <v>14</v>
      </c>
      <c r="S38" s="668" t="e">
        <f t="shared" si="10"/>
        <v>#N/A</v>
      </c>
      <c r="T38" s="667" t="s">
        <v>14</v>
      </c>
      <c r="U38" s="668" t="e">
        <f t="shared" si="11"/>
        <v>#N/A</v>
      </c>
      <c r="V38" s="667" t="s">
        <v>14</v>
      </c>
      <c r="W38" s="668" t="e">
        <f t="shared" si="12"/>
        <v>#N/A</v>
      </c>
      <c r="X38" s="1265"/>
      <c r="Y38" s="3429"/>
      <c r="Z38" s="1264" t="str">
        <f t="shared" si="13"/>
        <v>宗地面积</v>
      </c>
      <c r="AA38" s="1264" t="e">
        <f t="shared" si="3"/>
        <v>#N/A</v>
      </c>
      <c r="AB38" s="1264" t="e">
        <f t="shared" si="4"/>
        <v>#N/A</v>
      </c>
      <c r="AC38" s="1264" t="e">
        <f t="shared" si="5"/>
        <v>#N/A</v>
      </c>
    </row>
    <row r="39" spans="1:29" ht="15">
      <c r="A39" s="409"/>
      <c r="B39" s="364" t="s">
        <v>1871</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9"/>
      <c r="Q39" s="1263" t="str">
        <f t="shared" ref="Q39:Q45" si="14">B39</f>
        <v>宗地形状</v>
      </c>
      <c r="R39" s="667" t="s">
        <v>14</v>
      </c>
      <c r="S39" s="668">
        <f t="shared" si="10"/>
        <v>100</v>
      </c>
      <c r="T39" s="667" t="s">
        <v>14</v>
      </c>
      <c r="U39" s="668">
        <f t="shared" si="11"/>
        <v>100</v>
      </c>
      <c r="V39" s="667" t="s">
        <v>14</v>
      </c>
      <c r="W39" s="668">
        <f t="shared" si="12"/>
        <v>100</v>
      </c>
      <c r="X39" s="1265"/>
      <c r="Y39" s="3429"/>
      <c r="Z39" s="1264" t="str">
        <f t="shared" si="13"/>
        <v>宗地形状</v>
      </c>
      <c r="AA39" s="1264">
        <f t="shared" si="3"/>
        <v>1</v>
      </c>
      <c r="AB39" s="1264">
        <f t="shared" si="4"/>
        <v>1</v>
      </c>
      <c r="AC39" s="1264">
        <f t="shared" si="5"/>
        <v>1</v>
      </c>
    </row>
    <row r="40" spans="1:29" ht="15">
      <c r="A40" s="409"/>
      <c r="B40" s="364" t="s">
        <v>1872</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9"/>
      <c r="Q40" s="1263" t="str">
        <f t="shared" si="14"/>
        <v>临街宽度及深度</v>
      </c>
      <c r="R40" s="667" t="s">
        <v>14</v>
      </c>
      <c r="S40" s="668">
        <f t="shared" si="10"/>
        <v>100</v>
      </c>
      <c r="T40" s="667" t="s">
        <v>14</v>
      </c>
      <c r="U40" s="668">
        <f t="shared" si="11"/>
        <v>100</v>
      </c>
      <c r="V40" s="667" t="s">
        <v>14</v>
      </c>
      <c r="W40" s="668">
        <f t="shared" si="12"/>
        <v>100</v>
      </c>
      <c r="X40" s="1265"/>
      <c r="Y40" s="3429"/>
      <c r="Z40" s="1264" t="str">
        <f t="shared" si="13"/>
        <v>临街宽度及深度</v>
      </c>
      <c r="AA40" s="1264">
        <f t="shared" si="3"/>
        <v>1</v>
      </c>
      <c r="AB40" s="1264">
        <f t="shared" si="4"/>
        <v>1</v>
      </c>
      <c r="AC40" s="1264">
        <f t="shared" si="5"/>
        <v>1</v>
      </c>
    </row>
    <row r="41" spans="1:29" s="102" customFormat="1" ht="15">
      <c r="A41" s="410"/>
      <c r="B41" s="364" t="s">
        <v>1873</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9"/>
      <c r="Q41" s="1263" t="str">
        <f t="shared" si="14"/>
        <v>宗地开发程度</v>
      </c>
      <c r="R41" s="664" t="s">
        <v>14</v>
      </c>
      <c r="S41" s="665">
        <f t="shared" si="10"/>
        <v>100</v>
      </c>
      <c r="T41" s="664" t="s">
        <v>14</v>
      </c>
      <c r="U41" s="665">
        <f t="shared" si="11"/>
        <v>100</v>
      </c>
      <c r="V41" s="664" t="s">
        <v>14</v>
      </c>
      <c r="W41" s="665">
        <f t="shared" si="12"/>
        <v>100</v>
      </c>
      <c r="X41" s="666"/>
      <c r="Y41" s="3429"/>
      <c r="Z41" s="50" t="str">
        <f t="shared" si="13"/>
        <v>宗地开发程度</v>
      </c>
      <c r="AA41" s="50">
        <f t="shared" si="3"/>
        <v>1</v>
      </c>
      <c r="AB41" s="50">
        <f t="shared" si="4"/>
        <v>1</v>
      </c>
      <c r="AC41" s="50">
        <f t="shared" si="5"/>
        <v>1</v>
      </c>
    </row>
    <row r="42" spans="1:29" ht="15">
      <c r="A42" s="409"/>
      <c r="B42" s="364" t="s">
        <v>1874</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9" t="s">
        <v>1692</v>
      </c>
      <c r="Q42" s="1263" t="str">
        <f t="shared" si="14"/>
        <v>工程地质条件</v>
      </c>
      <c r="R42" s="667" t="s">
        <v>14</v>
      </c>
      <c r="S42" s="668">
        <f t="shared" si="10"/>
        <v>100</v>
      </c>
      <c r="T42" s="667" t="s">
        <v>14</v>
      </c>
      <c r="U42" s="668">
        <f t="shared" si="11"/>
        <v>100</v>
      </c>
      <c r="V42" s="667" t="s">
        <v>14</v>
      </c>
      <c r="W42" s="668">
        <f t="shared" si="12"/>
        <v>100</v>
      </c>
      <c r="X42" s="1265"/>
      <c r="Y42" s="3429" t="s">
        <v>1692</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9"/>
      <c r="Q43" s="1263">
        <f t="shared" si="14"/>
        <v>111</v>
      </c>
      <c r="R43" s="667" t="s">
        <v>14</v>
      </c>
      <c r="S43" s="668">
        <f t="shared" si="10"/>
        <v>100</v>
      </c>
      <c r="T43" s="667" t="s">
        <v>14</v>
      </c>
      <c r="U43" s="668">
        <f t="shared" si="11"/>
        <v>100</v>
      </c>
      <c r="V43" s="667" t="s">
        <v>14</v>
      </c>
      <c r="W43" s="668">
        <f t="shared" si="12"/>
        <v>100</v>
      </c>
      <c r="X43" s="1265"/>
      <c r="Y43" s="342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9"/>
      <c r="Q44" s="1263">
        <f t="shared" si="14"/>
        <v>111</v>
      </c>
      <c r="R44" s="667" t="s">
        <v>14</v>
      </c>
      <c r="S44" s="668">
        <f t="shared" si="10"/>
        <v>100</v>
      </c>
      <c r="T44" s="667" t="s">
        <v>14</v>
      </c>
      <c r="U44" s="668">
        <f t="shared" si="11"/>
        <v>100</v>
      </c>
      <c r="V44" s="667" t="s">
        <v>14</v>
      </c>
      <c r="W44" s="668">
        <f t="shared" si="12"/>
        <v>100</v>
      </c>
      <c r="X44" s="1265"/>
      <c r="Y44" s="342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9"/>
      <c r="Q45" s="1263">
        <f t="shared" si="14"/>
        <v>111</v>
      </c>
      <c r="R45" s="669" t="s">
        <v>14</v>
      </c>
      <c r="S45" s="670">
        <f t="shared" si="10"/>
        <v>100</v>
      </c>
      <c r="T45" s="669" t="s">
        <v>14</v>
      </c>
      <c r="U45" s="670">
        <f t="shared" si="11"/>
        <v>100</v>
      </c>
      <c r="V45" s="669" t="s">
        <v>14</v>
      </c>
      <c r="W45" s="670">
        <f t="shared" si="12"/>
        <v>100</v>
      </c>
      <c r="X45" s="671"/>
      <c r="Y45" s="3429"/>
      <c r="Z45" s="672">
        <f t="shared" si="13"/>
        <v>111</v>
      </c>
      <c r="AA45" s="1264">
        <f t="shared" si="3"/>
        <v>1</v>
      </c>
      <c r="AB45" s="1264">
        <f t="shared" si="4"/>
        <v>1</v>
      </c>
      <c r="AC45" s="1264">
        <f t="shared" si="5"/>
        <v>1</v>
      </c>
    </row>
    <row r="46" spans="1:29" ht="15">
      <c r="A46" s="416" t="s">
        <v>1840</v>
      </c>
      <c r="B46" s="1830" t="s">
        <v>1875</v>
      </c>
      <c r="C46" s="602" t="s">
        <v>0</v>
      </c>
      <c r="D46" s="418"/>
      <c r="E46" s="419"/>
      <c r="F46" s="420"/>
      <c r="G46" s="421"/>
      <c r="H46" s="422"/>
      <c r="I46" s="419"/>
      <c r="J46" s="422"/>
      <c r="K46" s="674"/>
      <c r="L46" s="2495"/>
      <c r="M46" s="2488"/>
      <c r="N46" s="2488"/>
      <c r="O46" s="2488"/>
      <c r="P46" s="3422" t="str">
        <f>A46</f>
        <v>成交单价</v>
      </c>
      <c r="Q46" s="3422"/>
      <c r="R46" s="3423">
        <f>E46</f>
        <v>0</v>
      </c>
      <c r="S46" s="3423"/>
      <c r="T46" s="3423">
        <f>G46</f>
        <v>0</v>
      </c>
      <c r="U46" s="3423"/>
      <c r="V46" s="3423">
        <f>I46</f>
        <v>0</v>
      </c>
      <c r="W46" s="3423"/>
      <c r="X46" s="385"/>
      <c r="Y46" s="673"/>
      <c r="Z46" s="385"/>
      <c r="AA46" s="385"/>
      <c r="AB46" s="385"/>
      <c r="AC46" s="385"/>
    </row>
    <row r="47" spans="1:29" ht="15.75" thickBot="1">
      <c r="A47" s="423" t="s">
        <v>1789</v>
      </c>
      <c r="B47" s="603"/>
      <c r="C47" s="426" t="e">
        <f>R48</f>
        <v>#DIV/0!</v>
      </c>
      <c r="D47" s="2141" t="s">
        <v>2134</v>
      </c>
      <c r="E47" s="426" t="e">
        <f>R47</f>
        <v>#DIV/0!</v>
      </c>
      <c r="F47" s="2142"/>
      <c r="G47" s="425" t="e">
        <f>T47</f>
        <v>#DIV/0!</v>
      </c>
      <c r="H47" s="2142"/>
      <c r="I47" s="426" t="e">
        <f>V47</f>
        <v>#DIV/0!</v>
      </c>
      <c r="J47" s="2142"/>
      <c r="K47" s="2144">
        <f>F47+H47+J47</f>
        <v>0</v>
      </c>
      <c r="L47" s="2495"/>
      <c r="M47" s="2488"/>
      <c r="N47" s="2488"/>
      <c r="O47" s="2488"/>
      <c r="P47" s="3422" t="str">
        <f>A47</f>
        <v>比较价值（元/平方米）</v>
      </c>
      <c r="Q47" s="3422"/>
      <c r="R47" s="3481" t="e">
        <f>ROUND(PRODUCT(R46,AA7:AA45),0)</f>
        <v>#DIV/0!</v>
      </c>
      <c r="S47" s="3481"/>
      <c r="T47" s="3481" t="e">
        <f>ROUND(PRODUCT(T46,AB7:AB45),0)</f>
        <v>#DIV/0!</v>
      </c>
      <c r="U47" s="3481"/>
      <c r="V47" s="3481" t="e">
        <f>ROUND(PRODUCT(V46,AC7:AC45),0)</f>
        <v>#DIV/0!</v>
      </c>
      <c r="W47" s="3481"/>
      <c r="X47" s="385"/>
      <c r="Y47" s="385"/>
      <c r="Z47" s="385"/>
      <c r="AA47" s="385"/>
      <c r="AB47" s="385"/>
      <c r="AC47" s="385"/>
    </row>
    <row r="48" spans="1:29" ht="15.75" thickBot="1">
      <c r="A48" s="427" t="s">
        <v>1876</v>
      </c>
      <c r="B48" s="428"/>
      <c r="C48" s="429" t="e">
        <f>R48</f>
        <v>#DIV/0!</v>
      </c>
      <c r="D48" s="429"/>
      <c r="E48" s="429"/>
      <c r="F48" s="429"/>
      <c r="G48" s="429"/>
      <c r="H48" s="429"/>
      <c r="I48" s="429"/>
      <c r="J48" s="429"/>
      <c r="K48" s="675"/>
      <c r="L48" s="2495"/>
      <c r="M48" s="2488"/>
      <c r="N48" s="2488"/>
      <c r="O48" s="2488"/>
      <c r="P48" s="3419" t="str">
        <f>A48</f>
        <v>估价对象XX用房的比较价值（楼面单价，元/平方米）</v>
      </c>
      <c r="Q48" s="3420"/>
      <c r="R48" s="3482" t="e">
        <f>ROUND(IF(D47="简单平均",AVERAGE(R47:W47),R47*F47+T47*H47+V47*J47),0)</f>
        <v>#DIV/0!</v>
      </c>
      <c r="S48" s="3482"/>
      <c r="T48" s="3482"/>
      <c r="U48" s="3482"/>
      <c r="V48" s="3482"/>
      <c r="W48" s="348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1791</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1792</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1793</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1877</v>
      </c>
      <c r="B55" s="605" t="s">
        <v>1878</v>
      </c>
      <c r="C55" s="1831" t="s">
        <v>1879</v>
      </c>
      <c r="D55" s="1832" t="s">
        <v>1880</v>
      </c>
      <c r="E55" s="606" t="s">
        <v>1881</v>
      </c>
      <c r="F55" s="837" t="s">
        <v>1882</v>
      </c>
      <c r="G55" s="3437" t="s">
        <v>1883</v>
      </c>
      <c r="H55" s="3483"/>
      <c r="I55" s="127" t="s">
        <v>1884</v>
      </c>
      <c r="J55" s="1833">
        <f>项目基本情况!F35</f>
        <v>0</v>
      </c>
      <c r="K55" s="1834" t="s">
        <v>1885</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1886</v>
      </c>
      <c r="B56" s="609" t="e">
        <f>C48</f>
        <v>#DIV/0!</v>
      </c>
      <c r="C56" s="610">
        <v>1</v>
      </c>
      <c r="D56" s="890">
        <v>1</v>
      </c>
      <c r="E56" s="610">
        <f>'数据-汇总表'!E8+'数据-汇总表'!E9</f>
        <v>29065.503999999997</v>
      </c>
      <c r="F56" s="833" t="e">
        <f t="shared" ref="F56:F64" si="15">ROUND(B56*E56/10000,0)</f>
        <v>#DIV/0!</v>
      </c>
      <c r="G56" s="3433"/>
      <c r="H56" s="342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1887</v>
      </c>
      <c r="B57" s="210" t="e">
        <f>ROUND($C$48*C57*D57,0)</f>
        <v>#DIV/0!</v>
      </c>
      <c r="C57" s="163">
        <f t="shared" ref="C57:C64" si="16">IF($C$55="北京市系数",I57,J57)</f>
        <v>0.7</v>
      </c>
      <c r="D57" s="891">
        <v>0.25</v>
      </c>
      <c r="E57" s="614"/>
      <c r="F57" s="833" t="e">
        <f t="shared" si="15"/>
        <v>#DIV/0!</v>
      </c>
      <c r="G57" s="2751" t="s">
        <v>1888</v>
      </c>
      <c r="H57" s="834" t="str">
        <f>项目基本情况!B37</f>
        <v>二级</v>
      </c>
      <c r="I57" s="838">
        <f>SUMIF(修正!A59:A70,H57,修正!B59:B70)</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1889</v>
      </c>
      <c r="B58" s="210" t="e">
        <f t="shared" ref="B58:B64" si="17">ROUND($C$48*C58*D58,0)</f>
        <v>#DIV/0!</v>
      </c>
      <c r="C58" s="163">
        <f t="shared" si="16"/>
        <v>0.4</v>
      </c>
      <c r="D58" s="891">
        <v>0.25</v>
      </c>
      <c r="E58" s="614"/>
      <c r="F58" s="833" t="e">
        <f t="shared" si="15"/>
        <v>#DIV/0!</v>
      </c>
      <c r="G58" s="2752"/>
      <c r="H58" s="834" t="str">
        <f>项目基本情况!B37</f>
        <v>二级</v>
      </c>
      <c r="I58" s="838">
        <f>SUMIF(修正!A59:A70,H58,修正!C59:C70)</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1890</v>
      </c>
      <c r="B59" s="210" t="e">
        <f t="shared" si="17"/>
        <v>#DIV/0!</v>
      </c>
      <c r="C59" s="163">
        <f t="shared" si="16"/>
        <v>0.3</v>
      </c>
      <c r="D59" s="891">
        <v>0.25</v>
      </c>
      <c r="E59" s="614"/>
      <c r="F59" s="833" t="e">
        <f t="shared" si="15"/>
        <v>#DIV/0!</v>
      </c>
      <c r="G59" s="2752"/>
      <c r="H59" s="834" t="str">
        <f>项目基本情况!B37</f>
        <v>二级</v>
      </c>
      <c r="I59" s="838">
        <f>SUMIF(修正!A59:A70,H59,修正!D59:D70)</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1891</v>
      </c>
      <c r="B60" s="210" t="e">
        <f t="shared" si="17"/>
        <v>#DIV/0!</v>
      </c>
      <c r="C60" s="163">
        <f t="shared" si="16"/>
        <v>0.3</v>
      </c>
      <c r="D60" s="891">
        <v>0.25</v>
      </c>
      <c r="E60" s="209">
        <f>'数据-汇总表'!E11</f>
        <v>0</v>
      </c>
      <c r="F60" s="833" t="e">
        <f t="shared" si="15"/>
        <v>#DIV/0!</v>
      </c>
      <c r="G60" s="1835" t="s">
        <v>1892</v>
      </c>
      <c r="H60" s="834" t="str">
        <f>项目基本情况!C37</f>
        <v>二级</v>
      </c>
      <c r="I60" s="838">
        <f>SUMIF(修正!A59:A70,H60,修正!E59:E70)</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1893</v>
      </c>
      <c r="B61" s="210" t="e">
        <f t="shared" si="17"/>
        <v>#DIV/0!</v>
      </c>
      <c r="C61" s="163">
        <f t="shared" si="16"/>
        <v>0.3</v>
      </c>
      <c r="D61" s="891">
        <v>0.25</v>
      </c>
      <c r="E61" s="209">
        <f>'数据-汇总表'!E12</f>
        <v>57.39</v>
      </c>
      <c r="F61" s="833" t="e">
        <f t="shared" si="15"/>
        <v>#DIV/0!</v>
      </c>
      <c r="G61" s="839" t="s">
        <v>1894</v>
      </c>
      <c r="H61" s="834" t="str">
        <f>IF(G61="商业",项目基本情况!B37,IF(G61="办公",项目基本情况!C37,IF(G61="住宅",项目基本情况!D37,项目基本情况!E37)))</f>
        <v>二级</v>
      </c>
      <c r="I61" s="838">
        <f>SUMIF(修正!A59:A70,H61,修正!F59:F70)</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1895</v>
      </c>
      <c r="B62" s="210" t="e">
        <f t="shared" si="17"/>
        <v>#DIV/0!</v>
      </c>
      <c r="C62" s="163">
        <f t="shared" si="16"/>
        <v>0</v>
      </c>
      <c r="D62" s="891">
        <v>0.25</v>
      </c>
      <c r="E62" s="209">
        <f>'数据-汇总表'!E13</f>
        <v>0</v>
      </c>
      <c r="F62" s="833" t="e">
        <f t="shared" si="15"/>
        <v>#DIV/0!</v>
      </c>
      <c r="G62" s="839" t="s">
        <v>1896</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1897</v>
      </c>
      <c r="B63" s="210" t="e">
        <f t="shared" si="17"/>
        <v>#DIV/0!</v>
      </c>
      <c r="C63" s="163">
        <f t="shared" si="16"/>
        <v>0.2</v>
      </c>
      <c r="D63" s="891">
        <v>0.25</v>
      </c>
      <c r="E63" s="209">
        <f>'数据-汇总表'!E14</f>
        <v>0</v>
      </c>
      <c r="F63" s="833" t="e">
        <f t="shared" si="15"/>
        <v>#DIV/0!</v>
      </c>
      <c r="G63" s="1835" t="s">
        <v>1888</v>
      </c>
      <c r="H63" s="834" t="str">
        <f>项目基本情况!B37</f>
        <v>二级</v>
      </c>
      <c r="I63" s="838">
        <f>SUMIF(修正!A59:A70,H63,修正!G59:G70)</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1898</v>
      </c>
      <c r="B64" s="210" t="e">
        <f t="shared" si="17"/>
        <v>#DIV/0!</v>
      </c>
      <c r="C64" s="163">
        <f t="shared" si="16"/>
        <v>0.2</v>
      </c>
      <c r="D64" s="891">
        <v>0.25</v>
      </c>
      <c r="E64" s="209">
        <f>'数据-汇总表'!E15</f>
        <v>0</v>
      </c>
      <c r="F64" s="833" t="e">
        <f t="shared" si="15"/>
        <v>#DIV/0!</v>
      </c>
      <c r="G64" s="1836" t="s">
        <v>1892</v>
      </c>
      <c r="H64" s="844" t="str">
        <f>项目基本情况!C37</f>
        <v>二级</v>
      </c>
      <c r="I64" s="840">
        <f>SUMIF(修正!A59:A70,H64,修正!G59:G70)</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1899</v>
      </c>
      <c r="B65" s="616" t="s">
        <v>22</v>
      </c>
      <c r="C65" s="616" t="s">
        <v>23</v>
      </c>
      <c r="D65" s="616" t="s">
        <v>392</v>
      </c>
      <c r="E65" s="616">
        <f>IF(B46="楼面地价",SUM(E56:E64),'数据-汇总表'!D3)</f>
        <v>29122.893999999997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8"/>
      <c r="Q67" s="2488"/>
      <c r="R67" s="2488"/>
      <c r="S67" s="2488"/>
      <c r="T67" s="2488"/>
      <c r="U67" s="2488"/>
      <c r="V67" s="2488"/>
      <c r="W67" s="2488"/>
      <c r="X67" s="2488"/>
      <c r="Y67" s="2488"/>
      <c r="Z67" s="2488"/>
      <c r="AA67" s="2488"/>
      <c r="AB67" s="2488"/>
      <c r="AC67" s="2488"/>
    </row>
    <row r="68" spans="1:29" ht="21.75" thickBot="1">
      <c r="A68" s="658" t="s">
        <v>1794</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1900</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1901</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1712</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1677</v>
      </c>
      <c r="B72" s="444"/>
      <c r="C72" s="456" t="s">
        <v>1772</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1715</v>
      </c>
      <c r="B74" s="460" t="s">
        <v>1681</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1684</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1685</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1686</v>
      </c>
      <c r="B87" s="460" t="s">
        <v>1716</v>
      </c>
      <c r="C87" s="504" t="s">
        <v>1717</v>
      </c>
      <c r="D87" s="504" t="s">
        <v>1718</v>
      </c>
      <c r="E87" s="504" t="s">
        <v>1719</v>
      </c>
      <c r="F87" s="504" t="s">
        <v>1720</v>
      </c>
      <c r="G87" s="504" t="s">
        <v>1721</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1902</v>
      </c>
      <c r="C89" s="509" t="s">
        <v>1717</v>
      </c>
      <c r="D89" s="509" t="s">
        <v>1718</v>
      </c>
      <c r="E89" s="509" t="s">
        <v>1719</v>
      </c>
      <c r="F89" s="509" t="s">
        <v>1720</v>
      </c>
      <c r="G89" s="509" t="s">
        <v>1721</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1817</v>
      </c>
      <c r="C91" s="509" t="s">
        <v>1717</v>
      </c>
      <c r="D91" s="509" t="s">
        <v>1718</v>
      </c>
      <c r="E91" s="509" t="s">
        <v>1719</v>
      </c>
      <c r="F91" s="509" t="s">
        <v>1720</v>
      </c>
      <c r="G91" s="509" t="s">
        <v>1721</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1722</v>
      </c>
      <c r="C93" s="509" t="s">
        <v>1717</v>
      </c>
      <c r="D93" s="509" t="s">
        <v>1718</v>
      </c>
      <c r="E93" s="509" t="s">
        <v>1719</v>
      </c>
      <c r="F93" s="509" t="s">
        <v>1720</v>
      </c>
      <c r="G93" s="509" t="s">
        <v>1721</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1903</v>
      </c>
      <c r="C95" s="509" t="s">
        <v>1717</v>
      </c>
      <c r="D95" s="509" t="s">
        <v>1718</v>
      </c>
      <c r="E95" s="509" t="s">
        <v>1719</v>
      </c>
      <c r="F95" s="509" t="s">
        <v>1720</v>
      </c>
      <c r="G95" s="509" t="s">
        <v>1721</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1904</v>
      </c>
      <c r="C97" s="504" t="s">
        <v>1717</v>
      </c>
      <c r="D97" s="504" t="s">
        <v>1718</v>
      </c>
      <c r="E97" s="504" t="s">
        <v>1719</v>
      </c>
      <c r="F97" s="504" t="s">
        <v>1720</v>
      </c>
      <c r="G97" s="504" t="s">
        <v>1721</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1774</v>
      </c>
      <c r="C99" s="504" t="s">
        <v>1717</v>
      </c>
      <c r="D99" s="504" t="s">
        <v>1718</v>
      </c>
      <c r="E99" s="504" t="s">
        <v>1719</v>
      </c>
      <c r="F99" s="504" t="s">
        <v>1720</v>
      </c>
      <c r="G99" s="504" t="s">
        <v>1721</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1775</v>
      </c>
      <c r="C101" s="581" t="s">
        <v>1795</v>
      </c>
      <c r="D101" s="581" t="s">
        <v>1796</v>
      </c>
      <c r="E101" s="581" t="s">
        <v>1797</v>
      </c>
      <c r="F101" s="581" t="s">
        <v>1798</v>
      </c>
      <c r="G101" s="581" t="s">
        <v>1799</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1905</v>
      </c>
      <c r="D103" s="470" t="s">
        <v>1906</v>
      </c>
      <c r="E103" s="470" t="s">
        <v>1907</v>
      </c>
      <c r="F103" s="470" t="s">
        <v>1908</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1811</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1869</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1690</v>
      </c>
      <c r="B115" s="460" t="s">
        <v>1909</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1910</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1911</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1912</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1913</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1914</v>
      </c>
      <c r="D1" s="651"/>
      <c r="E1" s="651"/>
      <c r="F1" s="650" t="s">
        <v>1763</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1458</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1460</v>
      </c>
      <c r="B3" s="536" t="e">
        <f>ROUND(IF(D3="",B2*10000/'数据-汇总表'!E3,B2*10000/D3),0)</f>
        <v>#DIV/0!</v>
      </c>
      <c r="C3" s="195" t="s">
        <v>1865</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1765</v>
      </c>
      <c r="B4" s="346"/>
      <c r="C4" s="3437" t="s">
        <v>1766</v>
      </c>
      <c r="D4" s="3438"/>
      <c r="E4" s="3439" t="s">
        <v>1767</v>
      </c>
      <c r="F4" s="3440"/>
      <c r="G4" s="3437" t="s">
        <v>1768</v>
      </c>
      <c r="H4" s="3438"/>
      <c r="I4" s="3437" t="s">
        <v>1769</v>
      </c>
      <c r="J4" s="3438"/>
      <c r="K4" s="537" t="s">
        <v>1770</v>
      </c>
      <c r="L4" s="2487"/>
      <c r="M4" s="2488"/>
      <c r="N4" s="2488"/>
      <c r="O4" s="2488"/>
      <c r="P4" s="3441" t="s">
        <v>1771</v>
      </c>
      <c r="Q4" s="3442"/>
      <c r="R4" s="3447" t="s">
        <v>1767</v>
      </c>
      <c r="S4" s="3448"/>
      <c r="T4" s="3447" t="s">
        <v>1768</v>
      </c>
      <c r="U4" s="3448"/>
      <c r="V4" s="3423" t="s">
        <v>1769</v>
      </c>
      <c r="W4" s="3423"/>
      <c r="X4" s="1265"/>
      <c r="Y4" s="3447" t="s">
        <v>1771</v>
      </c>
      <c r="Z4" s="3448"/>
      <c r="AA4" s="3434" t="s">
        <v>1767</v>
      </c>
      <c r="AB4" s="3435" t="s">
        <v>1768</v>
      </c>
      <c r="AC4" s="3434" t="s">
        <v>1769</v>
      </c>
    </row>
    <row r="5" spans="1:29" ht="15">
      <c r="A5" s="348"/>
      <c r="B5" s="349"/>
      <c r="C5" s="3455" t="s">
        <v>1669</v>
      </c>
      <c r="D5" s="3456"/>
      <c r="E5" s="3462" t="s">
        <v>1670</v>
      </c>
      <c r="F5" s="3463"/>
      <c r="G5" s="3455" t="s">
        <v>1671</v>
      </c>
      <c r="H5" s="3456"/>
      <c r="I5" s="3455" t="s">
        <v>1672</v>
      </c>
      <c r="J5" s="3456"/>
      <c r="K5" s="537"/>
      <c r="L5" s="2487"/>
      <c r="M5" s="2488"/>
      <c r="N5" s="2488"/>
      <c r="O5" s="2488"/>
      <c r="P5" s="3443"/>
      <c r="Q5" s="3444"/>
      <c r="R5" s="3449"/>
      <c r="S5" s="3450"/>
      <c r="T5" s="3449"/>
      <c r="U5" s="3450"/>
      <c r="V5" s="3423"/>
      <c r="W5" s="3423"/>
      <c r="X5" s="1265"/>
      <c r="Y5" s="3449"/>
      <c r="Z5" s="3450"/>
      <c r="AA5" s="3435"/>
      <c r="AB5" s="3435"/>
      <c r="AC5" s="3435"/>
    </row>
    <row r="6" spans="1:29" ht="15.75" thickBot="1">
      <c r="A6" s="350"/>
      <c r="B6" s="351"/>
      <c r="C6" s="3484" t="s">
        <v>1915</v>
      </c>
      <c r="D6" s="3485"/>
      <c r="E6" s="3486" t="s">
        <v>1915</v>
      </c>
      <c r="F6" s="3487"/>
      <c r="G6" s="3484" t="s">
        <v>1915</v>
      </c>
      <c r="H6" s="3485"/>
      <c r="I6" s="3484" t="s">
        <v>1915</v>
      </c>
      <c r="J6" s="3485"/>
      <c r="K6" s="537" t="s">
        <v>1674</v>
      </c>
      <c r="L6" s="2487"/>
      <c r="M6" s="2488"/>
      <c r="N6" s="2488"/>
      <c r="O6" s="2488"/>
      <c r="P6" s="3445"/>
      <c r="Q6" s="3446"/>
      <c r="R6" s="3449"/>
      <c r="S6" s="3450"/>
      <c r="T6" s="3451"/>
      <c r="U6" s="3452"/>
      <c r="V6" s="3423"/>
      <c r="W6" s="3423"/>
      <c r="X6" s="1265"/>
      <c r="Y6" s="3451"/>
      <c r="Z6" s="3452"/>
      <c r="AA6" s="3436"/>
      <c r="AB6" s="3436"/>
      <c r="AC6" s="3436"/>
    </row>
    <row r="7" spans="1:29" s="102" customFormat="1" ht="15.75" thickBot="1">
      <c r="A7" s="352" t="s">
        <v>1675</v>
      </c>
      <c r="B7" s="353"/>
      <c r="C7" s="354">
        <f>'数据-取费表'!B2</f>
        <v>45889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57" t="s">
        <v>1676</v>
      </c>
      <c r="Q7" s="3459"/>
      <c r="R7" s="664" t="s">
        <v>14</v>
      </c>
      <c r="S7" s="665">
        <f t="shared" ref="S7:S15" si="0">F7</f>
        <v>0</v>
      </c>
      <c r="T7" s="664" t="s">
        <v>14</v>
      </c>
      <c r="U7" s="665">
        <f t="shared" ref="U7:U15" si="1">H7</f>
        <v>0</v>
      </c>
      <c r="V7" s="664" t="s">
        <v>14</v>
      </c>
      <c r="W7" s="665">
        <f t="shared" ref="W7:W15" si="2">J7</f>
        <v>0</v>
      </c>
      <c r="X7" s="666"/>
      <c r="Y7" s="3457" t="s">
        <v>1676</v>
      </c>
      <c r="Z7" s="3458"/>
      <c r="AA7" s="50" t="e">
        <f>D7/F7</f>
        <v>#DIV/0!</v>
      </c>
      <c r="AB7" s="50" t="e">
        <f>D7/H7</f>
        <v>#DIV/0!</v>
      </c>
      <c r="AC7" s="50" t="e">
        <f>D7/J7</f>
        <v>#DIV/0!</v>
      </c>
    </row>
    <row r="8" spans="1:29" s="102" customFormat="1" ht="15.75" thickBot="1">
      <c r="A8" s="352" t="s">
        <v>1677</v>
      </c>
      <c r="B8" s="353"/>
      <c r="C8" s="358" t="s">
        <v>1678</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57" t="s">
        <v>1679</v>
      </c>
      <c r="Q8" s="3458"/>
      <c r="R8" s="664" t="s">
        <v>14</v>
      </c>
      <c r="S8" s="665">
        <f t="shared" si="0"/>
        <v>0</v>
      </c>
      <c r="T8" s="664" t="s">
        <v>14</v>
      </c>
      <c r="U8" s="665">
        <f t="shared" si="1"/>
        <v>0</v>
      </c>
      <c r="V8" s="664" t="s">
        <v>14</v>
      </c>
      <c r="W8" s="665">
        <f t="shared" si="2"/>
        <v>0</v>
      </c>
      <c r="X8" s="666"/>
      <c r="Y8" s="3457" t="s">
        <v>1679</v>
      </c>
      <c r="Z8" s="3458"/>
      <c r="AA8" s="50" t="e">
        <f t="shared" ref="AA8:AA40" si="3">D8/F8</f>
        <v>#DIV/0!</v>
      </c>
      <c r="AB8" s="50" t="e">
        <f t="shared" ref="AB8:AB40" si="4">D8/H8</f>
        <v>#DIV/0!</v>
      </c>
      <c r="AC8" s="50" t="e">
        <f t="shared" ref="AC8:AC40" si="5">D8/J8</f>
        <v>#DIV/0!</v>
      </c>
    </row>
    <row r="9" spans="1:29" s="102" customFormat="1">
      <c r="A9" s="359" t="s">
        <v>1680</v>
      </c>
      <c r="B9" s="60" t="s">
        <v>1681</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2" t="s">
        <v>1682</v>
      </c>
      <c r="Q9" s="530" t="str">
        <f t="shared" ref="Q9:Q15" si="6">B9</f>
        <v>用途</v>
      </c>
      <c r="R9" s="664" t="s">
        <v>14</v>
      </c>
      <c r="S9" s="665">
        <f t="shared" si="0"/>
        <v>100</v>
      </c>
      <c r="T9" s="664" t="s">
        <v>14</v>
      </c>
      <c r="U9" s="665">
        <f t="shared" si="1"/>
        <v>100</v>
      </c>
      <c r="V9" s="664" t="s">
        <v>14</v>
      </c>
      <c r="W9" s="665">
        <f t="shared" si="2"/>
        <v>100</v>
      </c>
      <c r="X9" s="666"/>
      <c r="Y9" s="3277" t="s">
        <v>1683</v>
      </c>
      <c r="Z9" s="50" t="str">
        <f t="shared" ref="Z9:Z15" si="7">Q9</f>
        <v>用途</v>
      </c>
      <c r="AA9" s="50">
        <f t="shared" si="3"/>
        <v>1</v>
      </c>
      <c r="AB9" s="50">
        <f t="shared" si="4"/>
        <v>1</v>
      </c>
      <c r="AC9" s="50">
        <f t="shared" si="5"/>
        <v>1</v>
      </c>
    </row>
    <row r="10" spans="1:29" s="366" customFormat="1" ht="27">
      <c r="A10" s="363"/>
      <c r="B10" s="364" t="s">
        <v>1684</v>
      </c>
      <c r="C10" s="371"/>
      <c r="D10" s="119">
        <v>100</v>
      </c>
      <c r="E10" s="371"/>
      <c r="F10" s="119">
        <f>ROUND(100/'数据-取费表'!G16,0)</f>
        <v>142</v>
      </c>
      <c r="G10" s="371"/>
      <c r="H10" s="119">
        <f>ROUND(100/'数据-取费表'!G16,0)</f>
        <v>142</v>
      </c>
      <c r="I10" s="371"/>
      <c r="J10" s="119">
        <f>ROUND(100/'数据-取费表'!G16,0)</f>
        <v>142</v>
      </c>
      <c r="K10" s="592"/>
      <c r="L10" s="2490"/>
      <c r="M10" s="2491"/>
      <c r="N10" s="2491"/>
      <c r="O10" s="2542"/>
      <c r="P10" s="3422"/>
      <c r="Q10" s="530" t="str">
        <f t="shared" si="6"/>
        <v>土地使用年限（年）</v>
      </c>
      <c r="R10" s="664" t="s">
        <v>14</v>
      </c>
      <c r="S10" s="665">
        <f t="shared" si="0"/>
        <v>142</v>
      </c>
      <c r="T10" s="664" t="s">
        <v>14</v>
      </c>
      <c r="U10" s="665">
        <f t="shared" si="1"/>
        <v>142</v>
      </c>
      <c r="V10" s="664" t="s">
        <v>14</v>
      </c>
      <c r="W10" s="665">
        <f t="shared" si="2"/>
        <v>142</v>
      </c>
      <c r="X10" s="666"/>
      <c r="Y10" s="3277"/>
      <c r="Z10" s="50" t="str">
        <f t="shared" si="7"/>
        <v>土地使用年限（年）</v>
      </c>
      <c r="AA10" s="50">
        <f t="shared" si="3"/>
        <v>0.70422535211267601</v>
      </c>
      <c r="AB10" s="50">
        <f t="shared" si="4"/>
        <v>0.70422535211267601</v>
      </c>
      <c r="AC10" s="50">
        <f t="shared" si="5"/>
        <v>0.70422535211267601</v>
      </c>
    </row>
    <row r="11" spans="1:29" ht="15">
      <c r="A11" s="367"/>
      <c r="B11" s="364" t="s">
        <v>1685</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2"/>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15">
      <c r="A15" s="379" t="s">
        <v>1686</v>
      </c>
      <c r="B15" s="554" t="s">
        <v>1916</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4" t="s">
        <v>1687</v>
      </c>
      <c r="Q15" s="1263" t="str">
        <f t="shared" si="6"/>
        <v>产业集聚程度</v>
      </c>
      <c r="R15" s="667" t="s">
        <v>14</v>
      </c>
      <c r="S15" s="668">
        <f t="shared" si="0"/>
        <v>100</v>
      </c>
      <c r="T15" s="667" t="s">
        <v>14</v>
      </c>
      <c r="U15" s="668">
        <f t="shared" si="1"/>
        <v>100</v>
      </c>
      <c r="V15" s="667" t="s">
        <v>14</v>
      </c>
      <c r="W15" s="668">
        <f t="shared" si="2"/>
        <v>100</v>
      </c>
      <c r="X15" s="1265"/>
      <c r="Y15" s="3424" t="s">
        <v>1687</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5"/>
      <c r="Q16" s="1263"/>
      <c r="R16" s="667"/>
      <c r="S16" s="668"/>
      <c r="T16" s="667"/>
      <c r="U16" s="668"/>
      <c r="V16" s="667"/>
      <c r="W16" s="668"/>
      <c r="X16" s="1265"/>
      <c r="Y16" s="3425"/>
      <c r="Z16" s="1264"/>
      <c r="AA16" s="1264">
        <v>1</v>
      </c>
      <c r="AB16" s="1264">
        <v>1</v>
      </c>
      <c r="AC16" s="1264">
        <v>1</v>
      </c>
    </row>
    <row r="17" spans="1:29" ht="15">
      <c r="A17" s="367"/>
      <c r="B17" s="556" t="s">
        <v>1829</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5"/>
      <c r="Q18" s="1263"/>
      <c r="R18" s="667"/>
      <c r="S18" s="668"/>
      <c r="T18" s="667"/>
      <c r="U18" s="668"/>
      <c r="V18" s="667"/>
      <c r="W18" s="668"/>
      <c r="X18" s="1265"/>
      <c r="Y18" s="3425"/>
      <c r="Z18" s="1264"/>
      <c r="AA18" s="1264">
        <v>1</v>
      </c>
      <c r="AB18" s="1264">
        <v>1</v>
      </c>
      <c r="AC18" s="1264">
        <v>1</v>
      </c>
    </row>
    <row r="19" spans="1:29" ht="15">
      <c r="A19" s="367"/>
      <c r="B19" s="556" t="s">
        <v>1867</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5"/>
      <c r="Q19" s="1263" t="str">
        <f t="shared" ref="Q19:Q33" si="8">B19</f>
        <v>区域土地利用方向</v>
      </c>
      <c r="R19" s="667" t="s">
        <v>14</v>
      </c>
      <c r="S19" s="668">
        <f>F19</f>
        <v>100</v>
      </c>
      <c r="T19" s="667" t="s">
        <v>14</v>
      </c>
      <c r="U19" s="668">
        <f>H19</f>
        <v>100</v>
      </c>
      <c r="V19" s="667" t="s">
        <v>14</v>
      </c>
      <c r="W19" s="668">
        <f>J19</f>
        <v>100</v>
      </c>
      <c r="X19" s="1265"/>
      <c r="Y19" s="342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5"/>
      <c r="Q20" s="1263"/>
      <c r="R20" s="667"/>
      <c r="S20" s="668"/>
      <c r="T20" s="667"/>
      <c r="U20" s="668"/>
      <c r="V20" s="667"/>
      <c r="W20" s="668"/>
      <c r="X20" s="1265"/>
      <c r="Y20" s="3425"/>
      <c r="Z20" s="1264"/>
      <c r="AA20" s="1264"/>
      <c r="AB20" s="1264"/>
      <c r="AC20" s="1264"/>
    </row>
    <row r="21" spans="1:29" ht="15">
      <c r="A21" s="348"/>
      <c r="B21" s="556" t="s">
        <v>1917</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5"/>
      <c r="Q21" s="1263" t="str">
        <f t="shared" si="8"/>
        <v>环境状况</v>
      </c>
      <c r="R21" s="667" t="s">
        <v>14</v>
      </c>
      <c r="S21" s="668">
        <f>F21</f>
        <v>100</v>
      </c>
      <c r="T21" s="667" t="s">
        <v>14</v>
      </c>
      <c r="U21" s="668">
        <f>H21</f>
        <v>100</v>
      </c>
      <c r="V21" s="667" t="s">
        <v>14</v>
      </c>
      <c r="W21" s="668">
        <f>J21</f>
        <v>100</v>
      </c>
      <c r="X21" s="1265"/>
      <c r="Y21" s="342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5"/>
      <c r="Q22" s="1263"/>
      <c r="R22" s="667"/>
      <c r="S22" s="668"/>
      <c r="T22" s="667"/>
      <c r="U22" s="668"/>
      <c r="V22" s="667"/>
      <c r="W22" s="668"/>
      <c r="X22" s="1265"/>
      <c r="Y22" s="3425"/>
      <c r="Z22" s="1264"/>
      <c r="AA22" s="1264">
        <v>1</v>
      </c>
      <c r="AB22" s="1264">
        <v>1</v>
      </c>
      <c r="AC22" s="1264">
        <v>1</v>
      </c>
    </row>
    <row r="23" spans="1:29" s="102" customFormat="1" ht="15">
      <c r="A23" s="443"/>
      <c r="B23" s="557" t="s">
        <v>1774</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5"/>
      <c r="Q23" s="530" t="str">
        <f t="shared" si="8"/>
        <v>公共配套设施</v>
      </c>
      <c r="R23" s="664" t="s">
        <v>14</v>
      </c>
      <c r="S23" s="665">
        <f>F23</f>
        <v>100</v>
      </c>
      <c r="T23" s="664" t="s">
        <v>14</v>
      </c>
      <c r="U23" s="665">
        <f>H23</f>
        <v>100</v>
      </c>
      <c r="V23" s="664" t="s">
        <v>14</v>
      </c>
      <c r="W23" s="665">
        <f>J23</f>
        <v>100</v>
      </c>
      <c r="X23" s="666"/>
      <c r="Y23" s="342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5"/>
      <c r="Q24" s="530"/>
      <c r="R24" s="664"/>
      <c r="S24" s="665"/>
      <c r="T24" s="664"/>
      <c r="U24" s="665"/>
      <c r="V24" s="664"/>
      <c r="W24" s="665"/>
      <c r="X24" s="666"/>
      <c r="Y24" s="3425"/>
      <c r="Z24" s="50"/>
      <c r="AA24" s="50">
        <v>1</v>
      </c>
      <c r="AB24" s="50">
        <v>1</v>
      </c>
      <c r="AC24" s="50">
        <v>1</v>
      </c>
    </row>
    <row r="25" spans="1:29" s="102" customFormat="1" ht="15">
      <c r="A25" s="443"/>
      <c r="B25" s="557" t="s">
        <v>1775</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5"/>
      <c r="Q26" s="530"/>
      <c r="R26" s="664"/>
      <c r="S26" s="665"/>
      <c r="T26" s="664"/>
      <c r="U26" s="665"/>
      <c r="V26" s="664"/>
      <c r="W26" s="665"/>
      <c r="X26" s="666"/>
      <c r="Y26" s="3425"/>
      <c r="Z26" s="50"/>
      <c r="AA26" s="50">
        <v>1</v>
      </c>
      <c r="AB26" s="50">
        <v>1</v>
      </c>
      <c r="AC26" s="50">
        <v>1</v>
      </c>
    </row>
    <row r="27" spans="1:29" ht="15">
      <c r="A27" s="367"/>
      <c r="B27" s="401" t="s">
        <v>1776</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5"/>
      <c r="Z27" s="1264" t="str">
        <f t="shared" ref="Z27:Z40" si="13">Q27</f>
        <v>临街状况</v>
      </c>
      <c r="AA27" s="1264">
        <f t="shared" si="3"/>
        <v>1</v>
      </c>
      <c r="AB27" s="1264">
        <f t="shared" si="4"/>
        <v>1</v>
      </c>
      <c r="AC27" s="1264">
        <f t="shared" si="5"/>
        <v>1</v>
      </c>
    </row>
    <row r="28" spans="1:29" ht="27">
      <c r="A28" s="367"/>
      <c r="B28" s="557" t="s">
        <v>1811</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5"/>
      <c r="Q28" s="1263" t="str">
        <f t="shared" si="8"/>
        <v>毗邻道路的类型与等级</v>
      </c>
      <c r="R28" s="667" t="s">
        <v>14</v>
      </c>
      <c r="S28" s="668">
        <f t="shared" si="10"/>
        <v>100</v>
      </c>
      <c r="T28" s="667" t="s">
        <v>14</v>
      </c>
      <c r="U28" s="668">
        <f t="shared" si="11"/>
        <v>100</v>
      </c>
      <c r="V28" s="667" t="s">
        <v>14</v>
      </c>
      <c r="W28" s="668">
        <f t="shared" si="12"/>
        <v>100</v>
      </c>
      <c r="X28" s="1265"/>
      <c r="Y28" s="342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5"/>
      <c r="Q29" s="1263"/>
      <c r="R29" s="667"/>
      <c r="S29" s="668"/>
      <c r="T29" s="667"/>
      <c r="U29" s="668"/>
      <c r="V29" s="667"/>
      <c r="W29" s="668"/>
      <c r="X29" s="1265"/>
      <c r="Y29" s="3425"/>
      <c r="Z29" s="1264"/>
      <c r="AA29" s="1264">
        <v>1</v>
      </c>
      <c r="AB29" s="1264">
        <v>1</v>
      </c>
      <c r="AC29" s="1264">
        <v>1</v>
      </c>
    </row>
    <row r="30" spans="1:29" ht="15">
      <c r="A30" s="367"/>
      <c r="B30" s="119" t="s">
        <v>1869</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5"/>
      <c r="Q30" s="1263" t="str">
        <f t="shared" si="8"/>
        <v>土地级别</v>
      </c>
      <c r="R30" s="667" t="s">
        <v>14</v>
      </c>
      <c r="S30" s="668">
        <f t="shared" si="10"/>
        <v>100</v>
      </c>
      <c r="T30" s="667" t="s">
        <v>14</v>
      </c>
      <c r="U30" s="668">
        <f t="shared" si="11"/>
        <v>100</v>
      </c>
      <c r="V30" s="667" t="s">
        <v>14</v>
      </c>
      <c r="W30" s="668">
        <f t="shared" si="12"/>
        <v>100</v>
      </c>
      <c r="X30" s="1265"/>
      <c r="Y30" s="342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5"/>
      <c r="Q31" s="1263">
        <f t="shared" si="8"/>
        <v>111</v>
      </c>
      <c r="R31" s="667" t="s">
        <v>14</v>
      </c>
      <c r="S31" s="668">
        <f t="shared" si="10"/>
        <v>100</v>
      </c>
      <c r="T31" s="667" t="s">
        <v>14</v>
      </c>
      <c r="U31" s="668">
        <f t="shared" si="11"/>
        <v>100</v>
      </c>
      <c r="V31" s="667" t="s">
        <v>14</v>
      </c>
      <c r="W31" s="668">
        <f t="shared" si="12"/>
        <v>100</v>
      </c>
      <c r="X31" s="1265"/>
      <c r="Y31" s="342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79" t="s">
        <v>1692</v>
      </c>
      <c r="Q32" s="1263">
        <f t="shared" si="8"/>
        <v>111</v>
      </c>
      <c r="R32" s="667" t="s">
        <v>14</v>
      </c>
      <c r="S32" s="668">
        <f t="shared" si="10"/>
        <v>100</v>
      </c>
      <c r="T32" s="667" t="s">
        <v>14</v>
      </c>
      <c r="U32" s="668">
        <f t="shared" si="11"/>
        <v>100</v>
      </c>
      <c r="V32" s="667" t="s">
        <v>14</v>
      </c>
      <c r="W32" s="668">
        <f t="shared" si="12"/>
        <v>100</v>
      </c>
      <c r="X32" s="1265"/>
      <c r="Y32" s="3429" t="s">
        <v>1692</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9"/>
      <c r="Q33" s="1263">
        <f t="shared" si="8"/>
        <v>111</v>
      </c>
      <c r="R33" s="669" t="s">
        <v>14</v>
      </c>
      <c r="S33" s="670">
        <f t="shared" si="10"/>
        <v>100</v>
      </c>
      <c r="T33" s="669" t="s">
        <v>14</v>
      </c>
      <c r="U33" s="670">
        <f t="shared" si="11"/>
        <v>100</v>
      </c>
      <c r="V33" s="669" t="s">
        <v>14</v>
      </c>
      <c r="W33" s="670">
        <f t="shared" si="12"/>
        <v>100</v>
      </c>
      <c r="X33" s="671"/>
      <c r="Y33" s="3429"/>
      <c r="Z33" s="672">
        <f t="shared" si="13"/>
        <v>111</v>
      </c>
      <c r="AA33" s="1264">
        <f t="shared" si="3"/>
        <v>1</v>
      </c>
      <c r="AB33" s="1264">
        <f t="shared" si="4"/>
        <v>1</v>
      </c>
      <c r="AC33" s="1264">
        <f t="shared" si="5"/>
        <v>1</v>
      </c>
    </row>
    <row r="34" spans="1:31" ht="15">
      <c r="A34" s="379" t="s">
        <v>1690</v>
      </c>
      <c r="B34" s="395" t="s">
        <v>1870</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9"/>
      <c r="Q34" s="1263" t="str">
        <f>B34</f>
        <v>宗地面积</v>
      </c>
      <c r="R34" s="667" t="s">
        <v>14</v>
      </c>
      <c r="S34" s="668" t="e">
        <f t="shared" si="10"/>
        <v>#N/A</v>
      </c>
      <c r="T34" s="667" t="s">
        <v>14</v>
      </c>
      <c r="U34" s="668" t="e">
        <f t="shared" si="11"/>
        <v>#N/A</v>
      </c>
      <c r="V34" s="667" t="s">
        <v>14</v>
      </c>
      <c r="W34" s="668" t="e">
        <f t="shared" si="12"/>
        <v>#N/A</v>
      </c>
      <c r="X34" s="1265"/>
      <c r="Y34" s="3429"/>
      <c r="Z34" s="1264" t="str">
        <f t="shared" si="13"/>
        <v>宗地面积</v>
      </c>
      <c r="AA34" s="1264" t="e">
        <f t="shared" si="3"/>
        <v>#N/A</v>
      </c>
      <c r="AB34" s="1264" t="e">
        <f t="shared" si="4"/>
        <v>#N/A</v>
      </c>
      <c r="AC34" s="1264" t="e">
        <f t="shared" si="5"/>
        <v>#N/A</v>
      </c>
    </row>
    <row r="35" spans="1:31" ht="15">
      <c r="A35" s="409"/>
      <c r="B35" s="364" t="s">
        <v>1871</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9"/>
      <c r="Q35" s="1263" t="str">
        <f t="shared" ref="Q35:Q40" si="14">B35</f>
        <v>宗地形状</v>
      </c>
      <c r="R35" s="667" t="s">
        <v>14</v>
      </c>
      <c r="S35" s="668">
        <f t="shared" si="10"/>
        <v>100</v>
      </c>
      <c r="T35" s="667" t="s">
        <v>14</v>
      </c>
      <c r="U35" s="668">
        <f t="shared" si="11"/>
        <v>100</v>
      </c>
      <c r="V35" s="667" t="s">
        <v>14</v>
      </c>
      <c r="W35" s="668">
        <f t="shared" si="12"/>
        <v>100</v>
      </c>
      <c r="X35" s="1265"/>
      <c r="Y35" s="3429"/>
      <c r="Z35" s="1264" t="str">
        <f t="shared" si="13"/>
        <v>宗地形状</v>
      </c>
      <c r="AA35" s="1264">
        <f t="shared" si="3"/>
        <v>1</v>
      </c>
      <c r="AB35" s="1264">
        <f t="shared" si="4"/>
        <v>1</v>
      </c>
      <c r="AC35" s="1264">
        <f t="shared" si="5"/>
        <v>1</v>
      </c>
    </row>
    <row r="36" spans="1:31" s="102" customFormat="1" ht="15">
      <c r="A36" s="410"/>
      <c r="B36" s="364" t="s">
        <v>1873</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9"/>
      <c r="Q36" s="1263" t="str">
        <f t="shared" si="14"/>
        <v>宗地开发程度</v>
      </c>
      <c r="R36" s="664" t="s">
        <v>14</v>
      </c>
      <c r="S36" s="665">
        <f t="shared" si="10"/>
        <v>100</v>
      </c>
      <c r="T36" s="664" t="s">
        <v>14</v>
      </c>
      <c r="U36" s="665">
        <f t="shared" si="11"/>
        <v>100</v>
      </c>
      <c r="V36" s="664" t="s">
        <v>14</v>
      </c>
      <c r="W36" s="665">
        <f t="shared" si="12"/>
        <v>100</v>
      </c>
      <c r="X36" s="666"/>
      <c r="Y36" s="3429"/>
      <c r="Z36" s="50" t="str">
        <f t="shared" si="13"/>
        <v>宗地开发程度</v>
      </c>
      <c r="AA36" s="50">
        <f t="shared" si="3"/>
        <v>1</v>
      </c>
      <c r="AB36" s="50">
        <f t="shared" si="4"/>
        <v>1</v>
      </c>
      <c r="AC36" s="50">
        <f t="shared" si="5"/>
        <v>1</v>
      </c>
    </row>
    <row r="37" spans="1:31" ht="15">
      <c r="A37" s="409"/>
      <c r="B37" s="364" t="s">
        <v>1874</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9" t="s">
        <v>1692</v>
      </c>
      <c r="Q37" s="1263" t="str">
        <f t="shared" si="14"/>
        <v>工程地质条件</v>
      </c>
      <c r="R37" s="667" t="s">
        <v>14</v>
      </c>
      <c r="S37" s="668">
        <f t="shared" si="10"/>
        <v>100</v>
      </c>
      <c r="T37" s="667" t="s">
        <v>14</v>
      </c>
      <c r="U37" s="668">
        <f t="shared" si="11"/>
        <v>100</v>
      </c>
      <c r="V37" s="667" t="s">
        <v>14</v>
      </c>
      <c r="W37" s="668">
        <f t="shared" si="12"/>
        <v>100</v>
      </c>
      <c r="X37" s="1265"/>
      <c r="Y37" s="3429" t="s">
        <v>1692</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9"/>
      <c r="Q38" s="1263">
        <f t="shared" si="14"/>
        <v>111</v>
      </c>
      <c r="R38" s="667" t="s">
        <v>14</v>
      </c>
      <c r="S38" s="668">
        <f t="shared" si="10"/>
        <v>100</v>
      </c>
      <c r="T38" s="667" t="s">
        <v>14</v>
      </c>
      <c r="U38" s="668">
        <f t="shared" si="11"/>
        <v>100</v>
      </c>
      <c r="V38" s="667" t="s">
        <v>14</v>
      </c>
      <c r="W38" s="668">
        <f t="shared" si="12"/>
        <v>100</v>
      </c>
      <c r="X38" s="1265"/>
      <c r="Y38" s="342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9"/>
      <c r="Q39" s="1263">
        <f t="shared" si="14"/>
        <v>111</v>
      </c>
      <c r="R39" s="667" t="s">
        <v>14</v>
      </c>
      <c r="S39" s="668">
        <f t="shared" si="10"/>
        <v>100</v>
      </c>
      <c r="T39" s="667" t="s">
        <v>14</v>
      </c>
      <c r="U39" s="668">
        <f t="shared" si="11"/>
        <v>100</v>
      </c>
      <c r="V39" s="667" t="s">
        <v>14</v>
      </c>
      <c r="W39" s="668">
        <f t="shared" si="12"/>
        <v>100</v>
      </c>
      <c r="X39" s="1265"/>
      <c r="Y39" s="342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9"/>
      <c r="Q40" s="1263">
        <f t="shared" si="14"/>
        <v>111</v>
      </c>
      <c r="R40" s="669" t="s">
        <v>14</v>
      </c>
      <c r="S40" s="670">
        <f t="shared" si="10"/>
        <v>100</v>
      </c>
      <c r="T40" s="669" t="s">
        <v>14</v>
      </c>
      <c r="U40" s="670">
        <f t="shared" si="11"/>
        <v>100</v>
      </c>
      <c r="V40" s="669" t="s">
        <v>14</v>
      </c>
      <c r="W40" s="670">
        <f t="shared" si="12"/>
        <v>100</v>
      </c>
      <c r="X40" s="671"/>
      <c r="Y40" s="3429"/>
      <c r="Z40" s="672">
        <f t="shared" si="13"/>
        <v>111</v>
      </c>
      <c r="AA40" s="1264">
        <f t="shared" si="3"/>
        <v>1</v>
      </c>
      <c r="AB40" s="1264">
        <f t="shared" si="4"/>
        <v>1</v>
      </c>
      <c r="AC40" s="1264">
        <f t="shared" si="5"/>
        <v>1</v>
      </c>
    </row>
    <row r="41" spans="1:31" ht="15">
      <c r="A41" s="416" t="s">
        <v>1840</v>
      </c>
      <c r="B41" s="1830" t="s">
        <v>1918</v>
      </c>
      <c r="C41" s="602" t="s">
        <v>0</v>
      </c>
      <c r="D41" s="418"/>
      <c r="E41" s="419"/>
      <c r="F41" s="420"/>
      <c r="G41" s="421"/>
      <c r="H41" s="422"/>
      <c r="I41" s="419"/>
      <c r="J41" s="422"/>
      <c r="K41" s="674"/>
      <c r="L41" s="2495"/>
      <c r="M41" s="2488"/>
      <c r="N41" s="2488"/>
      <c r="O41" s="2488"/>
      <c r="P41" s="3422" t="str">
        <f>A41</f>
        <v>成交单价</v>
      </c>
      <c r="Q41" s="3422"/>
      <c r="R41" s="3423">
        <f>E41</f>
        <v>0</v>
      </c>
      <c r="S41" s="3423"/>
      <c r="T41" s="3423">
        <f>G41</f>
        <v>0</v>
      </c>
      <c r="U41" s="3423"/>
      <c r="V41" s="3423">
        <f>I41</f>
        <v>0</v>
      </c>
      <c r="W41" s="3423"/>
      <c r="X41" s="385"/>
      <c r="Y41" s="673"/>
      <c r="Z41" s="385"/>
      <c r="AA41" s="385"/>
      <c r="AB41" s="385"/>
      <c r="AC41" s="385"/>
    </row>
    <row r="42" spans="1:31" ht="15.75" thickBot="1">
      <c r="A42" s="423" t="s">
        <v>1789</v>
      </c>
      <c r="B42" s="603"/>
      <c r="C42" s="426" t="e">
        <f>R43</f>
        <v>#DIV/0!</v>
      </c>
      <c r="D42" s="2141" t="s">
        <v>2134</v>
      </c>
      <c r="E42" s="426" t="e">
        <f>R42</f>
        <v>#DIV/0!</v>
      </c>
      <c r="F42" s="2142"/>
      <c r="G42" s="425" t="e">
        <f>T42</f>
        <v>#DIV/0!</v>
      </c>
      <c r="H42" s="2142"/>
      <c r="I42" s="426" t="e">
        <f>V42</f>
        <v>#DIV/0!</v>
      </c>
      <c r="J42" s="2142"/>
      <c r="K42" s="2144">
        <f>F42+H42+J42</f>
        <v>0</v>
      </c>
      <c r="L42" s="2495"/>
      <c r="M42" s="2488"/>
      <c r="N42" s="2488"/>
      <c r="O42" s="2488"/>
      <c r="P42" s="3422" t="str">
        <f>A42</f>
        <v>比较价值（元/平方米）</v>
      </c>
      <c r="Q42" s="3422"/>
      <c r="R42" s="3481" t="e">
        <f>ROUND(PRODUCT(R41,AA7:AA40),0)</f>
        <v>#DIV/0!</v>
      </c>
      <c r="S42" s="3481"/>
      <c r="T42" s="3481" t="e">
        <f>ROUND(PRODUCT(T41,AB7:AB40),0)</f>
        <v>#DIV/0!</v>
      </c>
      <c r="U42" s="3481"/>
      <c r="V42" s="3481" t="e">
        <f>ROUND(PRODUCT(V41,AC7:AC40),0)</f>
        <v>#DIV/0!</v>
      </c>
      <c r="W42" s="3481"/>
      <c r="X42" s="385"/>
      <c r="Y42" s="385"/>
      <c r="Z42" s="385"/>
      <c r="AA42" s="385"/>
      <c r="AB42" s="385"/>
      <c r="AC42" s="385"/>
    </row>
    <row r="43" spans="1:31" ht="15.75" thickBot="1">
      <c r="A43" s="427" t="s">
        <v>1790</v>
      </c>
      <c r="B43" s="428"/>
      <c r="C43" s="429" t="e">
        <f>R43</f>
        <v>#DIV/0!</v>
      </c>
      <c r="D43" s="429"/>
      <c r="E43" s="429"/>
      <c r="F43" s="429"/>
      <c r="G43" s="429"/>
      <c r="H43" s="429"/>
      <c r="I43" s="429"/>
      <c r="J43" s="429"/>
      <c r="K43" s="675"/>
      <c r="L43" s="2495"/>
      <c r="M43" s="2488"/>
      <c r="N43" s="2488"/>
      <c r="O43" s="2488"/>
      <c r="P43" s="3419" t="str">
        <f>A43</f>
        <v>估价对象XX用房的比较价值（楼面单价，元/平方米）</v>
      </c>
      <c r="Q43" s="3420"/>
      <c r="R43" s="3482" t="e">
        <f>ROUND(IF(D42="简单平均",AVERAGE(R42:W42),R42*F42+T42*H42+V42*J42),0)</f>
        <v>#DIV/0!</v>
      </c>
      <c r="S43" s="3482"/>
      <c r="T43" s="3482"/>
      <c r="U43" s="3482"/>
      <c r="V43" s="3482"/>
      <c r="W43" s="348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1877</v>
      </c>
      <c r="B50" s="605" t="s">
        <v>1878</v>
      </c>
      <c r="C50" s="1831" t="s">
        <v>1879</v>
      </c>
      <c r="D50" s="1832" t="s">
        <v>1880</v>
      </c>
      <c r="E50" s="606" t="s">
        <v>1881</v>
      </c>
      <c r="F50" s="607" t="s">
        <v>1882</v>
      </c>
      <c r="G50" s="3437" t="s">
        <v>1883</v>
      </c>
      <c r="H50" s="3483"/>
      <c r="I50" s="1264" t="s">
        <v>1919</v>
      </c>
      <c r="J50" s="1264">
        <f>项目基本情况!F35</f>
        <v>0</v>
      </c>
      <c r="K50" s="1834" t="s">
        <v>1885</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1886</v>
      </c>
      <c r="B51" s="609" t="e">
        <f>C43</f>
        <v>#DIV/0!</v>
      </c>
      <c r="C51" s="610">
        <v>1</v>
      </c>
      <c r="D51" s="890">
        <v>1</v>
      </c>
      <c r="E51" s="610">
        <f>'数据-汇总表'!E8+'数据-汇总表'!E9</f>
        <v>29065.503999999997</v>
      </c>
      <c r="F51" s="611" t="e">
        <f t="shared" ref="F51:F60" si="15">ROUND(B51*E51/10000,0)</f>
        <v>#DIV/0!</v>
      </c>
      <c r="G51" s="3433"/>
      <c r="H51" s="342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1887</v>
      </c>
      <c r="B52" s="210" t="e">
        <f>ROUND($C$43*C52*D52,0)</f>
        <v>#DIV/0!</v>
      </c>
      <c r="C52" s="163">
        <f t="shared" ref="C52:C60" si="16">IF($C$50="北京市系数",I52,J52)</f>
        <v>0.7</v>
      </c>
      <c r="D52" s="891">
        <v>0.25</v>
      </c>
      <c r="E52" s="614"/>
      <c r="F52" s="611" t="e">
        <f t="shared" si="15"/>
        <v>#DIV/0!</v>
      </c>
      <c r="G52" s="2751" t="s">
        <v>1888</v>
      </c>
      <c r="H52" s="834" t="str">
        <f>项目基本情况!B37</f>
        <v>二级</v>
      </c>
      <c r="I52" s="727">
        <f>SUMIF(修正!A59:A70,H52,修正!B59:B70)</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1889</v>
      </c>
      <c r="B53" s="210" t="e">
        <f t="shared" ref="B53:B60" si="17">ROUND($C$43*C53*D53,0)</f>
        <v>#DIV/0!</v>
      </c>
      <c r="C53" s="163">
        <f t="shared" si="16"/>
        <v>0.4</v>
      </c>
      <c r="D53" s="891">
        <v>0.25</v>
      </c>
      <c r="E53" s="614"/>
      <c r="F53" s="611" t="e">
        <f t="shared" si="15"/>
        <v>#DIV/0!</v>
      </c>
      <c r="G53" s="2752"/>
      <c r="H53" s="834" t="str">
        <f>项目基本情况!B37</f>
        <v>二级</v>
      </c>
      <c r="I53" s="727">
        <f>SUMIF(修正!A59:A70,H53,修正!C59:C70)</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1890</v>
      </c>
      <c r="B54" s="210" t="e">
        <f t="shared" si="17"/>
        <v>#DIV/0!</v>
      </c>
      <c r="C54" s="163">
        <f t="shared" si="16"/>
        <v>0.3</v>
      </c>
      <c r="D54" s="891">
        <v>0.25</v>
      </c>
      <c r="E54" s="614"/>
      <c r="F54" s="611" t="e">
        <f t="shared" si="15"/>
        <v>#DIV/0!</v>
      </c>
      <c r="G54" s="2752"/>
      <c r="H54" s="834" t="str">
        <f>项目基本情况!B37</f>
        <v>二级</v>
      </c>
      <c r="I54" s="727">
        <f>SUMIF(修正!A59:A70,H54,修正!D59:D70)</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1891</v>
      </c>
      <c r="B56" s="210" t="e">
        <f t="shared" si="17"/>
        <v>#DIV/0!</v>
      </c>
      <c r="C56" s="163">
        <f t="shared" si="16"/>
        <v>0.3</v>
      </c>
      <c r="D56" s="891">
        <v>0.25</v>
      </c>
      <c r="E56" s="209">
        <f>'数据-汇总表'!E11</f>
        <v>0</v>
      </c>
      <c r="F56" s="611" t="e">
        <f t="shared" si="15"/>
        <v>#DIV/0!</v>
      </c>
      <c r="G56" s="1835" t="s">
        <v>1892</v>
      </c>
      <c r="H56" s="834" t="str">
        <f>项目基本情况!C37</f>
        <v>二级</v>
      </c>
      <c r="I56" s="727">
        <f>SUMIF(修正!A59:A70,H56,修正!E59:E70)</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1893</v>
      </c>
      <c r="B57" s="210" t="e">
        <f t="shared" si="17"/>
        <v>#DIV/0!</v>
      </c>
      <c r="C57" s="163">
        <f t="shared" si="16"/>
        <v>0.3</v>
      </c>
      <c r="D57" s="891">
        <v>0.25</v>
      </c>
      <c r="E57" s="209">
        <f>'数据-汇总表'!E12</f>
        <v>57.39</v>
      </c>
      <c r="F57" s="611" t="e">
        <f t="shared" si="15"/>
        <v>#DIV/0!</v>
      </c>
      <c r="G57" s="839" t="s">
        <v>1894</v>
      </c>
      <c r="H57" s="834" t="str">
        <f>IF(G57="商业",项目基本情况!B37,IF(G57="办公",项目基本情况!C37,IF(G57="住宅",项目基本情况!D37,项目基本情况!E37)))</f>
        <v>二级</v>
      </c>
      <c r="I57" s="727">
        <f>SUMIF(修正!A59:A70,H57,修正!F59:F70)</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1895</v>
      </c>
      <c r="B58" s="210" t="e">
        <f t="shared" si="17"/>
        <v>#DIV/0!</v>
      </c>
      <c r="C58" s="163">
        <f t="shared" si="16"/>
        <v>0</v>
      </c>
      <c r="D58" s="891">
        <v>0.25</v>
      </c>
      <c r="E58" s="209">
        <f>'数据-汇总表'!E13</f>
        <v>0</v>
      </c>
      <c r="F58" s="611" t="e">
        <f t="shared" si="15"/>
        <v>#DIV/0!</v>
      </c>
      <c r="G58" s="839" t="s">
        <v>1896</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1897</v>
      </c>
      <c r="B59" s="210" t="e">
        <f t="shared" si="17"/>
        <v>#DIV/0!</v>
      </c>
      <c r="C59" s="163">
        <f t="shared" si="16"/>
        <v>0.2</v>
      </c>
      <c r="D59" s="891">
        <v>0.25</v>
      </c>
      <c r="E59" s="209">
        <f>'数据-汇总表'!E14</f>
        <v>0</v>
      </c>
      <c r="F59" s="611" t="e">
        <f t="shared" si="15"/>
        <v>#DIV/0!</v>
      </c>
      <c r="G59" s="1835" t="s">
        <v>1888</v>
      </c>
      <c r="H59" s="834" t="str">
        <f>项目基本情况!B37</f>
        <v>二级</v>
      </c>
      <c r="I59" s="727">
        <f>SUMIF(修正!A59:A70,H59,修正!G59:G70)</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1898</v>
      </c>
      <c r="B60" s="210" t="e">
        <f t="shared" si="17"/>
        <v>#DIV/0!</v>
      </c>
      <c r="C60" s="163">
        <f t="shared" si="16"/>
        <v>0.2</v>
      </c>
      <c r="D60" s="891">
        <v>0.25</v>
      </c>
      <c r="E60" s="209">
        <f>'数据-汇总表'!E15</f>
        <v>0</v>
      </c>
      <c r="F60" s="611" t="e">
        <f t="shared" si="15"/>
        <v>#DIV/0!</v>
      </c>
      <c r="G60" s="1836" t="s">
        <v>1892</v>
      </c>
      <c r="H60" s="844" t="str">
        <f>项目基本情况!C37</f>
        <v>二级</v>
      </c>
      <c r="I60" s="727">
        <f>SUMIF(修正!A59:A70,H60,修正!G59:G70)</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1899</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8"/>
      <c r="Q63" s="2488"/>
      <c r="R63" s="2488"/>
      <c r="S63" s="2488"/>
      <c r="T63" s="2488"/>
      <c r="U63" s="2488"/>
      <c r="V63" s="2488"/>
      <c r="W63" s="2488"/>
      <c r="X63" s="2488"/>
      <c r="Y63" s="2488"/>
      <c r="Z63" s="2488"/>
      <c r="AA63" s="2488"/>
      <c r="AB63" s="2488"/>
      <c r="AC63" s="2488"/>
      <c r="AD63" s="2488"/>
      <c r="AE63" s="2488"/>
    </row>
    <row r="64" spans="1:31" ht="21.75" thickBot="1">
      <c r="A64" s="658" t="s">
        <v>1794</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1900</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1920</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1712</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1677</v>
      </c>
      <c r="B68" s="444"/>
      <c r="C68" s="456" t="s">
        <v>1772</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1715</v>
      </c>
      <c r="B70" s="460" t="s">
        <v>1681</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1684</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1685</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1686</v>
      </c>
      <c r="B83" s="460" t="s">
        <v>1825</v>
      </c>
      <c r="C83" s="504" t="s">
        <v>1717</v>
      </c>
      <c r="D83" s="504" t="s">
        <v>1718</v>
      </c>
      <c r="E83" s="504" t="s">
        <v>1719</v>
      </c>
      <c r="F83" s="504" t="s">
        <v>1720</v>
      </c>
      <c r="G83" s="504" t="s">
        <v>1721</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1722</v>
      </c>
      <c r="C85" s="509" t="s">
        <v>1717</v>
      </c>
      <c r="D85" s="509" t="s">
        <v>1718</v>
      </c>
      <c r="E85" s="509" t="s">
        <v>1719</v>
      </c>
      <c r="F85" s="509" t="s">
        <v>1720</v>
      </c>
      <c r="G85" s="509" t="s">
        <v>1721</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1903</v>
      </c>
      <c r="C87" s="504" t="s">
        <v>1717</v>
      </c>
      <c r="D87" s="504" t="s">
        <v>1718</v>
      </c>
      <c r="E87" s="504" t="s">
        <v>1719</v>
      </c>
      <c r="F87" s="504" t="s">
        <v>1720</v>
      </c>
      <c r="G87" s="504" t="s">
        <v>1721</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1904</v>
      </c>
      <c r="C89" s="504" t="s">
        <v>1717</v>
      </c>
      <c r="D89" s="504" t="s">
        <v>1718</v>
      </c>
      <c r="E89" s="504" t="s">
        <v>1719</v>
      </c>
      <c r="F89" s="504" t="s">
        <v>1720</v>
      </c>
      <c r="G89" s="504" t="s">
        <v>1721</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1774</v>
      </c>
      <c r="C91" s="504" t="s">
        <v>1717</v>
      </c>
      <c r="D91" s="504" t="s">
        <v>1718</v>
      </c>
      <c r="E91" s="504" t="s">
        <v>1719</v>
      </c>
      <c r="F91" s="504" t="s">
        <v>1720</v>
      </c>
      <c r="G91" s="504" t="s">
        <v>1721</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1921</v>
      </c>
      <c r="C93" s="581" t="s">
        <v>1795</v>
      </c>
      <c r="D93" s="581" t="s">
        <v>1796</v>
      </c>
      <c r="E93" s="581" t="s">
        <v>1797</v>
      </c>
      <c r="F93" s="581" t="s">
        <v>1798</v>
      </c>
      <c r="G93" s="581" t="s">
        <v>1799</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1905</v>
      </c>
      <c r="D95" s="470" t="s">
        <v>1906</v>
      </c>
      <c r="E95" s="470" t="s">
        <v>1907</v>
      </c>
      <c r="F95" s="470" t="s">
        <v>1908</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1811</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1869</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1690</v>
      </c>
      <c r="B107" s="460" t="s">
        <v>1909</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1910</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1912</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1913</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2079</v>
      </c>
      <c r="C1" s="3491" t="s">
        <v>2080</v>
      </c>
      <c r="D1" s="3492"/>
      <c r="E1" s="3492"/>
      <c r="F1" s="3492"/>
      <c r="G1" s="3492"/>
      <c r="H1" s="3492"/>
      <c r="I1" s="3492"/>
      <c r="J1" s="3492"/>
      <c r="K1" s="3492"/>
      <c r="L1" s="3492"/>
      <c r="M1" s="3492"/>
      <c r="N1" s="3492"/>
      <c r="O1" s="3492"/>
      <c r="P1" s="3492"/>
      <c r="Q1" s="3492"/>
      <c r="R1" s="3492"/>
      <c r="S1" s="3493"/>
      <c r="T1" s="929" t="s">
        <v>2081</v>
      </c>
    </row>
    <row r="2" spans="1:45" s="625" customFormat="1">
      <c r="A2" s="930"/>
      <c r="B2" s="622" t="s">
        <v>2082</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2083</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2084</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2085</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2087</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2089</v>
      </c>
      <c r="B17" s="1987"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2091</v>
      </c>
      <c r="E19" s="1253"/>
      <c r="F19" s="1253"/>
      <c r="G19" s="1253"/>
      <c r="H19" s="996"/>
      <c r="I19" s="151"/>
      <c r="J19" s="151"/>
      <c r="K19" s="151"/>
      <c r="L19" s="151"/>
      <c r="M19" s="151"/>
      <c r="N19" s="151"/>
      <c r="O19" s="151"/>
      <c r="P19" s="151"/>
      <c r="Q19" s="151"/>
      <c r="R19" s="151"/>
      <c r="S19" s="121"/>
    </row>
    <row r="20" spans="1:45" ht="16.5" thickBot="1">
      <c r="A20" s="632" t="s">
        <v>2092</v>
      </c>
      <c r="B20" s="286" t="e">
        <f ca="1">IF(D20="——",S22,S22-F20)</f>
        <v>#REF!</v>
      </c>
      <c r="C20" s="151"/>
      <c r="D20" s="1989"/>
      <c r="E20" s="1254"/>
      <c r="F20" s="929" t="e">
        <f ca="1">SUMIF(INDIRECT("'"&amp;H20&amp;"'"&amp;"!A:A"),"承租人权益价值",INDIRECT("'"&amp;H20&amp;"'"&amp;"!c:c"))</f>
        <v>#REF!</v>
      </c>
      <c r="G20" s="929" t="s">
        <v>2093</v>
      </c>
      <c r="H20" s="1990"/>
      <c r="I20" s="151"/>
      <c r="J20" s="151"/>
      <c r="K20" s="151"/>
      <c r="L20" s="151"/>
      <c r="M20" s="151"/>
      <c r="N20" s="151"/>
      <c r="O20" s="151"/>
      <c r="P20" s="151"/>
      <c r="Q20" s="151"/>
      <c r="R20" s="151"/>
      <c r="S20" s="121"/>
    </row>
    <row r="21" spans="1:45" ht="15.75">
      <c r="A21" s="632"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0</v>
      </c>
      <c r="C22" s="3488" t="s">
        <v>27</v>
      </c>
      <c r="D22" s="3489"/>
      <c r="E22" s="3489"/>
      <c r="F22" s="3489"/>
      <c r="G22" s="3489"/>
      <c r="H22" s="3489"/>
      <c r="I22" s="3489"/>
      <c r="J22" s="3489"/>
      <c r="K22" s="3489"/>
      <c r="L22" s="3489"/>
      <c r="M22" s="3489"/>
      <c r="N22" s="3489"/>
      <c r="O22" s="3489"/>
      <c r="P22" s="3489"/>
      <c r="Q22" s="3490"/>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2101</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904</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1"/>
      <c r="B4" s="3192" t="s">
        <v>913</v>
      </c>
      <c r="C4" s="3192"/>
      <c r="D4" s="3192"/>
      <c r="E4" s="1391"/>
    </row>
    <row r="5" spans="1:5" ht="16.5" thickTop="1">
      <c r="B5" s="3190" t="s">
        <v>905</v>
      </c>
      <c r="C5" s="1392" t="s">
        <v>906</v>
      </c>
      <c r="D5" s="797">
        <f ca="1">结果表!H101</f>
        <v>122799</v>
      </c>
    </row>
    <row r="6" spans="1:5" ht="15.75">
      <c r="B6" s="3190"/>
      <c r="C6" s="1392" t="s">
        <v>907</v>
      </c>
      <c r="D6" s="797" t="str">
        <f ca="1">NUMBERSTRING(INT(D5*10000),2)&amp;"元整"</f>
        <v>壹拾贰亿贰仟柒佰玖拾玖万元整</v>
      </c>
    </row>
    <row r="7" spans="1:5" ht="15.75">
      <c r="B7" s="3195"/>
      <c r="C7" s="1393" t="s">
        <v>908</v>
      </c>
      <c r="D7" s="798">
        <f ca="1">结果表!H102</f>
        <v>33746</v>
      </c>
    </row>
    <row r="8" spans="1:5" ht="15.75">
      <c r="B8" s="3196" t="str">
        <f>结果表!E103</f>
        <v>2.估价师知悉的法定优先受偿款</v>
      </c>
      <c r="C8" s="1394" t="s">
        <v>909</v>
      </c>
      <c r="D8" s="798">
        <f>结果表!H103</f>
        <v>0</v>
      </c>
    </row>
    <row r="9" spans="1:5" ht="15.75">
      <c r="B9" s="3198"/>
      <c r="C9" s="1392" t="s">
        <v>907</v>
      </c>
      <c r="D9" s="797" t="str">
        <f>NUMBERSTRING(INT(D8*10000),2)&amp;"元整"</f>
        <v>零元整</v>
      </c>
    </row>
    <row r="10" spans="1:5" ht="15">
      <c r="B10" s="1395" t="s">
        <v>912</v>
      </c>
      <c r="C10" s="1396" t="s">
        <v>910</v>
      </c>
      <c r="D10" s="799">
        <f>结果表!H104</f>
        <v>0</v>
      </c>
    </row>
    <row r="11" spans="1:5" ht="15">
      <c r="B11" s="1395" t="s">
        <v>914</v>
      </c>
      <c r="C11" s="1396" t="s">
        <v>915</v>
      </c>
      <c r="D11" s="799">
        <f>结果表!H105</f>
        <v>0</v>
      </c>
    </row>
    <row r="12" spans="1:5" ht="15">
      <c r="B12" s="1395" t="s">
        <v>916</v>
      </c>
      <c r="C12" s="1396" t="s">
        <v>915</v>
      </c>
      <c r="D12" s="799">
        <f>结果表!H106</f>
        <v>0</v>
      </c>
    </row>
    <row r="13" spans="1:5" ht="15.75">
      <c r="B13" s="3189" t="str">
        <f>结果表!E107</f>
        <v>3.房地产抵押价值</v>
      </c>
      <c r="C13" s="1397" t="s">
        <v>906</v>
      </c>
      <c r="D13" s="800">
        <f ca="1">结果表!H107</f>
        <v>122799</v>
      </c>
    </row>
    <row r="14" spans="1:5" ht="15.75">
      <c r="B14" s="3190"/>
      <c r="C14" s="1392" t="s">
        <v>907</v>
      </c>
      <c r="D14" s="797" t="str">
        <f ca="1">NUMBERSTRING(INT(D13*10000),2)&amp;"元整"</f>
        <v>壹拾贰亿贰仟柒佰玖拾玖万元整</v>
      </c>
    </row>
    <row r="15" spans="1:5" ht="15">
      <c r="B15" s="3195"/>
      <c r="C15" s="1393" t="s">
        <v>917</v>
      </c>
      <c r="D15" s="806">
        <f ca="1">结果表!H108</f>
        <v>33746</v>
      </c>
    </row>
    <row r="16" spans="1:5" ht="15">
      <c r="B16" s="3196" t="str">
        <f>结果表!E109</f>
        <v>——</v>
      </c>
      <c r="C16" s="1397" t="s">
        <v>918</v>
      </c>
      <c r="D16" s="1398" t="str">
        <f>结果表!H109</f>
        <v>——</v>
      </c>
    </row>
    <row r="17" spans="1:5" ht="15.75">
      <c r="B17" s="3197"/>
      <c r="C17" s="1392" t="s">
        <v>919</v>
      </c>
      <c r="D17" s="797" t="e">
        <f>NUMBERSTRING(INT(D16*10000),2)&amp;"元整"</f>
        <v>#VALUE!</v>
      </c>
    </row>
    <row r="18" spans="1:5" ht="15">
      <c r="B18" s="3198"/>
      <c r="C18" s="1393" t="s">
        <v>908</v>
      </c>
      <c r="D18" s="806" t="str">
        <f>结果表!H110</f>
        <v>——</v>
      </c>
    </row>
    <row r="19" spans="1:5" ht="15.75">
      <c r="B19" s="3189" t="str">
        <f>结果表!E111</f>
        <v>——</v>
      </c>
      <c r="C19" s="1397" t="s">
        <v>906</v>
      </c>
      <c r="D19" s="798" t="str">
        <f>结果表!H111</f>
        <v>——</v>
      </c>
    </row>
    <row r="20" spans="1:5" ht="15.75">
      <c r="B20" s="3190"/>
      <c r="C20" s="1392" t="s">
        <v>919</v>
      </c>
      <c r="D20" s="797" t="e">
        <f>NUMBERSTRING(INT(D19*10000),2)&amp;"元整"</f>
        <v>#VALUE!</v>
      </c>
    </row>
    <row r="21" spans="1:5" ht="15.75" thickBot="1">
      <c r="B21" s="3191"/>
      <c r="C21" s="1399" t="s">
        <v>917</v>
      </c>
      <c r="D21" s="807" t="str">
        <f>结果表!H112</f>
        <v>——</v>
      </c>
    </row>
    <row r="22" spans="1:5" ht="15" thickTop="1">
      <c r="B22" s="1400" t="s">
        <v>920</v>
      </c>
    </row>
    <row r="24" spans="1:5" ht="18.75">
      <c r="A24" s="1401"/>
      <c r="B24" s="1402" t="s">
        <v>911</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2077</v>
      </c>
      <c r="B1" s="4"/>
      <c r="C1" s="4"/>
      <c r="D1" s="4"/>
      <c r="E1" s="4"/>
      <c r="F1" s="2545"/>
      <c r="G1" s="2545"/>
      <c r="H1" s="2545"/>
      <c r="I1" s="2545"/>
      <c r="J1" s="2545"/>
      <c r="K1" s="2545"/>
      <c r="L1" s="2545"/>
      <c r="M1" s="2545"/>
      <c r="N1" s="2545"/>
      <c r="O1" s="2545"/>
      <c r="P1" s="2545"/>
    </row>
    <row r="2" spans="1:16" ht="15.75">
      <c r="A2" s="1984" t="s">
        <v>2069</v>
      </c>
      <c r="B2" s="2388">
        <f ca="1">SUMIF(B6:B13,"&lt;&gt;#ref!",B6:B13)</f>
        <v>85967</v>
      </c>
      <c r="C2" s="1984" t="s">
        <v>2070</v>
      </c>
      <c r="D2" s="1984" t="s">
        <v>2071</v>
      </c>
      <c r="E2" s="2398">
        <f ca="1">SUMIF(E6:E13,"&lt;&gt;#ref!",E6:E13)</f>
        <v>36389.269999999997</v>
      </c>
      <c r="F2" s="2545"/>
      <c r="G2" s="2545"/>
      <c r="H2" s="2545"/>
      <c r="I2" s="2545"/>
      <c r="J2" s="2545"/>
      <c r="K2" s="2545"/>
      <c r="L2" s="2545"/>
      <c r="M2" s="2545"/>
      <c r="N2" s="2545"/>
      <c r="O2" s="2545"/>
      <c r="P2" s="2545"/>
    </row>
    <row r="3" spans="1:16" ht="15.75">
      <c r="A3" s="1984" t="s">
        <v>2072</v>
      </c>
      <c r="B3" s="2388">
        <f ca="1">ROUND(B2*10000/E2,0)</f>
        <v>23624</v>
      </c>
      <c r="C3" s="1984" t="s">
        <v>2078</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2073</v>
      </c>
      <c r="B5" s="2396" t="s">
        <v>2074</v>
      </c>
      <c r="C5" s="1985"/>
      <c r="D5" s="2545"/>
      <c r="E5" s="2397" t="s">
        <v>2075</v>
      </c>
      <c r="F5" s="2545"/>
      <c r="G5" s="2545"/>
      <c r="H5" s="2545"/>
      <c r="I5" s="2545"/>
      <c r="J5" s="2545"/>
      <c r="K5" s="2545"/>
      <c r="L5" s="2545"/>
      <c r="M5" s="2545"/>
      <c r="N5" s="2545"/>
      <c r="O5" s="2545"/>
      <c r="P5" s="2545"/>
    </row>
    <row r="6" spans="1:16" ht="15.75">
      <c r="A6" s="2395" t="s">
        <v>2076</v>
      </c>
      <c r="B6" s="2388">
        <f ca="1">SUMIF(INDIRECT("'"&amp;A6&amp;"'"&amp;"!A:A"),"总价",INDIRECT("'"&amp;A6&amp;"'"&amp;"!B:B"))</f>
        <v>85967</v>
      </c>
      <c r="C6" s="1984" t="s">
        <v>2070</v>
      </c>
      <c r="D6" s="2545"/>
      <c r="E6" s="2398">
        <f ca="1">SUMIF(INDIRECT("'"&amp;A6&amp;"'"&amp;"!C:C"),"建筑面积",INDIRECT("'"&amp;A6&amp;"'"&amp;"!D:D"))</f>
        <v>36389.269999999997</v>
      </c>
      <c r="F6" s="2545"/>
      <c r="G6" s="2545"/>
      <c r="H6" s="2545"/>
      <c r="I6" s="2545"/>
      <c r="J6" s="2545"/>
      <c r="K6" s="2545"/>
      <c r="L6" s="2545"/>
      <c r="M6" s="2545"/>
      <c r="N6" s="2545"/>
      <c r="O6" s="2545"/>
      <c r="P6" s="2545"/>
    </row>
    <row r="7" spans="1:16" ht="15.75">
      <c r="A7" s="2395"/>
      <c r="B7" s="2388" t="e">
        <f ca="1">SUMIF(INDIRECT("'"&amp;A7&amp;"'"&amp;"!A:A"),"总价",INDIRECT("'"&amp;A7&amp;"'"&amp;"!B:B"))</f>
        <v>#REF!</v>
      </c>
      <c r="C7" s="1984" t="s">
        <v>2070</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2070</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2070</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2070</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2070</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2070</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2070</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2581</v>
      </c>
      <c r="B1" s="2812" t="s">
        <v>2582</v>
      </c>
      <c r="C1" s="2812" t="s">
        <v>2583</v>
      </c>
      <c r="D1" s="2812" t="s">
        <v>2584</v>
      </c>
      <c r="E1" s="2812" t="s">
        <v>2585</v>
      </c>
      <c r="F1" s="2812" t="s">
        <v>2586</v>
      </c>
      <c r="G1" s="2812" t="s">
        <v>2587</v>
      </c>
      <c r="H1" s="2812" t="s">
        <v>2588</v>
      </c>
      <c r="I1" s="2812" t="s">
        <v>2589</v>
      </c>
      <c r="J1" s="2812" t="s">
        <v>2590</v>
      </c>
      <c r="K1" s="2812" t="s">
        <v>2591</v>
      </c>
      <c r="L1" s="2812" t="s">
        <v>2592</v>
      </c>
      <c r="M1" s="2813" t="s">
        <v>2593</v>
      </c>
    </row>
    <row r="2" spans="1:13" ht="19.5" customHeight="1">
      <c r="A2" s="2815" t="s">
        <v>2594</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2595</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2596</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2597</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2598</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2599</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2600</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2601</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2602</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2603</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2604</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2605</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2606</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2607</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2608</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2609</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2610</v>
      </c>
      <c r="B18" s="2837"/>
      <c r="C18" s="2838"/>
      <c r="D18" s="2838"/>
      <c r="E18" s="2837"/>
      <c r="F18" s="2838"/>
      <c r="G18" s="2838"/>
    </row>
    <row r="19" spans="1:13" ht="19.5" customHeight="1" thickBot="1">
      <c r="A19" s="2835" t="s">
        <v>2611</v>
      </c>
      <c r="B19" s="2840" t="s">
        <v>2612</v>
      </c>
      <c r="C19" s="2840" t="s">
        <v>2613</v>
      </c>
      <c r="D19" s="2841"/>
      <c r="E19" s="2835" t="s">
        <v>2614</v>
      </c>
      <c r="F19" s="2842"/>
      <c r="G19" s="2842"/>
    </row>
    <row r="20" spans="1:13" ht="19.5" customHeight="1">
      <c r="A20" s="3505" t="s">
        <v>2594</v>
      </c>
      <c r="B20" s="3498" t="s">
        <v>2615</v>
      </c>
      <c r="C20" s="3169" t="s">
        <v>2426</v>
      </c>
      <c r="D20" s="3169"/>
      <c r="E20" s="2845">
        <v>1</v>
      </c>
      <c r="F20" s="2846" t="s">
        <v>2427</v>
      </c>
      <c r="G20" s="2846"/>
    </row>
    <row r="21" spans="1:13" ht="19.5" customHeight="1">
      <c r="A21" s="3506"/>
      <c r="B21" s="3494"/>
      <c r="C21" s="2858" t="s">
        <v>2428</v>
      </c>
      <c r="D21" s="2858"/>
      <c r="E21" s="2849">
        <v>1</v>
      </c>
      <c r="F21" s="2846" t="s">
        <v>2429</v>
      </c>
      <c r="G21" s="2846"/>
    </row>
    <row r="22" spans="1:13" ht="19.5" customHeight="1">
      <c r="A22" s="3506"/>
      <c r="B22" s="3494"/>
      <c r="C22" s="2858" t="s">
        <v>2430</v>
      </c>
      <c r="D22" s="2858"/>
      <c r="E22" s="2849">
        <v>0.9</v>
      </c>
      <c r="F22" s="2846" t="s">
        <v>2431</v>
      </c>
      <c r="G22" s="2846"/>
    </row>
    <row r="23" spans="1:13" ht="19.5" customHeight="1">
      <c r="A23" s="3506"/>
      <c r="B23" s="3494"/>
      <c r="C23" s="2858" t="s">
        <v>2432</v>
      </c>
      <c r="D23" s="2858"/>
      <c r="E23" s="2849">
        <v>0.9</v>
      </c>
      <c r="F23" s="2846" t="s">
        <v>2433</v>
      </c>
      <c r="G23" s="2846"/>
    </row>
    <row r="24" spans="1:13" ht="19.5" customHeight="1">
      <c r="A24" s="3506"/>
      <c r="B24" s="3494"/>
      <c r="C24" s="2858" t="s">
        <v>2434</v>
      </c>
      <c r="D24" s="2858"/>
      <c r="E24" s="2849">
        <v>0.8</v>
      </c>
      <c r="F24" s="2846" t="s">
        <v>2435</v>
      </c>
      <c r="G24" s="2846"/>
    </row>
    <row r="25" spans="1:13" ht="19.5" customHeight="1">
      <c r="A25" s="3506"/>
      <c r="B25" s="3494"/>
      <c r="C25" s="2858" t="s">
        <v>2436</v>
      </c>
      <c r="D25" s="2858"/>
      <c r="E25" s="2849">
        <v>0.8</v>
      </c>
      <c r="F25" s="2846"/>
      <c r="G25" s="2846"/>
    </row>
    <row r="26" spans="1:13" ht="19.5" customHeight="1">
      <c r="A26" s="3506"/>
      <c r="B26" s="3494"/>
      <c r="C26" s="2858" t="s">
        <v>3398</v>
      </c>
      <c r="D26" s="2858"/>
      <c r="E26" s="2849">
        <v>0.43</v>
      </c>
      <c r="F26" s="2846"/>
      <c r="G26" s="2846"/>
    </row>
    <row r="27" spans="1:13" ht="19.5" customHeight="1" thickBot="1">
      <c r="A27" s="3507"/>
      <c r="B27" s="3499"/>
      <c r="C27" s="3165" t="s">
        <v>3399</v>
      </c>
      <c r="D27" s="3165"/>
      <c r="E27" s="2852">
        <f>E26*0.9</f>
        <v>0.38700000000000001</v>
      </c>
      <c r="F27" s="2846" t="s">
        <v>2437</v>
      </c>
      <c r="G27" s="2846"/>
    </row>
    <row r="28" spans="1:13" ht="19.5" customHeight="1" thickBot="1">
      <c r="A28" s="3164" t="s">
        <v>2616</v>
      </c>
      <c r="B28" s="3163" t="s">
        <v>2615</v>
      </c>
      <c r="C28" s="3166" t="s">
        <v>2617</v>
      </c>
      <c r="D28" s="3167"/>
      <c r="E28" s="3168">
        <v>1</v>
      </c>
      <c r="F28" s="2846" t="s">
        <v>2438</v>
      </c>
      <c r="G28" s="2846"/>
    </row>
    <row r="29" spans="1:13" ht="19.5" customHeight="1">
      <c r="A29" s="3500" t="s">
        <v>2618</v>
      </c>
      <c r="B29" s="3503" t="s">
        <v>2599</v>
      </c>
      <c r="C29" s="2843" t="s">
        <v>2439</v>
      </c>
      <c r="D29" s="2844"/>
      <c r="E29" s="2845">
        <v>1</v>
      </c>
      <c r="F29" s="2846" t="s">
        <v>2440</v>
      </c>
      <c r="G29" s="2846"/>
    </row>
    <row r="30" spans="1:13" ht="19.5" customHeight="1">
      <c r="A30" s="3501"/>
      <c r="B30" s="3497"/>
      <c r="C30" s="2847" t="s">
        <v>2441</v>
      </c>
      <c r="D30" s="2848"/>
      <c r="E30" s="2849">
        <v>1</v>
      </c>
      <c r="F30" s="2846" t="s">
        <v>2442</v>
      </c>
      <c r="G30" s="2846"/>
    </row>
    <row r="31" spans="1:13" ht="19.5" customHeight="1">
      <c r="A31" s="3501"/>
      <c r="B31" s="3497"/>
      <c r="C31" s="2847" t="s">
        <v>2443</v>
      </c>
      <c r="D31" s="2848"/>
      <c r="E31" s="2849">
        <v>0.8</v>
      </c>
      <c r="F31" s="2846" t="s">
        <v>2444</v>
      </c>
      <c r="G31" s="2846"/>
    </row>
    <row r="32" spans="1:13" ht="19.5" customHeight="1">
      <c r="A32" s="3501"/>
      <c r="B32" s="3497"/>
      <c r="C32" s="2847" t="s">
        <v>2445</v>
      </c>
      <c r="D32" s="2848"/>
      <c r="E32" s="2849">
        <v>0.8</v>
      </c>
      <c r="F32" s="2846" t="s">
        <v>2446</v>
      </c>
      <c r="G32" s="2846"/>
    </row>
    <row r="33" spans="1:7" ht="19.5" customHeight="1">
      <c r="A33" s="3501"/>
      <c r="B33" s="3497"/>
      <c r="C33" s="2847" t="s">
        <v>2447</v>
      </c>
      <c r="D33" s="2848"/>
      <c r="E33" s="2849">
        <v>0.8</v>
      </c>
      <c r="F33" s="2846" t="s">
        <v>2448</v>
      </c>
      <c r="G33" s="2846"/>
    </row>
    <row r="34" spans="1:7" ht="19.5" customHeight="1">
      <c r="A34" s="3501"/>
      <c r="B34" s="3497"/>
      <c r="C34" s="2847" t="s">
        <v>2449</v>
      </c>
      <c r="D34" s="2848"/>
      <c r="E34" s="2849">
        <v>0.7</v>
      </c>
      <c r="F34" s="2846" t="s">
        <v>2450</v>
      </c>
      <c r="G34" s="2846"/>
    </row>
    <row r="35" spans="1:7" ht="19.5" customHeight="1">
      <c r="A35" s="3501"/>
      <c r="B35" s="3497"/>
      <c r="C35" s="2847" t="s">
        <v>2451</v>
      </c>
      <c r="D35" s="2848"/>
      <c r="E35" s="2849">
        <v>0.8</v>
      </c>
      <c r="F35" s="2846" t="s">
        <v>2452</v>
      </c>
      <c r="G35" s="2846"/>
    </row>
    <row r="36" spans="1:7" ht="19.5" customHeight="1">
      <c r="A36" s="3501"/>
      <c r="B36" s="3497"/>
      <c r="C36" s="2847" t="s">
        <v>2453</v>
      </c>
      <c r="D36" s="2848"/>
      <c r="E36" s="2849">
        <v>0.6</v>
      </c>
      <c r="F36" s="2846" t="s">
        <v>2454</v>
      </c>
      <c r="G36" s="2846"/>
    </row>
    <row r="37" spans="1:7" ht="19.5" customHeight="1">
      <c r="A37" s="3501"/>
      <c r="B37" s="3497"/>
      <c r="C37" s="2847" t="s">
        <v>2455</v>
      </c>
      <c r="D37" s="2848"/>
      <c r="E37" s="2849">
        <v>0.2</v>
      </c>
      <c r="F37" s="2846" t="s">
        <v>2456</v>
      </c>
      <c r="G37" s="2846"/>
    </row>
    <row r="38" spans="1:7" ht="19.5" customHeight="1">
      <c r="A38" s="3501"/>
      <c r="B38" s="3497"/>
      <c r="C38" s="2847" t="s">
        <v>2457</v>
      </c>
      <c r="D38" s="2848"/>
      <c r="E38" s="2849">
        <v>0.2</v>
      </c>
      <c r="F38" s="2846" t="s">
        <v>2458</v>
      </c>
      <c r="G38" s="2846"/>
    </row>
    <row r="39" spans="1:7" ht="19.5" customHeight="1">
      <c r="A39" s="3501"/>
      <c r="B39" s="3495" t="s">
        <v>2619</v>
      </c>
      <c r="C39" s="2847" t="s">
        <v>2459</v>
      </c>
      <c r="D39" s="2848"/>
      <c r="E39" s="2849">
        <v>0.6</v>
      </c>
      <c r="F39" s="2846" t="s">
        <v>2460</v>
      </c>
      <c r="G39" s="2846"/>
    </row>
    <row r="40" spans="1:7" ht="19.5" customHeight="1">
      <c r="A40" s="3501"/>
      <c r="B40" s="3497"/>
      <c r="C40" s="2847" t="s">
        <v>2461</v>
      </c>
      <c r="D40" s="2848"/>
      <c r="E40" s="2849">
        <v>0.6</v>
      </c>
      <c r="F40" s="2846" t="s">
        <v>2462</v>
      </c>
      <c r="G40" s="2846"/>
    </row>
    <row r="41" spans="1:7" ht="19.5" customHeight="1" thickBot="1">
      <c r="A41" s="3502"/>
      <c r="B41" s="3504"/>
      <c r="C41" s="2850" t="s">
        <v>2463</v>
      </c>
      <c r="D41" s="2851"/>
      <c r="E41" s="2852">
        <v>0.6</v>
      </c>
      <c r="F41" s="2846" t="s">
        <v>2464</v>
      </c>
      <c r="G41" s="2846"/>
    </row>
    <row r="42" spans="1:7" ht="19.5" customHeight="1" thickBot="1">
      <c r="A42" s="2853" t="s">
        <v>2596</v>
      </c>
      <c r="B42" s="2854" t="s">
        <v>2596</v>
      </c>
      <c r="C42" s="2855" t="s">
        <v>2620</v>
      </c>
      <c r="D42" s="2856"/>
      <c r="E42" s="2857">
        <v>1</v>
      </c>
      <c r="F42" s="2846" t="s">
        <v>2465</v>
      </c>
      <c r="G42" s="2846"/>
    </row>
    <row r="43" spans="1:7" ht="19.5" customHeight="1">
      <c r="A43" s="3505" t="s">
        <v>2597</v>
      </c>
      <c r="B43" s="3503" t="s">
        <v>2621</v>
      </c>
      <c r="C43" s="2843" t="s">
        <v>2466</v>
      </c>
      <c r="D43" s="2844"/>
      <c r="E43" s="2845">
        <v>1</v>
      </c>
      <c r="F43" s="2846" t="s">
        <v>2467</v>
      </c>
      <c r="G43" s="2846"/>
    </row>
    <row r="44" spans="1:7" ht="19.5" customHeight="1">
      <c r="A44" s="3506"/>
      <c r="B44" s="3497"/>
      <c r="C44" s="2847" t="s">
        <v>2468</v>
      </c>
      <c r="D44" s="2848"/>
      <c r="E44" s="2849">
        <v>1</v>
      </c>
      <c r="F44" s="2846" t="s">
        <v>2469</v>
      </c>
      <c r="G44" s="2846"/>
    </row>
    <row r="45" spans="1:7" ht="19.5" customHeight="1">
      <c r="A45" s="3506"/>
      <c r="B45" s="3496"/>
      <c r="C45" s="2847" t="s">
        <v>2470</v>
      </c>
      <c r="D45" s="2848"/>
      <c r="E45" s="2849">
        <v>1.5</v>
      </c>
      <c r="F45" s="2846" t="s">
        <v>2471</v>
      </c>
      <c r="G45" s="2846"/>
    </row>
    <row r="46" spans="1:7" ht="19.5" customHeight="1">
      <c r="A46" s="3506"/>
      <c r="B46" s="2858" t="s">
        <v>2622</v>
      </c>
      <c r="C46" s="2847" t="s">
        <v>2623</v>
      </c>
      <c r="D46" s="2848"/>
      <c r="E46" s="2849">
        <v>2</v>
      </c>
      <c r="F46" s="2846" t="s">
        <v>2472</v>
      </c>
      <c r="G46" s="2846"/>
    </row>
    <row r="47" spans="1:7" ht="19.5" customHeight="1">
      <c r="A47" s="3506"/>
      <c r="B47" s="3495" t="s">
        <v>2624</v>
      </c>
      <c r="C47" s="2847" t="s">
        <v>2473</v>
      </c>
      <c r="D47" s="2848"/>
      <c r="E47" s="2849">
        <v>1</v>
      </c>
      <c r="F47" s="2846" t="s">
        <v>2474</v>
      </c>
      <c r="G47" s="2846"/>
    </row>
    <row r="48" spans="1:7" ht="19.5" customHeight="1">
      <c r="A48" s="3506"/>
      <c r="B48" s="3497"/>
      <c r="C48" s="2847" t="s">
        <v>2475</v>
      </c>
      <c r="D48" s="2848"/>
      <c r="E48" s="2849">
        <v>1</v>
      </c>
      <c r="F48" s="2846" t="s">
        <v>2476</v>
      </c>
      <c r="G48" s="2846"/>
    </row>
    <row r="49" spans="1:7" ht="19.5" customHeight="1">
      <c r="A49" s="3506"/>
      <c r="B49" s="3497"/>
      <c r="C49" s="2847" t="s">
        <v>2477</v>
      </c>
      <c r="D49" s="2848"/>
      <c r="E49" s="2849">
        <v>1</v>
      </c>
      <c r="F49" s="2846" t="s">
        <v>2478</v>
      </c>
      <c r="G49" s="2846"/>
    </row>
    <row r="50" spans="1:7" ht="19.5" customHeight="1">
      <c r="A50" s="3506"/>
      <c r="B50" s="3497"/>
      <c r="C50" s="2847" t="s">
        <v>2479</v>
      </c>
      <c r="D50" s="2848"/>
      <c r="E50" s="2849">
        <v>1</v>
      </c>
      <c r="F50" s="2846" t="s">
        <v>2480</v>
      </c>
      <c r="G50" s="2846"/>
    </row>
    <row r="51" spans="1:7" ht="19.5" customHeight="1">
      <c r="A51" s="3506"/>
      <c r="B51" s="3497"/>
      <c r="C51" s="2847" t="s">
        <v>2481</v>
      </c>
      <c r="D51" s="2848"/>
      <c r="E51" s="2849">
        <v>1</v>
      </c>
      <c r="F51" s="2846" t="s">
        <v>2482</v>
      </c>
      <c r="G51" s="2846"/>
    </row>
    <row r="52" spans="1:7" ht="19.5" customHeight="1">
      <c r="A52" s="3506"/>
      <c r="B52" s="3497"/>
      <c r="C52" s="2847" t="s">
        <v>2483</v>
      </c>
      <c r="D52" s="2848"/>
      <c r="E52" s="2849">
        <v>1</v>
      </c>
      <c r="F52" s="2846" t="s">
        <v>2484</v>
      </c>
      <c r="G52" s="2846"/>
    </row>
    <row r="53" spans="1:7" ht="19.5" customHeight="1" thickBot="1">
      <c r="A53" s="3507"/>
      <c r="B53" s="3504"/>
      <c r="C53" s="2850" t="s">
        <v>2485</v>
      </c>
      <c r="D53" s="2851"/>
      <c r="E53" s="2852">
        <v>1</v>
      </c>
      <c r="F53" s="2846" t="s">
        <v>2486</v>
      </c>
      <c r="G53" s="2846"/>
    </row>
    <row r="54" spans="1:7" ht="19.5" customHeight="1">
      <c r="A54" s="2859"/>
      <c r="B54" s="2859"/>
      <c r="C54" s="2859"/>
      <c r="D54" s="2859"/>
      <c r="E54" s="2859"/>
      <c r="F54" s="2859"/>
      <c r="G54" s="2859"/>
    </row>
    <row r="56" spans="1:7" ht="19.5" customHeight="1">
      <c r="A56" s="2860"/>
      <c r="B56" s="2832" t="s">
        <v>2625</v>
      </c>
      <c r="C56" s="2832" t="s">
        <v>2625</v>
      </c>
      <c r="D56" s="2832" t="s">
        <v>2625</v>
      </c>
      <c r="E56" s="2835" t="s">
        <v>2625</v>
      </c>
      <c r="F56" s="2835" t="s">
        <v>2626</v>
      </c>
      <c r="G56" s="2835" t="s">
        <v>2627</v>
      </c>
    </row>
    <row r="57" spans="1:7" ht="19.5" customHeight="1">
      <c r="A57" s="2861"/>
      <c r="B57" s="2835" t="s">
        <v>2594</v>
      </c>
      <c r="C57" s="2835" t="s">
        <v>2594</v>
      </c>
      <c r="D57" s="2835" t="s">
        <v>2594</v>
      </c>
      <c r="E57" s="2832" t="s">
        <v>2595</v>
      </c>
      <c r="F57" s="2832" t="s">
        <v>2597</v>
      </c>
      <c r="G57" s="2832" t="s">
        <v>2628</v>
      </c>
    </row>
    <row r="58" spans="1:7" ht="19.5" customHeight="1">
      <c r="A58" s="2862"/>
      <c r="B58" s="2832">
        <v>1</v>
      </c>
      <c r="C58" s="2832">
        <v>2</v>
      </c>
      <c r="D58" s="2832">
        <v>3</v>
      </c>
      <c r="E58" s="2863" t="s">
        <v>2629</v>
      </c>
      <c r="F58" s="2863" t="s">
        <v>2629</v>
      </c>
      <c r="G58" s="2863" t="s">
        <v>2629</v>
      </c>
    </row>
    <row r="59" spans="1:7" ht="19.5" customHeight="1">
      <c r="A59" s="2864" t="s">
        <v>2582</v>
      </c>
      <c r="B59" s="2832">
        <v>0.7</v>
      </c>
      <c r="C59" s="2832">
        <v>0.4</v>
      </c>
      <c r="D59" s="2832">
        <v>0.3</v>
      </c>
      <c r="E59" s="2863">
        <v>0.3</v>
      </c>
      <c r="F59" s="2832">
        <v>0.3</v>
      </c>
      <c r="G59" s="2832">
        <v>0.2</v>
      </c>
    </row>
    <row r="60" spans="1:7" ht="19.5" customHeight="1">
      <c r="A60" s="2864" t="s">
        <v>2583</v>
      </c>
      <c r="B60" s="2832">
        <v>0.7</v>
      </c>
      <c r="C60" s="2832">
        <v>0.4</v>
      </c>
      <c r="D60" s="2832">
        <v>0.3</v>
      </c>
      <c r="E60" s="2832">
        <v>0.3</v>
      </c>
      <c r="F60" s="2832">
        <v>0.3</v>
      </c>
      <c r="G60" s="2832">
        <v>0.2</v>
      </c>
    </row>
    <row r="61" spans="1:7" ht="19.5" customHeight="1">
      <c r="A61" s="2864" t="s">
        <v>2584</v>
      </c>
      <c r="B61" s="2832">
        <v>0.6</v>
      </c>
      <c r="C61" s="2832">
        <v>0.3</v>
      </c>
      <c r="D61" s="2832">
        <v>0.25</v>
      </c>
      <c r="E61" s="2832">
        <v>0.25</v>
      </c>
      <c r="F61" s="2832">
        <v>0.25</v>
      </c>
      <c r="G61" s="2832">
        <v>0.15</v>
      </c>
    </row>
    <row r="62" spans="1:7" ht="19.5" customHeight="1">
      <c r="A62" s="2864" t="s">
        <v>2585</v>
      </c>
      <c r="B62" s="2832">
        <v>0.6</v>
      </c>
      <c r="C62" s="2832">
        <v>0.3</v>
      </c>
      <c r="D62" s="2832">
        <v>0.25</v>
      </c>
      <c r="E62" s="2832">
        <v>0.25</v>
      </c>
      <c r="F62" s="2832">
        <v>0.25</v>
      </c>
      <c r="G62" s="2832">
        <v>0.15</v>
      </c>
    </row>
    <row r="63" spans="1:7" ht="19.5" customHeight="1">
      <c r="A63" s="2864" t="s">
        <v>2586</v>
      </c>
      <c r="B63" s="2832">
        <v>0.6</v>
      </c>
      <c r="C63" s="2832">
        <v>0.3</v>
      </c>
      <c r="D63" s="2832">
        <v>0.25</v>
      </c>
      <c r="E63" s="2832">
        <v>0.25</v>
      </c>
      <c r="F63" s="2832">
        <v>0.25</v>
      </c>
      <c r="G63" s="2832">
        <v>0.15</v>
      </c>
    </row>
    <row r="64" spans="1:7" ht="19.5" customHeight="1">
      <c r="A64" s="2864" t="s">
        <v>2587</v>
      </c>
      <c r="B64" s="2832">
        <v>0.6</v>
      </c>
      <c r="C64" s="2832">
        <v>0.3</v>
      </c>
      <c r="D64" s="2832">
        <v>0.25</v>
      </c>
      <c r="E64" s="2832">
        <v>0.25</v>
      </c>
      <c r="F64" s="2832">
        <v>0.25</v>
      </c>
      <c r="G64" s="2832">
        <v>0.15</v>
      </c>
    </row>
    <row r="65" spans="1:7" ht="19.5" customHeight="1">
      <c r="A65" s="2864" t="s">
        <v>2588</v>
      </c>
      <c r="B65" s="2832">
        <v>0.6</v>
      </c>
      <c r="C65" s="2832">
        <v>0.3</v>
      </c>
      <c r="D65" s="2832">
        <v>0.25</v>
      </c>
      <c r="E65" s="2832">
        <v>0.25</v>
      </c>
      <c r="F65" s="2832">
        <v>0.25</v>
      </c>
      <c r="G65" s="2832">
        <v>0.15</v>
      </c>
    </row>
    <row r="66" spans="1:7" ht="19.5" customHeight="1">
      <c r="A66" s="2864" t="s">
        <v>2589</v>
      </c>
      <c r="B66" s="2832">
        <v>0.5</v>
      </c>
      <c r="C66" s="2832">
        <v>0.2</v>
      </c>
      <c r="D66" s="2832">
        <v>0.2</v>
      </c>
      <c r="E66" s="2832">
        <v>0.2</v>
      </c>
      <c r="F66" s="2832">
        <v>0.2</v>
      </c>
      <c r="G66" s="2832">
        <v>0.1</v>
      </c>
    </row>
    <row r="67" spans="1:7" ht="19.5" customHeight="1">
      <c r="A67" s="2864" t="s">
        <v>2590</v>
      </c>
      <c r="B67" s="2832">
        <v>0.5</v>
      </c>
      <c r="C67" s="2832">
        <v>0.2</v>
      </c>
      <c r="D67" s="2832">
        <v>0.2</v>
      </c>
      <c r="E67" s="2832">
        <v>0.2</v>
      </c>
      <c r="F67" s="2832">
        <v>0.2</v>
      </c>
      <c r="G67" s="2832">
        <v>0.1</v>
      </c>
    </row>
    <row r="68" spans="1:7" ht="19.5" customHeight="1">
      <c r="A68" s="2864" t="s">
        <v>2591</v>
      </c>
      <c r="B68" s="2832">
        <v>0.5</v>
      </c>
      <c r="C68" s="2832">
        <v>0.2</v>
      </c>
      <c r="D68" s="2832">
        <v>0.2</v>
      </c>
      <c r="E68" s="2832">
        <v>0.2</v>
      </c>
      <c r="F68" s="2832">
        <v>0.2</v>
      </c>
      <c r="G68" s="2832">
        <v>0.1</v>
      </c>
    </row>
    <row r="69" spans="1:7" ht="19.5" customHeight="1">
      <c r="A69" s="2864" t="s">
        <v>2592</v>
      </c>
      <c r="B69" s="2832">
        <v>0.5</v>
      </c>
      <c r="C69" s="2832">
        <v>0.2</v>
      </c>
      <c r="D69" s="2832">
        <v>0.2</v>
      </c>
      <c r="E69" s="2832">
        <v>0.2</v>
      </c>
      <c r="F69" s="2832">
        <v>0.2</v>
      </c>
      <c r="G69" s="2832">
        <v>0.1</v>
      </c>
    </row>
    <row r="70" spans="1:7" ht="19.5" customHeight="1">
      <c r="A70" s="2864" t="s">
        <v>2593</v>
      </c>
      <c r="B70" s="2832">
        <v>0.5</v>
      </c>
      <c r="C70" s="2832">
        <v>0.2</v>
      </c>
      <c r="D70" s="2832">
        <v>0.2</v>
      </c>
      <c r="E70" s="2832">
        <v>0.2</v>
      </c>
      <c r="F70" s="2832">
        <v>0.2</v>
      </c>
      <c r="G70" s="2832">
        <v>0.1</v>
      </c>
    </row>
    <row r="72" spans="1:7" ht="19.5" customHeight="1">
      <c r="A72" s="2846"/>
      <c r="B72" s="2865"/>
      <c r="C72" s="2865"/>
      <c r="D72" s="2865" t="s">
        <v>2630</v>
      </c>
      <c r="E72" s="2865"/>
      <c r="F72" s="2865"/>
    </row>
    <row r="73" spans="1:7" ht="19.5" customHeight="1">
      <c r="A73" s="2858" t="s">
        <v>2631</v>
      </c>
      <c r="B73" s="2858" t="s">
        <v>2632</v>
      </c>
      <c r="C73" s="2858" t="s">
        <v>2633</v>
      </c>
      <c r="D73" s="2858" t="s">
        <v>2634</v>
      </c>
      <c r="E73" s="2858" t="s">
        <v>2635</v>
      </c>
      <c r="F73" s="2858" t="s">
        <v>2636</v>
      </c>
    </row>
    <row r="74" spans="1:7" ht="13.5">
      <c r="A74" s="2858"/>
      <c r="B74" s="2858"/>
      <c r="C74" s="2858" t="s">
        <v>2637</v>
      </c>
      <c r="D74" s="2858"/>
      <c r="E74" s="2858" t="s">
        <v>2608</v>
      </c>
      <c r="F74" s="2858" t="s">
        <v>2608</v>
      </c>
    </row>
    <row r="75" spans="1:7" ht="13.5">
      <c r="A75" s="2858">
        <v>1</v>
      </c>
      <c r="B75" s="3495" t="s">
        <v>2638</v>
      </c>
      <c r="C75" s="2832" t="s">
        <v>2639</v>
      </c>
      <c r="D75" s="2832" t="s">
        <v>2640</v>
      </c>
      <c r="E75" s="2858">
        <v>0.2</v>
      </c>
      <c r="F75" s="2858">
        <v>25</v>
      </c>
    </row>
    <row r="76" spans="1:7" ht="24">
      <c r="A76" s="2858">
        <v>2</v>
      </c>
      <c r="B76" s="3497"/>
      <c r="C76" s="2832" t="s">
        <v>2641</v>
      </c>
      <c r="D76" s="2832" t="s">
        <v>2642</v>
      </c>
      <c r="E76" s="2858">
        <v>0.2</v>
      </c>
      <c r="F76" s="2858">
        <v>25</v>
      </c>
    </row>
    <row r="77" spans="1:7" ht="24">
      <c r="A77" s="2858">
        <v>3</v>
      </c>
      <c r="B77" s="3497"/>
      <c r="C77" s="2832" t="s">
        <v>2643</v>
      </c>
      <c r="D77" s="2832" t="s">
        <v>2644</v>
      </c>
      <c r="E77" s="2858">
        <v>0.2</v>
      </c>
      <c r="F77" s="2858">
        <v>25</v>
      </c>
    </row>
    <row r="78" spans="1:7" ht="13.5">
      <c r="A78" s="2858">
        <v>4</v>
      </c>
      <c r="B78" s="3497"/>
      <c r="C78" s="2832" t="s">
        <v>2645</v>
      </c>
      <c r="D78" s="2832" t="s">
        <v>2646</v>
      </c>
      <c r="E78" s="2858">
        <v>0.15</v>
      </c>
      <c r="F78" s="2858">
        <v>20</v>
      </c>
    </row>
    <row r="79" spans="1:7" ht="24">
      <c r="A79" s="2858">
        <v>5</v>
      </c>
      <c r="B79" s="3497"/>
      <c r="C79" s="2832" t="s">
        <v>2647</v>
      </c>
      <c r="D79" s="2832" t="s">
        <v>2648</v>
      </c>
      <c r="E79" s="2858">
        <v>0.15</v>
      </c>
      <c r="F79" s="2858">
        <v>20</v>
      </c>
    </row>
    <row r="80" spans="1:7" ht="24">
      <c r="A80" s="2858">
        <v>6</v>
      </c>
      <c r="B80" s="3497"/>
      <c r="C80" s="2832" t="s">
        <v>2649</v>
      </c>
      <c r="D80" s="2832" t="s">
        <v>2650</v>
      </c>
      <c r="E80" s="2858">
        <v>0.15</v>
      </c>
      <c r="F80" s="2858">
        <v>20</v>
      </c>
    </row>
    <row r="81" spans="1:6" ht="24">
      <c r="A81" s="2858">
        <v>7</v>
      </c>
      <c r="B81" s="3497"/>
      <c r="C81" s="2832" t="s">
        <v>2651</v>
      </c>
      <c r="D81" s="2832" t="s">
        <v>2652</v>
      </c>
      <c r="E81" s="2858">
        <v>0.15</v>
      </c>
      <c r="F81" s="2858">
        <v>20</v>
      </c>
    </row>
    <row r="82" spans="1:6" ht="24">
      <c r="A82" s="2858">
        <v>8</v>
      </c>
      <c r="B82" s="3497"/>
      <c r="C82" s="2832" t="s">
        <v>2653</v>
      </c>
      <c r="D82" s="2832" t="s">
        <v>2654</v>
      </c>
      <c r="E82" s="2858">
        <v>0.1</v>
      </c>
      <c r="F82" s="2858">
        <v>15</v>
      </c>
    </row>
    <row r="83" spans="1:6" ht="24">
      <c r="A83" s="2858">
        <v>9</v>
      </c>
      <c r="B83" s="3497"/>
      <c r="C83" s="2832" t="s">
        <v>2655</v>
      </c>
      <c r="D83" s="2832" t="s">
        <v>2656</v>
      </c>
      <c r="E83" s="2858">
        <v>0.1</v>
      </c>
      <c r="F83" s="2858">
        <v>15</v>
      </c>
    </row>
    <row r="84" spans="1:6" ht="24">
      <c r="A84" s="2858">
        <v>10</v>
      </c>
      <c r="B84" s="3497"/>
      <c r="C84" s="2832" t="s">
        <v>2657</v>
      </c>
      <c r="D84" s="2832" t="s">
        <v>2658</v>
      </c>
      <c r="E84" s="2858">
        <v>0.1</v>
      </c>
      <c r="F84" s="2858">
        <v>15</v>
      </c>
    </row>
    <row r="85" spans="1:6" ht="24">
      <c r="A85" s="2858">
        <v>11</v>
      </c>
      <c r="B85" s="3497"/>
      <c r="C85" s="2832" t="s">
        <v>2659</v>
      </c>
      <c r="D85" s="2832" t="s">
        <v>2660</v>
      </c>
      <c r="E85" s="2858">
        <v>0.1</v>
      </c>
      <c r="F85" s="2858">
        <v>15</v>
      </c>
    </row>
    <row r="86" spans="1:6" ht="24">
      <c r="A86" s="2858">
        <v>12</v>
      </c>
      <c r="B86" s="3497"/>
      <c r="C86" s="2832" t="s">
        <v>2661</v>
      </c>
      <c r="D86" s="2832" t="s">
        <v>2662</v>
      </c>
      <c r="E86" s="2858">
        <v>0.1</v>
      </c>
      <c r="F86" s="2858">
        <v>15</v>
      </c>
    </row>
    <row r="87" spans="1:6" ht="13.5">
      <c r="A87" s="2858">
        <v>13</v>
      </c>
      <c r="B87" s="3497"/>
      <c r="C87" s="2832" t="s">
        <v>2663</v>
      </c>
      <c r="D87" s="2832" t="s">
        <v>2664</v>
      </c>
      <c r="E87" s="2858">
        <v>0.1</v>
      </c>
      <c r="F87" s="2858">
        <v>15</v>
      </c>
    </row>
    <row r="88" spans="1:6" ht="13.5">
      <c r="A88" s="2858">
        <v>14</v>
      </c>
      <c r="B88" s="3497"/>
      <c r="C88" s="2832" t="s">
        <v>2665</v>
      </c>
      <c r="D88" s="2832" t="s">
        <v>2666</v>
      </c>
      <c r="E88" s="2858">
        <v>0.1</v>
      </c>
      <c r="F88" s="2858">
        <v>15</v>
      </c>
    </row>
    <row r="89" spans="1:6" ht="13.5">
      <c r="A89" s="2858">
        <v>15</v>
      </c>
      <c r="B89" s="3497"/>
      <c r="C89" s="2832" t="s">
        <v>2667</v>
      </c>
      <c r="D89" s="2832" t="s">
        <v>2668</v>
      </c>
      <c r="E89" s="2858">
        <v>0.1</v>
      </c>
      <c r="F89" s="2858">
        <v>15</v>
      </c>
    </row>
    <row r="90" spans="1:6" ht="24">
      <c r="A90" s="2858">
        <v>16</v>
      </c>
      <c r="B90" s="3497"/>
      <c r="C90" s="2832" t="s">
        <v>2669</v>
      </c>
      <c r="D90" s="2832" t="s">
        <v>2670</v>
      </c>
      <c r="E90" s="2858">
        <v>0.1</v>
      </c>
      <c r="F90" s="2858">
        <v>15</v>
      </c>
    </row>
    <row r="91" spans="1:6" ht="24">
      <c r="A91" s="2858">
        <v>17</v>
      </c>
      <c r="B91" s="3496"/>
      <c r="C91" s="2832" t="s">
        <v>2671</v>
      </c>
      <c r="D91" s="2832" t="s">
        <v>2672</v>
      </c>
      <c r="E91" s="2858">
        <v>0.1</v>
      </c>
      <c r="F91" s="2858">
        <v>15</v>
      </c>
    </row>
    <row r="92" spans="1:6" ht="13.5">
      <c r="A92" s="2858">
        <v>18</v>
      </c>
      <c r="B92" s="3495" t="s">
        <v>2673</v>
      </c>
      <c r="C92" s="2832" t="s">
        <v>2674</v>
      </c>
      <c r="D92" s="2832" t="s">
        <v>2675</v>
      </c>
      <c r="E92" s="2858">
        <v>0.2</v>
      </c>
      <c r="F92" s="2858">
        <v>25</v>
      </c>
    </row>
    <row r="93" spans="1:6" ht="24">
      <c r="A93" s="2858">
        <v>19</v>
      </c>
      <c r="B93" s="3497"/>
      <c r="C93" s="2832" t="s">
        <v>2676</v>
      </c>
      <c r="D93" s="2832" t="s">
        <v>2677</v>
      </c>
      <c r="E93" s="2858">
        <v>0.2</v>
      </c>
      <c r="F93" s="2858">
        <v>25</v>
      </c>
    </row>
    <row r="94" spans="1:6" ht="13.5">
      <c r="A94" s="2858">
        <v>20</v>
      </c>
      <c r="B94" s="3497"/>
      <c r="C94" s="2832" t="s">
        <v>2678</v>
      </c>
      <c r="D94" s="2832" t="s">
        <v>2679</v>
      </c>
      <c r="E94" s="2858">
        <v>0.15</v>
      </c>
      <c r="F94" s="2858">
        <v>20</v>
      </c>
    </row>
    <row r="95" spans="1:6" ht="13.5">
      <c r="A95" s="2858">
        <v>21</v>
      </c>
      <c r="B95" s="3497"/>
      <c r="C95" s="2832" t="s">
        <v>2680</v>
      </c>
      <c r="D95" s="2832" t="s">
        <v>2681</v>
      </c>
      <c r="E95" s="2858">
        <v>0.15</v>
      </c>
      <c r="F95" s="2858">
        <v>20</v>
      </c>
    </row>
    <row r="96" spans="1:6" ht="13.5">
      <c r="A96" s="2858">
        <v>22</v>
      </c>
      <c r="B96" s="3497"/>
      <c r="C96" s="2832" t="s">
        <v>2682</v>
      </c>
      <c r="D96" s="2832" t="s">
        <v>2683</v>
      </c>
      <c r="E96" s="2858">
        <v>0.15</v>
      </c>
      <c r="F96" s="2858">
        <v>20</v>
      </c>
    </row>
    <row r="97" spans="1:6" ht="36">
      <c r="A97" s="2858">
        <v>23</v>
      </c>
      <c r="B97" s="3497"/>
      <c r="C97" s="2832" t="s">
        <v>2684</v>
      </c>
      <c r="D97" s="2832" t="s">
        <v>2685</v>
      </c>
      <c r="E97" s="2858">
        <v>0.15</v>
      </c>
      <c r="F97" s="2858">
        <v>20</v>
      </c>
    </row>
    <row r="98" spans="1:6" ht="13.5">
      <c r="A98" s="2858">
        <v>24</v>
      </c>
      <c r="B98" s="3497"/>
      <c r="C98" s="2832" t="s">
        <v>2686</v>
      </c>
      <c r="D98" s="2832" t="s">
        <v>2687</v>
      </c>
      <c r="E98" s="2858">
        <v>0.1</v>
      </c>
      <c r="F98" s="2858">
        <v>15</v>
      </c>
    </row>
    <row r="99" spans="1:6" ht="13.5">
      <c r="A99" s="2858">
        <v>25</v>
      </c>
      <c r="B99" s="3497"/>
      <c r="C99" s="2832" t="s">
        <v>2688</v>
      </c>
      <c r="D99" s="2832" t="s">
        <v>2689</v>
      </c>
      <c r="E99" s="2858">
        <v>0.1</v>
      </c>
      <c r="F99" s="2858">
        <v>15</v>
      </c>
    </row>
    <row r="100" spans="1:6" ht="24">
      <c r="A100" s="2858">
        <v>26</v>
      </c>
      <c r="B100" s="3497"/>
      <c r="C100" s="2832" t="s">
        <v>2690</v>
      </c>
      <c r="D100" s="2832" t="s">
        <v>2691</v>
      </c>
      <c r="E100" s="2858">
        <v>0.1</v>
      </c>
      <c r="F100" s="2858">
        <v>15</v>
      </c>
    </row>
    <row r="101" spans="1:6" ht="24">
      <c r="A101" s="2858">
        <v>27</v>
      </c>
      <c r="B101" s="3497"/>
      <c r="C101" s="2832" t="s">
        <v>2692</v>
      </c>
      <c r="D101" s="2832" t="s">
        <v>2693</v>
      </c>
      <c r="E101" s="2858">
        <v>0.1</v>
      </c>
      <c r="F101" s="2858">
        <v>15</v>
      </c>
    </row>
    <row r="102" spans="1:6" ht="13.5">
      <c r="A102" s="2858">
        <v>28</v>
      </c>
      <c r="B102" s="3497"/>
      <c r="C102" s="2832" t="s">
        <v>2694</v>
      </c>
      <c r="D102" s="2832" t="s">
        <v>2695</v>
      </c>
      <c r="E102" s="2858">
        <v>0.1</v>
      </c>
      <c r="F102" s="2858">
        <v>15</v>
      </c>
    </row>
    <row r="103" spans="1:6" ht="13.5">
      <c r="A103" s="2858">
        <v>29</v>
      </c>
      <c r="B103" s="3497"/>
      <c r="C103" s="2832" t="s">
        <v>2696</v>
      </c>
      <c r="D103" s="2832" t="s">
        <v>2697</v>
      </c>
      <c r="E103" s="2858">
        <v>0.1</v>
      </c>
      <c r="F103" s="2858">
        <v>15</v>
      </c>
    </row>
    <row r="104" spans="1:6" ht="13.5">
      <c r="A104" s="2858">
        <v>30</v>
      </c>
      <c r="B104" s="3497"/>
      <c r="C104" s="2832" t="s">
        <v>2698</v>
      </c>
      <c r="D104" s="2832" t="s">
        <v>2699</v>
      </c>
      <c r="E104" s="2858">
        <v>0.1</v>
      </c>
      <c r="F104" s="2858">
        <v>15</v>
      </c>
    </row>
    <row r="105" spans="1:6" ht="24">
      <c r="A105" s="2858">
        <v>31</v>
      </c>
      <c r="B105" s="3497"/>
      <c r="C105" s="2832" t="s">
        <v>2700</v>
      </c>
      <c r="D105" s="2832" t="s">
        <v>2701</v>
      </c>
      <c r="E105" s="2858">
        <v>0.1</v>
      </c>
      <c r="F105" s="2858">
        <v>15</v>
      </c>
    </row>
    <row r="106" spans="1:6" ht="24">
      <c r="A106" s="2858">
        <v>32</v>
      </c>
      <c r="B106" s="3497"/>
      <c r="C106" s="2832" t="s">
        <v>2702</v>
      </c>
      <c r="D106" s="2832" t="s">
        <v>2703</v>
      </c>
      <c r="E106" s="2858">
        <v>0.1</v>
      </c>
      <c r="F106" s="2858">
        <v>15</v>
      </c>
    </row>
    <row r="107" spans="1:6" ht="24">
      <c r="A107" s="2858">
        <v>33</v>
      </c>
      <c r="B107" s="3497"/>
      <c r="C107" s="2832" t="s">
        <v>2704</v>
      </c>
      <c r="D107" s="2832" t="s">
        <v>2705</v>
      </c>
      <c r="E107" s="2858">
        <v>0.1</v>
      </c>
      <c r="F107" s="2858">
        <v>15</v>
      </c>
    </row>
    <row r="108" spans="1:6" ht="24">
      <c r="A108" s="2858">
        <v>34</v>
      </c>
      <c r="B108" s="3496"/>
      <c r="C108" s="2832" t="s">
        <v>2706</v>
      </c>
      <c r="D108" s="2832" t="s">
        <v>2707</v>
      </c>
      <c r="E108" s="2858">
        <v>0.1</v>
      </c>
      <c r="F108" s="2858">
        <v>15</v>
      </c>
    </row>
    <row r="109" spans="1:6" ht="24">
      <c r="A109" s="2858">
        <v>35</v>
      </c>
      <c r="B109" s="3495" t="s">
        <v>2708</v>
      </c>
      <c r="C109" s="2858" t="s">
        <v>2709</v>
      </c>
      <c r="D109" s="2832" t="s">
        <v>2710</v>
      </c>
      <c r="E109" s="2858">
        <v>0.15</v>
      </c>
      <c r="F109" s="2858">
        <v>20</v>
      </c>
    </row>
    <row r="110" spans="1:6" ht="13.5">
      <c r="A110" s="2858">
        <v>36</v>
      </c>
      <c r="B110" s="3497"/>
      <c r="C110" s="2858" t="s">
        <v>2711</v>
      </c>
      <c r="D110" s="2832" t="s">
        <v>2712</v>
      </c>
      <c r="E110" s="2858">
        <v>0.15</v>
      </c>
      <c r="F110" s="2858">
        <v>20</v>
      </c>
    </row>
    <row r="111" spans="1:6" ht="13.5">
      <c r="A111" s="2858">
        <v>37</v>
      </c>
      <c r="B111" s="3497"/>
      <c r="C111" s="2858" t="s">
        <v>2713</v>
      </c>
      <c r="D111" s="2832" t="s">
        <v>2714</v>
      </c>
      <c r="E111" s="2858">
        <v>0.15</v>
      </c>
      <c r="F111" s="2858">
        <v>20</v>
      </c>
    </row>
    <row r="112" spans="1:6" ht="13.5">
      <c r="A112" s="2858">
        <v>38</v>
      </c>
      <c r="B112" s="3497"/>
      <c r="C112" s="2858" t="s">
        <v>2715</v>
      </c>
      <c r="D112" s="2832" t="s">
        <v>2716</v>
      </c>
      <c r="E112" s="2858">
        <v>0.1</v>
      </c>
      <c r="F112" s="2858">
        <v>15</v>
      </c>
    </row>
    <row r="113" spans="1:6" ht="24">
      <c r="A113" s="2858">
        <v>39</v>
      </c>
      <c r="B113" s="3497"/>
      <c r="C113" s="2858" t="s">
        <v>2717</v>
      </c>
      <c r="D113" s="2832" t="s">
        <v>2718</v>
      </c>
      <c r="E113" s="2858">
        <v>0.1</v>
      </c>
      <c r="F113" s="2858">
        <v>15</v>
      </c>
    </row>
    <row r="114" spans="1:6" ht="24">
      <c r="A114" s="2858">
        <v>40</v>
      </c>
      <c r="B114" s="3496"/>
      <c r="C114" s="2858" t="s">
        <v>2719</v>
      </c>
      <c r="D114" s="2832" t="s">
        <v>2720</v>
      </c>
      <c r="E114" s="2858">
        <v>0.1</v>
      </c>
      <c r="F114" s="2858">
        <v>15</v>
      </c>
    </row>
    <row r="115" spans="1:6" ht="13.5">
      <c r="A115" s="2858">
        <v>41</v>
      </c>
      <c r="B115" s="3494" t="s">
        <v>2721</v>
      </c>
      <c r="C115" s="2858" t="s">
        <v>2722</v>
      </c>
      <c r="D115" s="2832" t="s">
        <v>2723</v>
      </c>
      <c r="E115" s="2858">
        <v>0.1</v>
      </c>
      <c r="F115" s="2858">
        <v>15</v>
      </c>
    </row>
    <row r="116" spans="1:6" ht="13.5">
      <c r="A116" s="2858">
        <v>42</v>
      </c>
      <c r="B116" s="3494"/>
      <c r="C116" s="2858" t="s">
        <v>2724</v>
      </c>
      <c r="D116" s="2832" t="s">
        <v>2725</v>
      </c>
      <c r="E116" s="2858">
        <v>0.1</v>
      </c>
      <c r="F116" s="2858">
        <v>15</v>
      </c>
    </row>
    <row r="117" spans="1:6" ht="24">
      <c r="A117" s="2858">
        <v>43</v>
      </c>
      <c r="B117" s="3494"/>
      <c r="C117" s="2858" t="s">
        <v>2726</v>
      </c>
      <c r="D117" s="2832" t="s">
        <v>2727</v>
      </c>
      <c r="E117" s="2858">
        <v>0.1</v>
      </c>
      <c r="F117" s="2858">
        <v>15</v>
      </c>
    </row>
    <row r="118" spans="1:6" ht="13.5">
      <c r="A118" s="2858">
        <v>44</v>
      </c>
      <c r="B118" s="3495" t="s">
        <v>2728</v>
      </c>
      <c r="C118" s="2858" t="s">
        <v>2729</v>
      </c>
      <c r="D118" s="2832" t="s">
        <v>2730</v>
      </c>
      <c r="E118" s="2858">
        <v>0.1</v>
      </c>
      <c r="F118" s="2858">
        <v>15</v>
      </c>
    </row>
    <row r="119" spans="1:6" ht="24">
      <c r="A119" s="2858">
        <v>45</v>
      </c>
      <c r="B119" s="3496"/>
      <c r="C119" s="2832" t="s">
        <v>2731</v>
      </c>
      <c r="D119" s="2832" t="s">
        <v>2732</v>
      </c>
      <c r="E119" s="2858">
        <v>0.1</v>
      </c>
      <c r="F119" s="2858">
        <v>15</v>
      </c>
    </row>
    <row r="120" spans="1:6" ht="24">
      <c r="A120" s="2858">
        <v>46</v>
      </c>
      <c r="B120" s="3495" t="s">
        <v>2733</v>
      </c>
      <c r="C120" s="2858" t="s">
        <v>2734</v>
      </c>
      <c r="D120" s="2832" t="s">
        <v>2735</v>
      </c>
      <c r="E120" s="2858">
        <v>0.1</v>
      </c>
      <c r="F120" s="2858">
        <v>15</v>
      </c>
    </row>
    <row r="121" spans="1:6" ht="24">
      <c r="A121" s="2858">
        <v>47</v>
      </c>
      <c r="B121" s="3496"/>
      <c r="C121" s="2858" t="s">
        <v>2736</v>
      </c>
      <c r="D121" s="2832" t="s">
        <v>2737</v>
      </c>
      <c r="E121" s="2858">
        <v>0.1</v>
      </c>
      <c r="F121" s="2858">
        <v>15</v>
      </c>
    </row>
    <row r="122" spans="1:6" ht="13.5">
      <c r="A122" s="2858">
        <v>48</v>
      </c>
      <c r="B122" s="3495" t="s">
        <v>2738</v>
      </c>
      <c r="C122" s="2858" t="s">
        <v>2739</v>
      </c>
      <c r="D122" s="2832" t="s">
        <v>2740</v>
      </c>
      <c r="E122" s="2858">
        <v>0.1</v>
      </c>
      <c r="F122" s="2858">
        <v>15</v>
      </c>
    </row>
    <row r="123" spans="1:6" ht="13.5">
      <c r="A123" s="2858">
        <v>49</v>
      </c>
      <c r="B123" s="3496"/>
      <c r="C123" s="2858" t="s">
        <v>2741</v>
      </c>
      <c r="D123" s="2832" t="s">
        <v>2742</v>
      </c>
      <c r="E123" s="2858">
        <v>0.1</v>
      </c>
      <c r="F123" s="2858">
        <v>15</v>
      </c>
    </row>
    <row r="124" spans="1:6" ht="24">
      <c r="A124" s="2858">
        <v>50</v>
      </c>
      <c r="B124" s="3494" t="s">
        <v>2743</v>
      </c>
      <c r="C124" s="2858" t="s">
        <v>2744</v>
      </c>
      <c r="D124" s="2832" t="s">
        <v>2745</v>
      </c>
      <c r="E124" s="2858">
        <v>0.1</v>
      </c>
      <c r="F124" s="2858">
        <v>15</v>
      </c>
    </row>
    <row r="125" spans="1:6" ht="24">
      <c r="A125" s="2858">
        <v>51</v>
      </c>
      <c r="B125" s="3494"/>
      <c r="C125" s="2858" t="s">
        <v>2746</v>
      </c>
      <c r="D125" s="2832" t="s">
        <v>2747</v>
      </c>
      <c r="E125" s="2858">
        <v>0.1</v>
      </c>
      <c r="F125" s="2858">
        <v>15</v>
      </c>
    </row>
    <row r="126" spans="1:6" ht="24">
      <c r="A126" s="2858">
        <v>52</v>
      </c>
      <c r="B126" s="3494" t="s">
        <v>2748</v>
      </c>
      <c r="C126" s="2858" t="s">
        <v>2749</v>
      </c>
      <c r="D126" s="2832" t="s">
        <v>2750</v>
      </c>
      <c r="E126" s="2858">
        <v>0.1</v>
      </c>
      <c r="F126" s="2858">
        <v>15</v>
      </c>
    </row>
    <row r="127" spans="1:6" ht="24">
      <c r="A127" s="2858">
        <v>53</v>
      </c>
      <c r="B127" s="3494"/>
      <c r="C127" s="2858" t="s">
        <v>2751</v>
      </c>
      <c r="D127" s="2832" t="s">
        <v>2752</v>
      </c>
      <c r="E127" s="2858">
        <v>0.1</v>
      </c>
      <c r="F127" s="2858">
        <v>15</v>
      </c>
    </row>
    <row r="128" spans="1:6" ht="13.5">
      <c r="A128" s="2858">
        <v>54</v>
      </c>
      <c r="B128" s="2858" t="s">
        <v>2753</v>
      </c>
      <c r="C128" s="2858" t="s">
        <v>2754</v>
      </c>
      <c r="D128" s="2832" t="s">
        <v>2755</v>
      </c>
      <c r="E128" s="2858">
        <v>0.1</v>
      </c>
      <c r="F128" s="2858">
        <v>15</v>
      </c>
    </row>
    <row r="129" spans="1:6" ht="13.5">
      <c r="A129" s="2858">
        <v>55</v>
      </c>
      <c r="B129" s="3494" t="s">
        <v>2756</v>
      </c>
      <c r="C129" s="2858" t="s">
        <v>2757</v>
      </c>
      <c r="D129" s="2832" t="s">
        <v>2758</v>
      </c>
      <c r="E129" s="2858">
        <v>0.1</v>
      </c>
      <c r="F129" s="2858">
        <v>15</v>
      </c>
    </row>
    <row r="130" spans="1:6" ht="13.5">
      <c r="A130" s="2858">
        <v>56</v>
      </c>
      <c r="B130" s="3494"/>
      <c r="C130" s="2858" t="s">
        <v>2759</v>
      </c>
      <c r="D130" s="2832" t="s">
        <v>2760</v>
      </c>
      <c r="E130" s="2858">
        <v>0.1</v>
      </c>
      <c r="F130" s="2858">
        <v>15</v>
      </c>
    </row>
    <row r="131" spans="1:6" ht="24">
      <c r="A131" s="2858">
        <v>57</v>
      </c>
      <c r="B131" s="3494"/>
      <c r="C131" s="2858" t="s">
        <v>2761</v>
      </c>
      <c r="D131" s="2832" t="s">
        <v>2762</v>
      </c>
      <c r="E131" s="2858">
        <v>0.1</v>
      </c>
      <c r="F131" s="2858">
        <v>15</v>
      </c>
    </row>
    <row r="132" spans="1:6" ht="24">
      <c r="A132" s="2858">
        <v>58</v>
      </c>
      <c r="B132" s="3494" t="s">
        <v>2763</v>
      </c>
      <c r="C132" s="2858" t="s">
        <v>2764</v>
      </c>
      <c r="D132" s="2832" t="s">
        <v>2765</v>
      </c>
      <c r="E132" s="2858">
        <v>0.1</v>
      </c>
      <c r="F132" s="2858">
        <v>15</v>
      </c>
    </row>
    <row r="133" spans="1:6" ht="13.5">
      <c r="A133" s="2858">
        <v>59</v>
      </c>
      <c r="B133" s="3494"/>
      <c r="C133" s="2858" t="s">
        <v>2766</v>
      </c>
      <c r="D133" s="2832" t="s">
        <v>2767</v>
      </c>
      <c r="E133" s="2858">
        <v>0.1</v>
      </c>
      <c r="F133" s="2858">
        <v>15</v>
      </c>
    </row>
    <row r="134" spans="1:6" ht="13.5">
      <c r="A134" s="2858">
        <v>60</v>
      </c>
      <c r="B134" s="3495" t="s">
        <v>2768</v>
      </c>
      <c r="C134" s="2858" t="s">
        <v>2769</v>
      </c>
      <c r="D134" s="2832" t="s">
        <v>2770</v>
      </c>
      <c r="E134" s="2858">
        <v>0.1</v>
      </c>
      <c r="F134" s="2858">
        <v>15</v>
      </c>
    </row>
    <row r="135" spans="1:6" ht="13.5">
      <c r="A135" s="2858">
        <v>61</v>
      </c>
      <c r="B135" s="3496"/>
      <c r="C135" s="2858" t="s">
        <v>2771</v>
      </c>
      <c r="D135" s="2832" t="s">
        <v>2772</v>
      </c>
      <c r="E135" s="2858">
        <v>0.1</v>
      </c>
      <c r="F135" s="2858">
        <v>15</v>
      </c>
    </row>
    <row r="136" spans="1:6" ht="24">
      <c r="A136" s="2858">
        <v>62</v>
      </c>
      <c r="B136" s="2858" t="s">
        <v>2773</v>
      </c>
      <c r="C136" s="2858" t="s">
        <v>2774</v>
      </c>
      <c r="D136" s="2832" t="s">
        <v>2775</v>
      </c>
      <c r="E136" s="2858">
        <v>0.1</v>
      </c>
      <c r="F136" s="2858">
        <v>15</v>
      </c>
    </row>
    <row r="137" spans="1:6" ht="13.5">
      <c r="A137" s="2858">
        <v>63</v>
      </c>
      <c r="B137" s="3494" t="s">
        <v>2776</v>
      </c>
      <c r="C137" s="2858" t="s">
        <v>2777</v>
      </c>
      <c r="D137" s="2832" t="s">
        <v>2778</v>
      </c>
      <c r="E137" s="2858">
        <v>0.1</v>
      </c>
      <c r="F137" s="2858">
        <v>15</v>
      </c>
    </row>
    <row r="138" spans="1:6" ht="13.5">
      <c r="A138" s="2858">
        <v>64</v>
      </c>
      <c r="B138" s="3494"/>
      <c r="C138" s="2858" t="s">
        <v>2779</v>
      </c>
      <c r="D138" s="2832" t="s">
        <v>2780</v>
      </c>
      <c r="E138" s="2858">
        <v>0.1</v>
      </c>
      <c r="F138" s="2858">
        <v>15</v>
      </c>
    </row>
    <row r="139" spans="1:6" ht="13.5">
      <c r="A139" s="2858">
        <v>65</v>
      </c>
      <c r="B139" s="2858" t="s">
        <v>2781</v>
      </c>
      <c r="C139" s="2858" t="s">
        <v>2782</v>
      </c>
      <c r="D139" s="2832" t="s">
        <v>2783</v>
      </c>
      <c r="E139" s="2858">
        <v>0.1</v>
      </c>
      <c r="F139" s="2858">
        <v>15</v>
      </c>
    </row>
    <row r="140" spans="1:6" ht="13.5">
      <c r="A140" s="2858"/>
      <c r="B140" s="2858"/>
      <c r="C140" s="2858"/>
      <c r="D140" s="2858"/>
      <c r="E140" s="2858" t="s">
        <v>2784</v>
      </c>
      <c r="F140" s="2858" t="s">
        <v>2784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2785</v>
      </c>
      <c r="B1" s="2866"/>
      <c r="C1" s="2866"/>
      <c r="D1" s="2866"/>
      <c r="E1" s="2866"/>
      <c r="F1" s="2866"/>
      <c r="G1" s="2866"/>
      <c r="H1" s="2866"/>
      <c r="I1" s="2866"/>
      <c r="J1" s="2866"/>
      <c r="K1" s="2866"/>
      <c r="L1" s="2866"/>
      <c r="M1" s="2866"/>
      <c r="N1" s="707"/>
    </row>
    <row r="2" spans="1:20">
      <c r="A2" s="2867" t="s">
        <v>2786</v>
      </c>
      <c r="B2" s="2868" t="s">
        <v>2582</v>
      </c>
      <c r="C2" s="2868" t="s">
        <v>2583</v>
      </c>
      <c r="D2" s="2868" t="s">
        <v>2584</v>
      </c>
      <c r="E2" s="2868" t="s">
        <v>2585</v>
      </c>
      <c r="F2" s="2868" t="s">
        <v>2586</v>
      </c>
      <c r="G2" s="2868" t="s">
        <v>2587</v>
      </c>
      <c r="H2" s="2869" t="s">
        <v>2588</v>
      </c>
      <c r="I2" s="2869" t="s">
        <v>2589</v>
      </c>
      <c r="J2" s="2870" t="s">
        <v>2590</v>
      </c>
      <c r="K2" s="2870" t="s">
        <v>2591</v>
      </c>
      <c r="L2" s="2870" t="s">
        <v>2592</v>
      </c>
      <c r="M2" s="2871" t="s">
        <v>2593</v>
      </c>
      <c r="Q2" s="2881" t="s">
        <v>2791</v>
      </c>
      <c r="R2" s="2881" t="s">
        <v>2792</v>
      </c>
      <c r="S2" s="2881" t="s">
        <v>2793</v>
      </c>
      <c r="T2" s="2881" t="s">
        <v>2794</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2787</v>
      </c>
      <c r="B93" s="2866"/>
      <c r="C93" s="2866"/>
      <c r="D93" s="2866"/>
      <c r="E93" s="2866"/>
      <c r="F93" s="2866"/>
      <c r="G93" s="2866"/>
      <c r="H93" s="2866"/>
      <c r="I93" s="2866"/>
      <c r="J93" s="2866"/>
      <c r="K93" s="2866"/>
      <c r="L93" s="2866"/>
      <c r="M93" s="2866"/>
    </row>
    <row r="94" spans="1:20">
      <c r="A94" s="2867" t="s">
        <v>2786</v>
      </c>
      <c r="B94" s="2868" t="s">
        <v>2582</v>
      </c>
      <c r="C94" s="2868" t="s">
        <v>2583</v>
      </c>
      <c r="D94" s="2868" t="s">
        <v>2584</v>
      </c>
      <c r="E94" s="2868" t="s">
        <v>2585</v>
      </c>
      <c r="F94" s="2868" t="s">
        <v>2586</v>
      </c>
      <c r="G94" s="2868" t="s">
        <v>2587</v>
      </c>
      <c r="H94" s="2869" t="s">
        <v>2588</v>
      </c>
      <c r="I94" s="2869" t="s">
        <v>2589</v>
      </c>
      <c r="J94" s="2870" t="s">
        <v>2590</v>
      </c>
      <c r="K94" s="2870" t="s">
        <v>2591</v>
      </c>
      <c r="L94" s="2870" t="s">
        <v>2592</v>
      </c>
      <c r="M94" s="2871" t="s">
        <v>2593</v>
      </c>
      <c r="N94">
        <f>SUMPRODUCT((A95:A184=ROUNDDOWN(基准地价修正!G3,1))*(B94:M94=基准地价修正!G2)*(B95:M184))</f>
        <v>1</v>
      </c>
      <c r="Q94" s="2881" t="s">
        <v>2791</v>
      </c>
      <c r="R94" s="2881" t="s">
        <v>2792</v>
      </c>
      <c r="S94" s="2881" t="s">
        <v>2793</v>
      </c>
      <c r="T94" s="2881" t="s">
        <v>2794</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2788</v>
      </c>
      <c r="B185" s="2866"/>
      <c r="C185" s="2866"/>
      <c r="D185" s="2866"/>
      <c r="E185" s="2866"/>
      <c r="F185" s="2866"/>
      <c r="G185" s="2866"/>
      <c r="H185" s="2866"/>
      <c r="I185" s="2866"/>
      <c r="J185" s="2866"/>
      <c r="K185" s="2866"/>
      <c r="L185" s="2866"/>
      <c r="M185" s="2866"/>
    </row>
    <row r="186" spans="1:20">
      <c r="A186" s="2867" t="s">
        <v>2786</v>
      </c>
      <c r="B186" s="2868" t="s">
        <v>2582</v>
      </c>
      <c r="C186" s="2868" t="s">
        <v>2583</v>
      </c>
      <c r="D186" s="2868" t="s">
        <v>2584</v>
      </c>
      <c r="E186" s="2868" t="s">
        <v>2585</v>
      </c>
      <c r="F186" s="2868" t="s">
        <v>2586</v>
      </c>
      <c r="G186" s="2868" t="s">
        <v>2587</v>
      </c>
      <c r="H186" s="2869" t="s">
        <v>2588</v>
      </c>
      <c r="I186" s="2869" t="s">
        <v>2589</v>
      </c>
      <c r="J186" s="2870" t="s">
        <v>2590</v>
      </c>
      <c r="K186" s="2870" t="s">
        <v>2591</v>
      </c>
      <c r="L186" s="2870" t="s">
        <v>2592</v>
      </c>
      <c r="M186" s="2871" t="s">
        <v>2593</v>
      </c>
      <c r="Q186" s="2881" t="s">
        <v>2791</v>
      </c>
      <c r="R186" s="2881" t="s">
        <v>2792</v>
      </c>
      <c r="S186" s="2881" t="s">
        <v>2793</v>
      </c>
      <c r="T186" s="2881" t="s">
        <v>2794</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2789</v>
      </c>
      <c r="B277" s="2866"/>
      <c r="C277" s="2866"/>
      <c r="D277" s="2866"/>
      <c r="E277" s="2866"/>
      <c r="F277" s="2866"/>
      <c r="G277" s="2866"/>
      <c r="H277" s="2866"/>
      <c r="I277" s="2866"/>
      <c r="J277" s="2866"/>
      <c r="K277" s="2866"/>
      <c r="L277" s="2866"/>
      <c r="M277" s="2866"/>
    </row>
    <row r="278" spans="1:21">
      <c r="A278" s="2867" t="s">
        <v>2786</v>
      </c>
      <c r="B278" s="2868" t="s">
        <v>2582</v>
      </c>
      <c r="C278" s="2868" t="s">
        <v>2583</v>
      </c>
      <c r="D278" s="2868" t="s">
        <v>2584</v>
      </c>
      <c r="E278" s="2868" t="s">
        <v>2585</v>
      </c>
      <c r="F278" s="2868" t="s">
        <v>2586</v>
      </c>
      <c r="G278" s="2868" t="s">
        <v>2587</v>
      </c>
      <c r="H278" s="2869" t="s">
        <v>2588</v>
      </c>
      <c r="I278" s="2869" t="s">
        <v>2589</v>
      </c>
      <c r="J278" s="2870" t="s">
        <v>2590</v>
      </c>
      <c r="K278" s="2870" t="s">
        <v>2591</v>
      </c>
      <c r="L278" s="2870" t="s">
        <v>2592</v>
      </c>
      <c r="M278" s="2871" t="s">
        <v>2593</v>
      </c>
      <c r="Q278" s="2881" t="s">
        <v>2791</v>
      </c>
      <c r="R278" s="2881" t="s">
        <v>2792</v>
      </c>
      <c r="S278" s="2881" t="s">
        <v>2795</v>
      </c>
      <c r="T278" s="2881" t="s">
        <v>2796</v>
      </c>
      <c r="U278" s="2881" t="s">
        <v>2794</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2790</v>
      </c>
      <c r="B369" s="2879"/>
      <c r="C369" s="2879"/>
      <c r="D369" s="2879"/>
      <c r="E369" s="2879"/>
      <c r="F369" s="2879"/>
      <c r="G369" s="2879"/>
      <c r="H369" s="2879"/>
      <c r="I369" s="2879"/>
      <c r="J369" s="2879"/>
      <c r="K369" s="2879"/>
      <c r="L369" s="2879"/>
      <c r="M369" s="2879"/>
    </row>
    <row r="370" spans="1:20">
      <c r="A370" s="2867" t="s">
        <v>2786</v>
      </c>
      <c r="B370" s="2868" t="s">
        <v>2582</v>
      </c>
      <c r="C370" s="2868" t="s">
        <v>2583</v>
      </c>
      <c r="D370" s="2868" t="s">
        <v>2584</v>
      </c>
      <c r="E370" s="2868" t="s">
        <v>2585</v>
      </c>
      <c r="F370" s="2868" t="s">
        <v>2586</v>
      </c>
      <c r="G370" s="2868" t="s">
        <v>2587</v>
      </c>
      <c r="H370" s="2869" t="s">
        <v>2588</v>
      </c>
      <c r="I370" s="2869" t="s">
        <v>2589</v>
      </c>
      <c r="J370" s="2870" t="s">
        <v>2590</v>
      </c>
      <c r="K370" s="2870" t="s">
        <v>2591</v>
      </c>
      <c r="L370" s="2870" t="s">
        <v>2592</v>
      </c>
      <c r="M370" s="2871" t="s">
        <v>2593</v>
      </c>
      <c r="N370">
        <f>SUMPRODUCT((A371:A460=ROUNDDOWN(基准地价修正!G3,1))*(B370:M370=基准地价修正!G2)*(B371:M460))</f>
        <v>0.94710000000000005</v>
      </c>
      <c r="Q370" s="2881" t="s">
        <v>2791</v>
      </c>
      <c r="R370" s="2881" t="s">
        <v>2792</v>
      </c>
      <c r="S370" s="2881" t="s">
        <v>2793</v>
      </c>
      <c r="T370" s="2881" t="s">
        <v>2794</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61352</v>
      </c>
      <c r="C2" s="2" t="s">
        <v>106</v>
      </c>
      <c r="D2" s="191"/>
      <c r="E2" s="191"/>
      <c r="F2" s="191"/>
      <c r="G2" s="191"/>
    </row>
    <row r="3" spans="1:7" s="192" customFormat="1" ht="18" customHeight="1" thickBot="1">
      <c r="A3" s="195" t="s">
        <v>58</v>
      </c>
      <c r="B3" s="196">
        <f ca="1">ROUND(B2*10000/'数据-汇总表'!E3,0)</f>
        <v>16860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728</v>
      </c>
      <c r="D10" s="795">
        <f>'数据-汇总表'!E6</f>
        <v>36389.269999999997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728</v>
      </c>
      <c r="D19" s="204">
        <f>'数据-汇总表'!E3</f>
        <v>36389.269999999997</v>
      </c>
      <c r="E19" s="203">
        <f>'数据-取费表'!B31</f>
        <v>200</v>
      </c>
      <c r="F19" s="223"/>
      <c r="G19" s="1" t="s">
        <v>436</v>
      </c>
    </row>
    <row r="20" spans="1:7" s="206" customFormat="1" ht="13.5" customHeight="1">
      <c r="A20" s="731" t="s">
        <v>419</v>
      </c>
      <c r="B20" s="202" t="s">
        <v>77</v>
      </c>
      <c r="C20" s="224">
        <f>ROUND((C5+C19)*F20,0)</f>
        <v>427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1998</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68</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4353</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4353</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30502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27983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25472</v>
      </c>
      <c r="D34" s="209"/>
      <c r="E34" s="212"/>
      <c r="F34" s="249">
        <f>IF('数据-取费表'!B24=0,1,'数据-取费表'!N16)</f>
        <v>1</v>
      </c>
      <c r="G34" s="211" t="s">
        <v>89</v>
      </c>
    </row>
    <row r="35" spans="1:7" ht="13.5" customHeight="1">
      <c r="A35" s="734" t="s">
        <v>351</v>
      </c>
      <c r="B35" s="207" t="s">
        <v>33</v>
      </c>
      <c r="C35" s="212">
        <f>ROUND(C34*F35,0)</f>
        <v>1274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728</v>
      </c>
      <c r="D37" s="209">
        <f>'数据-汇总表'!E3</f>
        <v>36389.269999999997</v>
      </c>
      <c r="E37" s="241">
        <f>'数据-取费表'!B35</f>
        <v>200</v>
      </c>
      <c r="F37" s="251"/>
      <c r="G37" s="253" t="s">
        <v>92</v>
      </c>
    </row>
    <row r="38" spans="1:7" ht="13.5" customHeight="1">
      <c r="A38" s="734" t="s">
        <v>354</v>
      </c>
      <c r="B38" s="207" t="s">
        <v>36</v>
      </c>
      <c r="C38" s="212">
        <f>ROUND(C34*F38,0)</f>
        <v>509</v>
      </c>
      <c r="D38" s="212"/>
      <c r="E38" s="212"/>
      <c r="F38" s="251">
        <f>'数据-取费表'!B36</f>
        <v>0.02</v>
      </c>
      <c r="G38" s="211" t="s">
        <v>90</v>
      </c>
    </row>
    <row r="39" spans="1:7" s="206" customFormat="1" ht="13.5" customHeight="1">
      <c r="A39" s="731" t="s">
        <v>338</v>
      </c>
      <c r="B39" s="202" t="s">
        <v>77</v>
      </c>
      <c r="C39" s="224">
        <f>ROUND(C33*F20,0)</f>
        <v>560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1294</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1269</v>
      </c>
      <c r="D42" s="230"/>
      <c r="E42" s="230"/>
      <c r="F42" s="231"/>
      <c r="G42" s="3370" t="s">
        <v>94</v>
      </c>
    </row>
    <row r="43" spans="1:7" ht="13.5" customHeight="1">
      <c r="A43" s="734" t="s">
        <v>347</v>
      </c>
      <c r="B43" s="207" t="s">
        <v>426</v>
      </c>
      <c r="C43" s="230">
        <f ca="1">ROUND(IF('数据-取费表'!B22&lt;=1,C39*F22*'数据-取费表'!B21/2,C39*(POWER((1+F22),'数据-取费表'!B21/2)-1)),0)</f>
        <v>25</v>
      </c>
      <c r="D43" s="230"/>
      <c r="E43" s="230"/>
      <c r="F43" s="231"/>
      <c r="G43" s="3371"/>
    </row>
    <row r="44" spans="1:7" ht="13.5" customHeight="1">
      <c r="A44" s="734" t="s">
        <v>348</v>
      </c>
      <c r="B44" s="207" t="s">
        <v>428</v>
      </c>
      <c r="C44" s="230">
        <f ca="1">ROUND(IF('数据-取费表'!B22&lt;=1,C40*F22*'数据-取费表'!B21/2,C40*(POWER((1+F22),'数据-取费表'!B21/2)-1)),4)</f>
        <v>8.9999999999999998E-4</v>
      </c>
      <c r="D44" s="230"/>
      <c r="E44" s="230"/>
      <c r="F44" s="231"/>
      <c r="G44" s="3372"/>
    </row>
    <row r="45" spans="1:7" s="206" customFormat="1" ht="13.5" customHeight="1">
      <c r="A45" s="731" t="s">
        <v>341</v>
      </c>
      <c r="B45" s="236" t="s">
        <v>85</v>
      </c>
      <c r="C45" s="237">
        <f>C46</f>
        <v>5709</v>
      </c>
      <c r="D45" s="227">
        <f>C47</f>
        <v>4.0000000000000001E-3</v>
      </c>
      <c r="E45" s="228" t="s">
        <v>102</v>
      </c>
      <c r="F45" s="238"/>
      <c r="G45" s="239" t="s">
        <v>434</v>
      </c>
    </row>
    <row r="46" spans="1:7" s="206" customFormat="1" ht="13.5" customHeight="1">
      <c r="A46" s="734" t="s">
        <v>349</v>
      </c>
      <c r="B46" s="240" t="s">
        <v>427</v>
      </c>
      <c r="C46" s="241">
        <f>ROUND((C33+C39)*F27,0)</f>
        <v>5709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38563</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30850</v>
      </c>
      <c r="D51" s="224"/>
      <c r="E51" s="224"/>
      <c r="F51" s="256"/>
      <c r="G51" s="226" t="s">
        <v>37</v>
      </c>
    </row>
    <row r="52" spans="1:7" s="200" customFormat="1" ht="16.5" thickBot="1">
      <c r="A52" s="257" t="s">
        <v>38</v>
      </c>
      <c r="B52" s="258"/>
      <c r="C52" s="259">
        <f ca="1">C31+C51</f>
        <v>61352</v>
      </c>
      <c r="D52" s="258"/>
      <c r="E52" s="258"/>
      <c r="F52" s="258"/>
      <c r="G52" s="260"/>
    </row>
    <row r="55" spans="1:7" ht="15">
      <c r="B55" s="262" t="s">
        <v>39</v>
      </c>
      <c r="C55" s="263"/>
    </row>
    <row r="56" spans="1:7">
      <c r="B56" s="265" t="s">
        <v>40</v>
      </c>
      <c r="C56" s="266">
        <f ca="1">ROUND(C51/C52,3)</f>
        <v>0.503</v>
      </c>
    </row>
    <row r="57" spans="1:7">
      <c r="B57" s="265" t="s">
        <v>41</v>
      </c>
      <c r="C57" s="267">
        <f ca="1">1-C56</f>
        <v>0.497</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08" t="s">
        <v>3168</v>
      </c>
      <c r="B1" s="3508"/>
    </row>
    <row r="2" spans="1:7" ht="14.25" thickBot="1">
      <c r="A2" s="2969"/>
      <c r="B2" s="2969"/>
    </row>
    <row r="3" spans="1:7" ht="14.25" thickBot="1">
      <c r="A3" s="2969"/>
      <c r="B3" s="2969"/>
      <c r="C3" s="2970" t="s">
        <v>2798</v>
      </c>
      <c r="D3" s="2970" t="s">
        <v>2854</v>
      </c>
      <c r="E3" s="2970" t="s">
        <v>2800</v>
      </c>
      <c r="F3" s="2970" t="s">
        <v>2855</v>
      </c>
      <c r="G3" s="2970" t="s">
        <v>2618</v>
      </c>
    </row>
    <row r="4" spans="1:7" ht="14.25" thickBot="1">
      <c r="A4" s="2971" t="s">
        <v>2853</v>
      </c>
      <c r="B4" s="2972" t="s">
        <v>2859</v>
      </c>
      <c r="C4" s="2970"/>
      <c r="D4" s="2970"/>
      <c r="E4" s="2970"/>
      <c r="F4" s="2970"/>
      <c r="G4" s="2970"/>
    </row>
    <row r="5" spans="1:7">
      <c r="A5" s="2973" t="s">
        <v>2827</v>
      </c>
      <c r="B5" s="2974" t="s">
        <v>2841</v>
      </c>
      <c r="C5" s="2975">
        <v>9.8000000000000004E-2</v>
      </c>
      <c r="D5" s="2975">
        <v>8.6999999999999994E-2</v>
      </c>
      <c r="E5" s="2975">
        <v>8.6999999999999994E-2</v>
      </c>
      <c r="F5" s="2975">
        <v>9.8000000000000004E-2</v>
      </c>
      <c r="G5" s="2976">
        <v>9.5000000000000001E-2</v>
      </c>
    </row>
    <row r="6" spans="1:7">
      <c r="A6" s="2977" t="s">
        <v>144</v>
      </c>
      <c r="B6" s="2978" t="s">
        <v>2856</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2842</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2892</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2910</v>
      </c>
      <c r="C29" s="2987"/>
      <c r="D29" s="2983">
        <v>5.1999999999999998E-2</v>
      </c>
      <c r="E29" s="2983">
        <v>7.0000000000000007E-2</v>
      </c>
      <c r="F29" s="2987"/>
      <c r="G29" s="2985">
        <v>7.0999999999999994E-2</v>
      </c>
    </row>
    <row r="30" spans="1:7">
      <c r="A30" s="2988" t="s">
        <v>296</v>
      </c>
      <c r="B30" s="2974" t="s">
        <v>2843</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2829</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2913</v>
      </c>
      <c r="C50" s="2979">
        <v>9.8000000000000004E-2</v>
      </c>
      <c r="D50" s="2979">
        <v>7.2999999999999995E-2</v>
      </c>
      <c r="E50" s="2979">
        <v>7.0999999999999994E-2</v>
      </c>
      <c r="F50" s="2990"/>
      <c r="G50" s="2980">
        <v>7.2999999999999995E-2</v>
      </c>
    </row>
    <row r="51" spans="1:7">
      <c r="A51" s="2989" t="s">
        <v>296</v>
      </c>
      <c r="B51" s="2978" t="s">
        <v>2915</v>
      </c>
      <c r="C51" s="2979">
        <v>9.9000000000000005E-2</v>
      </c>
      <c r="D51" s="2979">
        <v>8.5000000000000006E-2</v>
      </c>
      <c r="E51" s="2979">
        <v>6.3E-2</v>
      </c>
      <c r="F51" s="2990"/>
      <c r="G51" s="2980">
        <v>9.6000000000000002E-2</v>
      </c>
    </row>
    <row r="52" spans="1:7">
      <c r="A52" s="2989" t="s">
        <v>296</v>
      </c>
      <c r="B52" s="2978" t="s">
        <v>2919</v>
      </c>
      <c r="C52" s="2979">
        <v>7.3999999999999996E-2</v>
      </c>
      <c r="D52" s="2979">
        <v>9.6000000000000002E-2</v>
      </c>
      <c r="E52" s="2979">
        <v>0.05</v>
      </c>
      <c r="F52" s="2990"/>
      <c r="G52" s="2980">
        <v>9.8000000000000004E-2</v>
      </c>
    </row>
    <row r="53" spans="1:7">
      <c r="A53" s="2989" t="s">
        <v>296</v>
      </c>
      <c r="B53" s="2978" t="s">
        <v>2924</v>
      </c>
      <c r="C53" s="2979">
        <v>8.5999999999999993E-2</v>
      </c>
      <c r="D53" s="2990"/>
      <c r="E53" s="2979">
        <v>9.1999999999999998E-2</v>
      </c>
      <c r="F53" s="2990"/>
      <c r="G53" s="2991"/>
    </row>
    <row r="54" spans="1:7" ht="14.25" thickBot="1">
      <c r="A54" s="2992" t="s">
        <v>296</v>
      </c>
      <c r="B54" s="2982" t="s">
        <v>2927</v>
      </c>
      <c r="C54" s="2983">
        <v>9.6000000000000002E-2</v>
      </c>
      <c r="D54" s="2984"/>
      <c r="E54" s="2993"/>
      <c r="F54" s="2984"/>
      <c r="G54" s="2994"/>
    </row>
    <row r="55" spans="1:7">
      <c r="A55" s="2988" t="s">
        <v>110</v>
      </c>
      <c r="B55" s="2974" t="s">
        <v>2844</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2925</v>
      </c>
      <c r="C78" s="2979">
        <v>0.1</v>
      </c>
      <c r="D78" s="2979">
        <v>8.5000000000000006E-2</v>
      </c>
      <c r="E78" s="2979">
        <v>9.6000000000000002E-2</v>
      </c>
      <c r="F78" s="2990"/>
      <c r="G78" s="2980">
        <v>9.6000000000000002E-2</v>
      </c>
    </row>
    <row r="79" spans="1:7">
      <c r="A79" s="2989" t="s">
        <v>110</v>
      </c>
      <c r="B79" s="2978" t="s">
        <v>2928</v>
      </c>
      <c r="C79" s="2979">
        <v>0.05</v>
      </c>
      <c r="D79" s="2979">
        <v>9.6000000000000002E-2</v>
      </c>
      <c r="E79" s="2979">
        <v>9.5000000000000001E-2</v>
      </c>
      <c r="F79" s="2990"/>
      <c r="G79" s="2980">
        <v>9.8000000000000004E-2</v>
      </c>
    </row>
    <row r="80" spans="1:7">
      <c r="A80" s="2989" t="s">
        <v>110</v>
      </c>
      <c r="B80" s="2978" t="s">
        <v>2932</v>
      </c>
      <c r="C80" s="2979">
        <v>8.5999999999999993E-2</v>
      </c>
      <c r="D80" s="2995"/>
      <c r="E80" s="2979">
        <v>0.1</v>
      </c>
      <c r="F80" s="2990"/>
      <c r="G80" s="2991"/>
    </row>
    <row r="81" spans="1:7">
      <c r="A81" s="2989" t="s">
        <v>110</v>
      </c>
      <c r="B81" s="2978" t="s">
        <v>2937</v>
      </c>
      <c r="C81" s="2979">
        <v>9.6000000000000002E-2</v>
      </c>
      <c r="D81" s="2990"/>
      <c r="E81" s="2979">
        <v>9.8000000000000004E-2</v>
      </c>
      <c r="F81" s="2990"/>
      <c r="G81" s="2991"/>
    </row>
    <row r="82" spans="1:7">
      <c r="A82" s="2989" t="s">
        <v>110</v>
      </c>
      <c r="B82" s="2978" t="s">
        <v>2944</v>
      </c>
      <c r="C82" s="2995"/>
      <c r="D82" s="2990"/>
      <c r="E82" s="2979">
        <v>7.6999999999999999E-2</v>
      </c>
      <c r="F82" s="2990"/>
      <c r="G82" s="2991"/>
    </row>
    <row r="83" spans="1:7">
      <c r="A83" s="2989" t="s">
        <v>110</v>
      </c>
      <c r="B83" s="2978" t="s">
        <v>2950</v>
      </c>
      <c r="C83" s="2990"/>
      <c r="D83" s="2990"/>
      <c r="E83" s="2990"/>
      <c r="F83" s="2979">
        <v>0.1</v>
      </c>
      <c r="G83" s="2996"/>
    </row>
    <row r="84" spans="1:7">
      <c r="A84" s="2989" t="s">
        <v>110</v>
      </c>
      <c r="B84" s="2978" t="s">
        <v>2957</v>
      </c>
      <c r="C84" s="2990"/>
      <c r="D84" s="2990"/>
      <c r="E84" s="2990"/>
      <c r="F84" s="2979">
        <v>0.1</v>
      </c>
      <c r="G84" s="2996"/>
    </row>
    <row r="85" spans="1:7">
      <c r="A85" s="2989" t="s">
        <v>110</v>
      </c>
      <c r="B85" s="2978" t="s">
        <v>2964</v>
      </c>
      <c r="C85" s="2990"/>
      <c r="D85" s="2990"/>
      <c r="E85" s="2990"/>
      <c r="F85" s="2979">
        <v>0.1</v>
      </c>
      <c r="G85" s="2996"/>
    </row>
    <row r="86" spans="1:7" ht="14.25" thickBot="1">
      <c r="A86" s="2992" t="s">
        <v>110</v>
      </c>
      <c r="B86" s="2982" t="s">
        <v>2969</v>
      </c>
      <c r="C86" s="2983">
        <v>9.8000000000000004E-2</v>
      </c>
      <c r="D86" s="2983">
        <v>9.8000000000000004E-2</v>
      </c>
      <c r="E86" s="2983">
        <v>9.6000000000000002E-2</v>
      </c>
      <c r="F86" s="2993"/>
      <c r="G86" s="2985">
        <v>0.1</v>
      </c>
    </row>
    <row r="87" spans="1:7">
      <c r="A87" s="2988" t="s">
        <v>303</v>
      </c>
      <c r="B87" s="2974" t="s">
        <v>2845</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2938</v>
      </c>
      <c r="C113" s="2979">
        <v>0.1</v>
      </c>
      <c r="D113" s="2979">
        <v>0.1</v>
      </c>
      <c r="E113" s="2990"/>
      <c r="F113" s="2990"/>
      <c r="G113" s="2980">
        <v>0.1</v>
      </c>
    </row>
    <row r="114" spans="1:7">
      <c r="A114" s="2989" t="s">
        <v>303</v>
      </c>
      <c r="B114" s="2978" t="s">
        <v>2945</v>
      </c>
      <c r="C114" s="2979">
        <v>9.7000000000000003E-2</v>
      </c>
      <c r="D114" s="2979">
        <v>9.7000000000000003E-2</v>
      </c>
      <c r="E114" s="2990"/>
      <c r="F114" s="2990"/>
      <c r="G114" s="2980">
        <v>9.9000000000000005E-2</v>
      </c>
    </row>
    <row r="115" spans="1:7">
      <c r="A115" s="2989" t="s">
        <v>303</v>
      </c>
      <c r="B115" s="2978" t="s">
        <v>2951</v>
      </c>
      <c r="C115" s="2979">
        <v>0.1</v>
      </c>
      <c r="D115" s="2979">
        <v>0.1</v>
      </c>
      <c r="E115" s="2990"/>
      <c r="F115" s="2990"/>
      <c r="G115" s="2980">
        <v>0.1</v>
      </c>
    </row>
    <row r="116" spans="1:7">
      <c r="A116" s="2989" t="s">
        <v>303</v>
      </c>
      <c r="B116" s="2978" t="s">
        <v>2958</v>
      </c>
      <c r="C116" s="2979">
        <v>0.1</v>
      </c>
      <c r="D116" s="2979">
        <v>0.1</v>
      </c>
      <c r="E116" s="2990"/>
      <c r="F116" s="2990"/>
      <c r="G116" s="2980">
        <v>0.1</v>
      </c>
    </row>
    <row r="117" spans="1:7">
      <c r="A117" s="2989" t="s">
        <v>303</v>
      </c>
      <c r="B117" s="2978" t="s">
        <v>2965</v>
      </c>
      <c r="C117" s="2979">
        <v>9.7000000000000003E-2</v>
      </c>
      <c r="D117" s="2979">
        <v>9.7000000000000003E-2</v>
      </c>
      <c r="E117" s="2990"/>
      <c r="F117" s="2990"/>
      <c r="G117" s="2980">
        <v>9.7000000000000003E-2</v>
      </c>
    </row>
    <row r="118" spans="1:7">
      <c r="A118" s="2989" t="s">
        <v>303</v>
      </c>
      <c r="B118" s="2978" t="s">
        <v>2970</v>
      </c>
      <c r="C118" s="2979">
        <v>0.1</v>
      </c>
      <c r="D118" s="2979">
        <v>0.1</v>
      </c>
      <c r="E118" s="2990"/>
      <c r="F118" s="2990"/>
      <c r="G118" s="2980">
        <v>0.1</v>
      </c>
    </row>
    <row r="119" spans="1:7">
      <c r="A119" s="2989" t="s">
        <v>303</v>
      </c>
      <c r="B119" s="2978" t="s">
        <v>2974</v>
      </c>
      <c r="C119" s="2979">
        <v>5.0999999999999997E-2</v>
      </c>
      <c r="D119" s="2979">
        <v>5.1999999999999998E-2</v>
      </c>
      <c r="E119" s="2990"/>
      <c r="F119" s="2995"/>
      <c r="G119" s="2980">
        <v>0.06</v>
      </c>
    </row>
    <row r="120" spans="1:7">
      <c r="A120" s="2989" t="s">
        <v>303</v>
      </c>
      <c r="B120" s="2978" t="s">
        <v>2978</v>
      </c>
      <c r="C120" s="2990"/>
      <c r="D120" s="2990"/>
      <c r="E120" s="2990"/>
      <c r="F120" s="2979">
        <v>0.1</v>
      </c>
      <c r="G120" s="2996"/>
    </row>
    <row r="121" spans="1:7">
      <c r="A121" s="2989" t="s">
        <v>303</v>
      </c>
      <c r="B121" s="2978" t="s">
        <v>2983</v>
      </c>
      <c r="C121" s="2990"/>
      <c r="D121" s="2990"/>
      <c r="E121" s="2990"/>
      <c r="F121" s="2979">
        <v>0.1</v>
      </c>
      <c r="G121" s="2996"/>
    </row>
    <row r="122" spans="1:7">
      <c r="A122" s="2989" t="s">
        <v>303</v>
      </c>
      <c r="B122" s="2978" t="s">
        <v>2988</v>
      </c>
      <c r="C122" s="2979">
        <v>0.1</v>
      </c>
      <c r="D122" s="2979">
        <v>0.1</v>
      </c>
      <c r="E122" s="2979">
        <v>9.8000000000000004E-2</v>
      </c>
      <c r="F122" s="2979">
        <v>0.1</v>
      </c>
      <c r="G122" s="2980">
        <v>0.1</v>
      </c>
    </row>
    <row r="123" spans="1:7">
      <c r="A123" s="2989" t="s">
        <v>303</v>
      </c>
      <c r="B123" s="2978" t="s">
        <v>2993</v>
      </c>
      <c r="C123" s="2979">
        <v>0.1</v>
      </c>
      <c r="D123" s="2979">
        <v>0.1</v>
      </c>
      <c r="E123" s="2979">
        <v>9.8000000000000004E-2</v>
      </c>
      <c r="F123" s="2979">
        <v>0.1</v>
      </c>
      <c r="G123" s="2980">
        <v>0.1</v>
      </c>
    </row>
    <row r="124" spans="1:7">
      <c r="A124" s="2989" t="s">
        <v>303</v>
      </c>
      <c r="B124" s="2978" t="s">
        <v>2998</v>
      </c>
      <c r="C124" s="2979">
        <v>0.1</v>
      </c>
      <c r="D124" s="2979">
        <v>0.1</v>
      </c>
      <c r="E124" s="2979">
        <v>9.8000000000000004E-2</v>
      </c>
      <c r="F124" s="2995"/>
      <c r="G124" s="2980">
        <v>0.1</v>
      </c>
    </row>
    <row r="125" spans="1:7">
      <c r="A125" s="2989" t="s">
        <v>303</v>
      </c>
      <c r="B125" s="2978" t="s">
        <v>3003</v>
      </c>
      <c r="C125" s="2979">
        <v>9.8000000000000004E-2</v>
      </c>
      <c r="D125" s="2979">
        <v>9.8000000000000004E-2</v>
      </c>
      <c r="E125" s="2979">
        <v>9.6000000000000002E-2</v>
      </c>
      <c r="F125" s="2995"/>
      <c r="G125" s="2980">
        <v>0.1</v>
      </c>
    </row>
    <row r="126" spans="1:7" ht="14.25" thickBot="1">
      <c r="A126" s="2992" t="s">
        <v>303</v>
      </c>
      <c r="B126" s="2982" t="s">
        <v>3169</v>
      </c>
      <c r="C126" s="2983">
        <v>0.1</v>
      </c>
      <c r="D126" s="2983">
        <v>0.1</v>
      </c>
      <c r="E126" s="2983">
        <v>9.8000000000000004E-2</v>
      </c>
      <c r="F126" s="2983">
        <v>0.1</v>
      </c>
      <c r="G126" s="2985">
        <v>0.1</v>
      </c>
    </row>
    <row r="127" spans="1:7">
      <c r="A127" s="2988" t="s">
        <v>29</v>
      </c>
      <c r="B127" s="2974" t="s">
        <v>2846</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2916</v>
      </c>
      <c r="C148" s="2979">
        <v>0.13</v>
      </c>
      <c r="D148" s="2979">
        <v>0.13</v>
      </c>
      <c r="E148" s="2979">
        <v>0.13</v>
      </c>
      <c r="F148" s="2990"/>
      <c r="G148" s="2980">
        <v>0.13</v>
      </c>
    </row>
    <row r="149" spans="1:7">
      <c r="A149" s="2989" t="s">
        <v>29</v>
      </c>
      <c r="B149" s="2978" t="s">
        <v>2920</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2939</v>
      </c>
      <c r="C153" s="2979">
        <v>0.13</v>
      </c>
      <c r="D153" s="2979">
        <v>0.13</v>
      </c>
      <c r="E153" s="2979">
        <v>0.13</v>
      </c>
      <c r="F153" s="2979">
        <v>0.13</v>
      </c>
      <c r="G153" s="2980">
        <v>0.13</v>
      </c>
    </row>
    <row r="154" spans="1:7">
      <c r="A154" s="2989" t="s">
        <v>29</v>
      </c>
      <c r="B154" s="2978" t="s">
        <v>2946</v>
      </c>
      <c r="C154" s="2979">
        <v>0.121</v>
      </c>
      <c r="D154" s="2979">
        <v>0.121</v>
      </c>
      <c r="E154" s="2979">
        <v>0.105</v>
      </c>
      <c r="F154" s="2979">
        <v>0.121</v>
      </c>
      <c r="G154" s="2980">
        <v>0.123</v>
      </c>
    </row>
    <row r="155" spans="1:7">
      <c r="A155" s="2989" t="s">
        <v>29</v>
      </c>
      <c r="B155" s="2978" t="s">
        <v>2952</v>
      </c>
      <c r="C155" s="2979">
        <v>0.1</v>
      </c>
      <c r="D155" s="2979">
        <v>0.1</v>
      </c>
      <c r="E155" s="2979">
        <v>0.1</v>
      </c>
      <c r="F155" s="2979">
        <v>0.1</v>
      </c>
      <c r="G155" s="2980">
        <v>0.1</v>
      </c>
    </row>
    <row r="156" spans="1:7">
      <c r="A156" s="2989" t="s">
        <v>29</v>
      </c>
      <c r="B156" s="2978" t="s">
        <v>2959</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2979</v>
      </c>
      <c r="C160" s="2979">
        <v>0.13</v>
      </c>
      <c r="D160" s="2979">
        <v>0.13</v>
      </c>
      <c r="E160" s="2979">
        <v>0.124</v>
      </c>
      <c r="F160" s="2979">
        <v>0.126</v>
      </c>
      <c r="G160" s="2980">
        <v>0.13</v>
      </c>
    </row>
    <row r="161" spans="1:7">
      <c r="A161" s="2989" t="s">
        <v>29</v>
      </c>
      <c r="B161" s="2978" t="s">
        <v>2984</v>
      </c>
      <c r="C161" s="2979">
        <v>0.13</v>
      </c>
      <c r="D161" s="2979">
        <v>0.13</v>
      </c>
      <c r="E161" s="2979">
        <v>0.124</v>
      </c>
      <c r="F161" s="2979">
        <v>0.127</v>
      </c>
      <c r="G161" s="2980">
        <v>0.13</v>
      </c>
    </row>
    <row r="162" spans="1:7">
      <c r="A162" s="2989" t="s">
        <v>29</v>
      </c>
      <c r="B162" s="2978" t="s">
        <v>2989</v>
      </c>
      <c r="C162" s="2979">
        <v>0.1</v>
      </c>
      <c r="D162" s="2979">
        <v>0.1</v>
      </c>
      <c r="E162" s="2979">
        <v>0.1</v>
      </c>
      <c r="F162" s="2979">
        <v>0.121</v>
      </c>
      <c r="G162" s="2980">
        <v>0.105</v>
      </c>
    </row>
    <row r="163" spans="1:7">
      <c r="A163" s="2989" t="s">
        <v>29</v>
      </c>
      <c r="B163" s="2978" t="s">
        <v>2994</v>
      </c>
      <c r="C163" s="2979">
        <v>0.1</v>
      </c>
      <c r="D163" s="2979">
        <v>0.1</v>
      </c>
      <c r="E163" s="2979">
        <v>0.1</v>
      </c>
      <c r="F163" s="2979">
        <v>0.1</v>
      </c>
      <c r="G163" s="2980">
        <v>0.1</v>
      </c>
    </row>
    <row r="164" spans="1:7">
      <c r="A164" s="2989" t="s">
        <v>29</v>
      </c>
      <c r="B164" s="2978" t="s">
        <v>2999</v>
      </c>
      <c r="C164" s="2995"/>
      <c r="D164" s="2995"/>
      <c r="E164" s="2995"/>
      <c r="F164" s="2979">
        <v>0.1</v>
      </c>
      <c r="G164" s="2991"/>
    </row>
    <row r="165" spans="1:7">
      <c r="A165" s="2989" t="s">
        <v>29</v>
      </c>
      <c r="B165" s="2978" t="s">
        <v>3170</v>
      </c>
      <c r="C165" s="2979">
        <v>0.126</v>
      </c>
      <c r="D165" s="2979">
        <v>0.126</v>
      </c>
      <c r="E165" s="2979">
        <v>0.11899999999999999</v>
      </c>
      <c r="F165" s="2979">
        <v>0.13</v>
      </c>
      <c r="G165" s="2980">
        <v>0.128</v>
      </c>
    </row>
    <row r="166" spans="1:7">
      <c r="A166" s="2989" t="s">
        <v>29</v>
      </c>
      <c r="B166" s="2978" t="s">
        <v>3009</v>
      </c>
      <c r="C166" s="2979">
        <v>0.129</v>
      </c>
      <c r="D166" s="2979">
        <v>0.129</v>
      </c>
      <c r="E166" s="2979">
        <v>0.123</v>
      </c>
      <c r="F166" s="2979">
        <v>0.128</v>
      </c>
      <c r="G166" s="2980">
        <v>0.13</v>
      </c>
    </row>
    <row r="167" spans="1:7">
      <c r="A167" s="2989" t="s">
        <v>29</v>
      </c>
      <c r="B167" s="2978" t="s">
        <v>3013</v>
      </c>
      <c r="C167" s="2979">
        <v>0.125</v>
      </c>
      <c r="D167" s="2979">
        <v>0.125</v>
      </c>
      <c r="E167" s="2979">
        <v>0.11700000000000001</v>
      </c>
      <c r="F167" s="2979">
        <v>0.13</v>
      </c>
      <c r="G167" s="2980">
        <v>0.126</v>
      </c>
    </row>
    <row r="168" spans="1:7">
      <c r="A168" s="2989" t="s">
        <v>29</v>
      </c>
      <c r="B168" s="2978" t="s">
        <v>3018</v>
      </c>
      <c r="C168" s="2979">
        <v>0.128</v>
      </c>
      <c r="D168" s="2979">
        <v>0.128</v>
      </c>
      <c r="E168" s="2979">
        <v>0.123</v>
      </c>
      <c r="F168" s="2990"/>
      <c r="G168" s="2980">
        <v>0.13</v>
      </c>
    </row>
    <row r="169" spans="1:7">
      <c r="A169" s="2989" t="s">
        <v>29</v>
      </c>
      <c r="B169" s="2978" t="s">
        <v>3171</v>
      </c>
      <c r="C169" s="2995"/>
      <c r="D169" s="2995"/>
      <c r="E169" s="2995"/>
      <c r="F169" s="2979">
        <v>0.05</v>
      </c>
      <c r="G169" s="2991"/>
    </row>
    <row r="170" spans="1:7">
      <c r="A170" s="2989" t="s">
        <v>29</v>
      </c>
      <c r="B170" s="2978" t="s">
        <v>3172</v>
      </c>
      <c r="C170" s="2995"/>
      <c r="D170" s="2995"/>
      <c r="E170" s="2995"/>
      <c r="F170" s="2979">
        <v>0.05</v>
      </c>
      <c r="G170" s="2991"/>
    </row>
    <row r="171" spans="1:7">
      <c r="A171" s="2989" t="s">
        <v>29</v>
      </c>
      <c r="B171" s="2978" t="s">
        <v>3173</v>
      </c>
      <c r="C171" s="2995"/>
      <c r="D171" s="2995"/>
      <c r="E171" s="2995"/>
      <c r="F171" s="2979">
        <v>0.05</v>
      </c>
      <c r="G171" s="2996"/>
    </row>
    <row r="172" spans="1:7">
      <c r="A172" s="2989" t="s">
        <v>29</v>
      </c>
      <c r="B172" s="2978" t="s">
        <v>3174</v>
      </c>
      <c r="C172" s="2995"/>
      <c r="D172" s="2995"/>
      <c r="E172" s="2995"/>
      <c r="F172" s="2979">
        <v>0.05</v>
      </c>
      <c r="G172" s="2996"/>
    </row>
    <row r="173" spans="1:7">
      <c r="A173" s="2989" t="s">
        <v>29</v>
      </c>
      <c r="B173" s="2978" t="s">
        <v>3175</v>
      </c>
      <c r="C173" s="2995"/>
      <c r="D173" s="2995"/>
      <c r="E173" s="2995"/>
      <c r="F173" s="2979">
        <v>0.05</v>
      </c>
      <c r="G173" s="2991"/>
    </row>
    <row r="174" spans="1:7">
      <c r="A174" s="2989" t="s">
        <v>29</v>
      </c>
      <c r="B174" s="2978" t="s">
        <v>3176</v>
      </c>
      <c r="C174" s="2995"/>
      <c r="D174" s="2995"/>
      <c r="E174" s="2995"/>
      <c r="F174" s="2979">
        <v>0.05</v>
      </c>
      <c r="G174" s="2991"/>
    </row>
    <row r="175" spans="1:7">
      <c r="A175" s="2989" t="s">
        <v>29</v>
      </c>
      <c r="B175" s="2978" t="s">
        <v>3177</v>
      </c>
      <c r="C175" s="2995"/>
      <c r="D175" s="2995"/>
      <c r="E175" s="2995"/>
      <c r="F175" s="2979">
        <v>0.05</v>
      </c>
      <c r="G175" s="2991"/>
    </row>
    <row r="176" spans="1:7">
      <c r="A176" s="2989" t="s">
        <v>29</v>
      </c>
      <c r="B176" s="2978" t="s">
        <v>3178</v>
      </c>
      <c r="C176" s="2995"/>
      <c r="D176" s="2995"/>
      <c r="E176" s="2995"/>
      <c r="F176" s="2979">
        <v>0.05</v>
      </c>
      <c r="G176" s="2991"/>
    </row>
    <row r="177" spans="1:7">
      <c r="A177" s="2989" t="s">
        <v>29</v>
      </c>
      <c r="B177" s="2978" t="s">
        <v>3179</v>
      </c>
      <c r="C177" s="2990"/>
      <c r="D177" s="2990"/>
      <c r="E177" s="2990"/>
      <c r="F177" s="2979">
        <v>0.05</v>
      </c>
      <c r="G177" s="2996"/>
    </row>
    <row r="178" spans="1:7">
      <c r="A178" s="2989" t="s">
        <v>29</v>
      </c>
      <c r="B178" s="2978" t="s">
        <v>3180</v>
      </c>
      <c r="C178" s="2990"/>
      <c r="D178" s="2990"/>
      <c r="E178" s="2990"/>
      <c r="F178" s="2979">
        <v>0.05</v>
      </c>
      <c r="G178" s="2996"/>
    </row>
    <row r="179" spans="1:7">
      <c r="A179" s="2989" t="s">
        <v>29</v>
      </c>
      <c r="B179" s="2978" t="s">
        <v>3181</v>
      </c>
      <c r="C179" s="2990"/>
      <c r="D179" s="2990"/>
      <c r="E179" s="2990"/>
      <c r="F179" s="2979">
        <v>0.05</v>
      </c>
      <c r="G179" s="2996"/>
    </row>
    <row r="180" spans="1:7">
      <c r="A180" s="2989" t="s">
        <v>29</v>
      </c>
      <c r="B180" s="2978" t="s">
        <v>3182</v>
      </c>
      <c r="C180" s="2990"/>
      <c r="D180" s="2990"/>
      <c r="E180" s="2990"/>
      <c r="F180" s="2979">
        <v>0.05</v>
      </c>
      <c r="G180" s="2996"/>
    </row>
    <row r="181" spans="1:7">
      <c r="A181" s="2989" t="s">
        <v>29</v>
      </c>
      <c r="B181" s="2978" t="s">
        <v>3183</v>
      </c>
      <c r="C181" s="2990"/>
      <c r="D181" s="2990"/>
      <c r="E181" s="2990"/>
      <c r="F181" s="2979">
        <v>0.05</v>
      </c>
      <c r="G181" s="2996"/>
    </row>
    <row r="182" spans="1:7">
      <c r="A182" s="2989" t="s">
        <v>29</v>
      </c>
      <c r="B182" s="2978" t="s">
        <v>3184</v>
      </c>
      <c r="C182" s="2990"/>
      <c r="D182" s="2990"/>
      <c r="E182" s="2990"/>
      <c r="F182" s="2979">
        <v>0.05</v>
      </c>
      <c r="G182" s="2996"/>
    </row>
    <row r="183" spans="1:7">
      <c r="A183" s="2989" t="s">
        <v>29</v>
      </c>
      <c r="B183" s="2978" t="s">
        <v>3185</v>
      </c>
      <c r="C183" s="2990"/>
      <c r="D183" s="2990"/>
      <c r="E183" s="2990"/>
      <c r="F183" s="2979">
        <v>0.05</v>
      </c>
      <c r="G183" s="2996"/>
    </row>
    <row r="184" spans="1:7">
      <c r="A184" s="2989" t="s">
        <v>29</v>
      </c>
      <c r="B184" s="2978" t="s">
        <v>3186</v>
      </c>
      <c r="C184" s="2990"/>
      <c r="D184" s="2990"/>
      <c r="E184" s="2990"/>
      <c r="F184" s="2979">
        <v>0.05</v>
      </c>
      <c r="G184" s="2996"/>
    </row>
    <row r="185" spans="1:7">
      <c r="A185" s="2989" t="s">
        <v>29</v>
      </c>
      <c r="B185" s="2978" t="s">
        <v>3187</v>
      </c>
      <c r="C185" s="2990"/>
      <c r="D185" s="2990"/>
      <c r="E185" s="2990"/>
      <c r="F185" s="2979">
        <v>0.05</v>
      </c>
      <c r="G185" s="2996"/>
    </row>
    <row r="186" spans="1:7">
      <c r="A186" s="2989" t="s">
        <v>29</v>
      </c>
      <c r="B186" s="2978" t="s">
        <v>3188</v>
      </c>
      <c r="C186" s="2990"/>
      <c r="D186" s="2990"/>
      <c r="E186" s="2990"/>
      <c r="F186" s="2979">
        <v>0.05</v>
      </c>
      <c r="G186" s="2996"/>
    </row>
    <row r="187" spans="1:7">
      <c r="A187" s="2989" t="s">
        <v>29</v>
      </c>
      <c r="B187" s="2978" t="s">
        <v>3189</v>
      </c>
      <c r="C187" s="2990"/>
      <c r="D187" s="2990"/>
      <c r="E187" s="2990"/>
      <c r="F187" s="2979">
        <v>0.05</v>
      </c>
      <c r="G187" s="2996"/>
    </row>
    <row r="188" spans="1:7">
      <c r="A188" s="2989" t="s">
        <v>29</v>
      </c>
      <c r="B188" s="2978" t="s">
        <v>3190</v>
      </c>
      <c r="C188" s="2990"/>
      <c r="D188" s="2990"/>
      <c r="E188" s="2990"/>
      <c r="F188" s="2979">
        <v>0.05</v>
      </c>
      <c r="G188" s="2996"/>
    </row>
    <row r="189" spans="1:7" ht="14.25" thickBot="1">
      <c r="A189" s="2992" t="s">
        <v>29</v>
      </c>
      <c r="B189" s="2982" t="s">
        <v>3191</v>
      </c>
      <c r="C189" s="2984"/>
      <c r="D189" s="2984"/>
      <c r="E189" s="2984"/>
      <c r="F189" s="2983">
        <v>0.05</v>
      </c>
      <c r="G189" s="2997"/>
    </row>
    <row r="190" spans="1:7">
      <c r="A190" s="2988" t="s">
        <v>304</v>
      </c>
      <c r="B190" s="2974" t="s">
        <v>2847</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2883</v>
      </c>
      <c r="C199" s="2979">
        <v>0.13</v>
      </c>
      <c r="D199" s="2979">
        <v>0.13</v>
      </c>
      <c r="E199" s="2979">
        <v>0.13</v>
      </c>
      <c r="F199" s="2979">
        <v>0.13</v>
      </c>
      <c r="G199" s="2980">
        <v>0.13</v>
      </c>
    </row>
    <row r="200" spans="1:7">
      <c r="A200" s="2989" t="s">
        <v>304</v>
      </c>
      <c r="B200" s="2978" t="s">
        <v>2886</v>
      </c>
      <c r="C200" s="2995"/>
      <c r="D200" s="2995"/>
      <c r="E200" s="2995"/>
      <c r="F200" s="2979">
        <v>0.13</v>
      </c>
      <c r="G200" s="2991"/>
    </row>
    <row r="201" spans="1:7">
      <c r="A201" s="2989" t="s">
        <v>304</v>
      </c>
      <c r="B201" s="2978" t="s">
        <v>2891</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2894</v>
      </c>
      <c r="C203" s="2979">
        <v>0.129</v>
      </c>
      <c r="D203" s="2979">
        <v>0.129</v>
      </c>
      <c r="E203" s="2979">
        <v>0.13</v>
      </c>
      <c r="F203" s="2979">
        <v>0.13</v>
      </c>
      <c r="G203" s="2980">
        <v>0.13</v>
      </c>
    </row>
    <row r="204" spans="1:7">
      <c r="A204" s="2989" t="s">
        <v>304</v>
      </c>
      <c r="B204" s="2978" t="s">
        <v>2897</v>
      </c>
      <c r="C204" s="2979">
        <v>0.129</v>
      </c>
      <c r="D204" s="2979">
        <v>0.129</v>
      </c>
      <c r="E204" s="2979">
        <v>0.123</v>
      </c>
      <c r="F204" s="2979">
        <v>0.13</v>
      </c>
      <c r="G204" s="2980">
        <v>0.13</v>
      </c>
    </row>
    <row r="205" spans="1:7">
      <c r="A205" s="2989" t="s">
        <v>304</v>
      </c>
      <c r="B205" s="2978" t="s">
        <v>2899</v>
      </c>
      <c r="C205" s="2979">
        <v>0.13</v>
      </c>
      <c r="D205" s="2979">
        <v>0.13</v>
      </c>
      <c r="E205" s="2979">
        <v>0.13</v>
      </c>
      <c r="F205" s="2979">
        <v>0.13</v>
      </c>
      <c r="G205" s="2980">
        <v>0.13</v>
      </c>
    </row>
    <row r="206" spans="1:7">
      <c r="A206" s="2989" t="s">
        <v>304</v>
      </c>
      <c r="B206" s="2978" t="s">
        <v>2902</v>
      </c>
      <c r="C206" s="2979">
        <v>0.13</v>
      </c>
      <c r="D206" s="2979">
        <v>0.13</v>
      </c>
      <c r="E206" s="2979">
        <v>0.13</v>
      </c>
      <c r="F206" s="2979">
        <v>0.128</v>
      </c>
      <c r="G206" s="2980">
        <v>0.13</v>
      </c>
    </row>
    <row r="207" spans="1:7">
      <c r="A207" s="2989" t="s">
        <v>304</v>
      </c>
      <c r="B207" s="2978" t="s">
        <v>2904</v>
      </c>
      <c r="C207" s="2979">
        <v>0.13</v>
      </c>
      <c r="D207" s="2979">
        <v>0.13</v>
      </c>
      <c r="E207" s="2979">
        <v>0.13</v>
      </c>
      <c r="F207" s="2979">
        <v>0.13</v>
      </c>
      <c r="G207" s="2980">
        <v>0.13</v>
      </c>
    </row>
    <row r="208" spans="1:7">
      <c r="A208" s="2989" t="s">
        <v>304</v>
      </c>
      <c r="B208" s="2978" t="s">
        <v>2907</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2914</v>
      </c>
      <c r="C210" s="2979">
        <v>0.121</v>
      </c>
      <c r="D210" s="2979">
        <v>0.121</v>
      </c>
      <c r="E210" s="2979">
        <v>0.125</v>
      </c>
      <c r="F210" s="2979">
        <v>0.13</v>
      </c>
      <c r="G210" s="2980">
        <v>0.123</v>
      </c>
    </row>
    <row r="211" spans="1:7">
      <c r="A211" s="2989" t="s">
        <v>304</v>
      </c>
      <c r="B211" s="2978" t="s">
        <v>2917</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2929</v>
      </c>
      <c r="C214" s="2979">
        <v>0.128</v>
      </c>
      <c r="D214" s="2979">
        <v>0.128</v>
      </c>
      <c r="E214" s="2979">
        <v>0.13</v>
      </c>
      <c r="F214" s="2979">
        <v>0.13</v>
      </c>
      <c r="G214" s="2980">
        <v>0.13</v>
      </c>
    </row>
    <row r="215" spans="1:7">
      <c r="A215" s="2989" t="s">
        <v>304</v>
      </c>
      <c r="B215" s="2978" t="s">
        <v>2933</v>
      </c>
      <c r="C215" s="2979">
        <v>0.13</v>
      </c>
      <c r="D215" s="2979">
        <v>0.13</v>
      </c>
      <c r="E215" s="2979">
        <v>0.13</v>
      </c>
      <c r="F215" s="2979">
        <v>0.129</v>
      </c>
      <c r="G215" s="2980">
        <v>0.13</v>
      </c>
    </row>
    <row r="216" spans="1:7">
      <c r="A216" s="2989" t="s">
        <v>304</v>
      </c>
      <c r="B216" s="2978" t="s">
        <v>2940</v>
      </c>
      <c r="C216" s="2979">
        <v>0.13</v>
      </c>
      <c r="D216" s="2979">
        <v>0.13</v>
      </c>
      <c r="E216" s="2979">
        <v>0.13</v>
      </c>
      <c r="F216" s="2979">
        <v>0.13</v>
      </c>
      <c r="G216" s="2980">
        <v>0.13</v>
      </c>
    </row>
    <row r="217" spans="1:7">
      <c r="A217" s="2989" t="s">
        <v>304</v>
      </c>
      <c r="B217" s="2978" t="s">
        <v>2947</v>
      </c>
      <c r="C217" s="2979">
        <v>0.129</v>
      </c>
      <c r="D217" s="2979">
        <v>0.129</v>
      </c>
      <c r="E217" s="2979">
        <v>0.13</v>
      </c>
      <c r="F217" s="2979">
        <v>0.13</v>
      </c>
      <c r="G217" s="2980">
        <v>0.13</v>
      </c>
    </row>
    <row r="218" spans="1:7">
      <c r="A218" s="2989" t="s">
        <v>304</v>
      </c>
      <c r="B218" s="2978" t="s">
        <v>2953</v>
      </c>
      <c r="C218" s="2990"/>
      <c r="D218" s="2990"/>
      <c r="E218" s="2990"/>
      <c r="F218" s="2979">
        <v>0.05</v>
      </c>
      <c r="G218" s="2996"/>
    </row>
    <row r="219" spans="1:7">
      <c r="A219" s="2989" t="s">
        <v>304</v>
      </c>
      <c r="B219" s="2978" t="s">
        <v>2960</v>
      </c>
      <c r="C219" s="2990"/>
      <c r="D219" s="2990"/>
      <c r="E219" s="2990"/>
      <c r="F219" s="2979">
        <v>0.05</v>
      </c>
      <c r="G219" s="2996"/>
    </row>
    <row r="220" spans="1:7">
      <c r="A220" s="2989" t="s">
        <v>304</v>
      </c>
      <c r="B220" s="2978" t="s">
        <v>2966</v>
      </c>
      <c r="C220" s="2990"/>
      <c r="D220" s="2990"/>
      <c r="E220" s="2990"/>
      <c r="F220" s="2979">
        <v>0.05</v>
      </c>
      <c r="G220" s="2996"/>
    </row>
    <row r="221" spans="1:7">
      <c r="A221" s="2989" t="s">
        <v>304</v>
      </c>
      <c r="B221" s="2978" t="s">
        <v>2971</v>
      </c>
      <c r="C221" s="2990"/>
      <c r="D221" s="2990"/>
      <c r="E221" s="2990"/>
      <c r="F221" s="2979">
        <v>0.05</v>
      </c>
      <c r="G221" s="2996"/>
    </row>
    <row r="222" spans="1:7">
      <c r="A222" s="2989" t="s">
        <v>304</v>
      </c>
      <c r="B222" s="2978" t="s">
        <v>2975</v>
      </c>
      <c r="C222" s="2990"/>
      <c r="D222" s="2990"/>
      <c r="E222" s="2990"/>
      <c r="F222" s="2979">
        <v>0.05</v>
      </c>
      <c r="G222" s="2996"/>
    </row>
    <row r="223" spans="1:7">
      <c r="A223" s="2989" t="s">
        <v>304</v>
      </c>
      <c r="B223" s="2978" t="s">
        <v>2980</v>
      </c>
      <c r="C223" s="2990"/>
      <c r="D223" s="2990"/>
      <c r="E223" s="2990"/>
      <c r="F223" s="2979">
        <v>0.05</v>
      </c>
      <c r="G223" s="2996"/>
    </row>
    <row r="224" spans="1:7">
      <c r="A224" s="2989" t="s">
        <v>304</v>
      </c>
      <c r="B224" s="2978" t="s">
        <v>2985</v>
      </c>
      <c r="C224" s="2990"/>
      <c r="D224" s="2990"/>
      <c r="E224" s="2990"/>
      <c r="F224" s="2979">
        <v>0.05</v>
      </c>
      <c r="G224" s="2996"/>
    </row>
    <row r="225" spans="1:7">
      <c r="A225" s="2989" t="s">
        <v>304</v>
      </c>
      <c r="B225" s="2978" t="s">
        <v>2990</v>
      </c>
      <c r="C225" s="2990"/>
      <c r="D225" s="2990"/>
      <c r="E225" s="2990"/>
      <c r="F225" s="2979">
        <v>0.05</v>
      </c>
      <c r="G225" s="2996"/>
    </row>
    <row r="226" spans="1:7">
      <c r="A226" s="2989" t="s">
        <v>304</v>
      </c>
      <c r="B226" s="2978" t="s">
        <v>3192</v>
      </c>
      <c r="C226" s="2990"/>
      <c r="D226" s="2990"/>
      <c r="E226" s="2990"/>
      <c r="F226" s="2979">
        <v>0.05</v>
      </c>
      <c r="G226" s="2996"/>
    </row>
    <row r="227" spans="1:7">
      <c r="A227" s="2989" t="s">
        <v>304</v>
      </c>
      <c r="B227" s="2978" t="s">
        <v>3193</v>
      </c>
      <c r="C227" s="2990"/>
      <c r="D227" s="2990"/>
      <c r="E227" s="2990"/>
      <c r="F227" s="2979">
        <v>0.05</v>
      </c>
      <c r="G227" s="2996"/>
    </row>
    <row r="228" spans="1:7">
      <c r="A228" s="2989" t="s">
        <v>304</v>
      </c>
      <c r="B228" s="2978" t="s">
        <v>3194</v>
      </c>
      <c r="C228" s="2990"/>
      <c r="D228" s="2990"/>
      <c r="E228" s="2990"/>
      <c r="F228" s="2979">
        <v>0.05</v>
      </c>
      <c r="G228" s="2996"/>
    </row>
    <row r="229" spans="1:7">
      <c r="A229" s="2989" t="s">
        <v>304</v>
      </c>
      <c r="B229" s="2978" t="s">
        <v>3195</v>
      </c>
      <c r="C229" s="2990"/>
      <c r="D229" s="2990"/>
      <c r="E229" s="2990"/>
      <c r="F229" s="2979">
        <v>0.05</v>
      </c>
      <c r="G229" s="2996"/>
    </row>
    <row r="230" spans="1:7">
      <c r="A230" s="2989" t="s">
        <v>304</v>
      </c>
      <c r="B230" s="2978" t="s">
        <v>3196</v>
      </c>
      <c r="C230" s="2990"/>
      <c r="D230" s="2990"/>
      <c r="E230" s="2990"/>
      <c r="F230" s="2979">
        <v>0.05</v>
      </c>
      <c r="G230" s="2996"/>
    </row>
    <row r="231" spans="1:7">
      <c r="A231" s="2989" t="s">
        <v>304</v>
      </c>
      <c r="B231" s="2978" t="s">
        <v>3197</v>
      </c>
      <c r="C231" s="2990"/>
      <c r="D231" s="2990"/>
      <c r="E231" s="2990"/>
      <c r="F231" s="2979">
        <v>0.05</v>
      </c>
      <c r="G231" s="2996"/>
    </row>
    <row r="232" spans="1:7">
      <c r="A232" s="2989" t="s">
        <v>304</v>
      </c>
      <c r="B232" s="2978" t="s">
        <v>3198</v>
      </c>
      <c r="C232" s="2990"/>
      <c r="D232" s="2990"/>
      <c r="E232" s="2990"/>
      <c r="F232" s="2979">
        <v>0.05</v>
      </c>
      <c r="G232" s="2996"/>
    </row>
    <row r="233" spans="1:7" ht="14.25" thickBot="1">
      <c r="A233" s="2992" t="s">
        <v>304</v>
      </c>
      <c r="B233" s="2982" t="s">
        <v>3199</v>
      </c>
      <c r="C233" s="2984"/>
      <c r="D233" s="2984"/>
      <c r="E233" s="2984"/>
      <c r="F233" s="2983">
        <v>0.05</v>
      </c>
      <c r="G233" s="2997"/>
    </row>
    <row r="234" spans="1:7">
      <c r="A234" s="2988" t="s">
        <v>305</v>
      </c>
      <c r="B234" s="2974" t="s">
        <v>2848</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2868</v>
      </c>
      <c r="C238" s="2979">
        <v>0.14899999999999999</v>
      </c>
      <c r="D238" s="2979">
        <v>0.14899999999999999</v>
      </c>
      <c r="E238" s="2979">
        <v>0.15</v>
      </c>
      <c r="F238" s="2979">
        <v>0.15</v>
      </c>
      <c r="G238" s="2980">
        <v>0.15</v>
      </c>
    </row>
    <row r="239" spans="1:7">
      <c r="A239" s="2989" t="s">
        <v>305</v>
      </c>
      <c r="B239" s="2978" t="s">
        <v>2872</v>
      </c>
      <c r="C239" s="2979">
        <v>0.15</v>
      </c>
      <c r="D239" s="2979">
        <v>0.15</v>
      </c>
      <c r="E239" s="2979">
        <v>0.15</v>
      </c>
      <c r="F239" s="2979">
        <v>0.15</v>
      </c>
      <c r="G239" s="2980">
        <v>0.15</v>
      </c>
    </row>
    <row r="240" spans="1:7">
      <c r="A240" s="2989" t="s">
        <v>305</v>
      </c>
      <c r="B240" s="2978" t="s">
        <v>2877</v>
      </c>
      <c r="C240" s="2979">
        <v>0.15</v>
      </c>
      <c r="D240" s="2979">
        <v>0.15</v>
      </c>
      <c r="E240" s="2979">
        <v>0.15</v>
      </c>
      <c r="F240" s="2979">
        <v>0.15</v>
      </c>
      <c r="G240" s="2980">
        <v>0.15</v>
      </c>
    </row>
    <row r="241" spans="1:7">
      <c r="A241" s="2989" t="s">
        <v>305</v>
      </c>
      <c r="B241" s="2978" t="s">
        <v>2881</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2887</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2895</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2900</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2908</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2921</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2930</v>
      </c>
      <c r="C258" s="2979">
        <v>0.14299999999999999</v>
      </c>
      <c r="D258" s="2979">
        <v>0.14299999999999999</v>
      </c>
      <c r="E258" s="2979">
        <v>0.15</v>
      </c>
      <c r="F258" s="2979">
        <v>0.14799999999999999</v>
      </c>
      <c r="G258" s="2980">
        <v>0.14599999999999999</v>
      </c>
    </row>
    <row r="259" spans="1:7">
      <c r="A259" s="2989" t="s">
        <v>305</v>
      </c>
      <c r="B259" s="2978" t="s">
        <v>2934</v>
      </c>
      <c r="C259" s="2979">
        <v>0.14399999999999999</v>
      </c>
      <c r="D259" s="2979">
        <v>0.14399999999999999</v>
      </c>
      <c r="E259" s="2979">
        <v>0.14899999999999999</v>
      </c>
      <c r="F259" s="2979">
        <v>0.14699999999999999</v>
      </c>
      <c r="G259" s="2980">
        <v>0.14599999999999999</v>
      </c>
    </row>
    <row r="260" spans="1:7">
      <c r="A260" s="2989" t="s">
        <v>305</v>
      </c>
      <c r="B260" s="2978" t="s">
        <v>2941</v>
      </c>
      <c r="C260" s="2979">
        <v>0.109</v>
      </c>
      <c r="D260" s="2979">
        <v>0.111</v>
      </c>
      <c r="E260" s="2979">
        <v>0.13100000000000001</v>
      </c>
      <c r="F260" s="2979">
        <v>0.126</v>
      </c>
      <c r="G260" s="2980">
        <v>0.11899999999999999</v>
      </c>
    </row>
    <row r="261" spans="1:7">
      <c r="A261" s="2989" t="s">
        <v>305</v>
      </c>
      <c r="B261" s="2978" t="s">
        <v>2948</v>
      </c>
      <c r="C261" s="2979">
        <v>0.1</v>
      </c>
      <c r="D261" s="2979">
        <v>0.1</v>
      </c>
      <c r="E261" s="2979">
        <v>0.11799999999999999</v>
      </c>
      <c r="F261" s="2979">
        <v>0.108</v>
      </c>
      <c r="G261" s="2980">
        <v>0.107</v>
      </c>
    </row>
    <row r="262" spans="1:7">
      <c r="A262" s="2989" t="s">
        <v>305</v>
      </c>
      <c r="B262" s="2978" t="s">
        <v>2954</v>
      </c>
      <c r="C262" s="2979">
        <v>0.1</v>
      </c>
      <c r="D262" s="2979">
        <v>0.1</v>
      </c>
      <c r="E262" s="2979">
        <v>0.1</v>
      </c>
      <c r="F262" s="2979">
        <v>0.14099999999999999</v>
      </c>
      <c r="G262" s="2980">
        <v>0.1</v>
      </c>
    </row>
    <row r="263" spans="1:7">
      <c r="A263" s="2989" t="s">
        <v>305</v>
      </c>
      <c r="B263" s="2978" t="s">
        <v>2961</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2972</v>
      </c>
      <c r="C265" s="2990"/>
      <c r="D265" s="2990"/>
      <c r="E265" s="2990"/>
      <c r="F265" s="2979">
        <v>0.05</v>
      </c>
      <c r="G265" s="2996"/>
    </row>
    <row r="266" spans="1:7">
      <c r="A266" s="2989" t="s">
        <v>305</v>
      </c>
      <c r="B266" s="2978" t="s">
        <v>2976</v>
      </c>
      <c r="C266" s="2990"/>
      <c r="D266" s="2990"/>
      <c r="E266" s="2990"/>
      <c r="F266" s="2979">
        <v>0.05</v>
      </c>
      <c r="G266" s="2996"/>
    </row>
    <row r="267" spans="1:7">
      <c r="A267" s="2989" t="s">
        <v>305</v>
      </c>
      <c r="B267" s="2978" t="s">
        <v>2981</v>
      </c>
      <c r="C267" s="2990"/>
      <c r="D267" s="2990"/>
      <c r="E267" s="2990"/>
      <c r="F267" s="2979">
        <v>0.05</v>
      </c>
      <c r="G267" s="2996"/>
    </row>
    <row r="268" spans="1:7">
      <c r="A268" s="2989" t="s">
        <v>305</v>
      </c>
      <c r="B268" s="2978" t="s">
        <v>2986</v>
      </c>
      <c r="C268" s="2990"/>
      <c r="D268" s="2990"/>
      <c r="E268" s="2990"/>
      <c r="F268" s="2979">
        <v>0.05</v>
      </c>
      <c r="G268" s="2996"/>
    </row>
    <row r="269" spans="1:7">
      <c r="A269" s="2989" t="s">
        <v>305</v>
      </c>
      <c r="B269" s="2978" t="s">
        <v>2991</v>
      </c>
      <c r="C269" s="2990"/>
      <c r="D269" s="2990"/>
      <c r="E269" s="2990"/>
      <c r="F269" s="2979">
        <v>0.05</v>
      </c>
      <c r="G269" s="2996"/>
    </row>
    <row r="270" spans="1:7">
      <c r="A270" s="2989" t="s">
        <v>305</v>
      </c>
      <c r="B270" s="2978" t="s">
        <v>2996</v>
      </c>
      <c r="C270" s="2990"/>
      <c r="D270" s="2990"/>
      <c r="E270" s="2990"/>
      <c r="F270" s="2979">
        <v>0.05</v>
      </c>
      <c r="G270" s="2996"/>
    </row>
    <row r="271" spans="1:7">
      <c r="A271" s="2989" t="s">
        <v>305</v>
      </c>
      <c r="B271" s="2978" t="s">
        <v>3200</v>
      </c>
      <c r="C271" s="2990"/>
      <c r="D271" s="2990"/>
      <c r="E271" s="2990"/>
      <c r="F271" s="2979">
        <v>0.05</v>
      </c>
      <c r="G271" s="2996"/>
    </row>
    <row r="272" spans="1:7">
      <c r="A272" s="2989" t="s">
        <v>305</v>
      </c>
      <c r="B272" s="2978" t="s">
        <v>3201</v>
      </c>
      <c r="C272" s="2990"/>
      <c r="D272" s="2990"/>
      <c r="E272" s="2990"/>
      <c r="F272" s="2979">
        <v>0.05</v>
      </c>
      <c r="G272" s="2996"/>
    </row>
    <row r="273" spans="1:7">
      <c r="A273" s="2989" t="s">
        <v>305</v>
      </c>
      <c r="B273" s="2978" t="s">
        <v>3202</v>
      </c>
      <c r="C273" s="2990"/>
      <c r="D273" s="2990"/>
      <c r="E273" s="2990"/>
      <c r="F273" s="2979">
        <v>0.05</v>
      </c>
      <c r="G273" s="2996"/>
    </row>
    <row r="274" spans="1:7">
      <c r="A274" s="2989" t="s">
        <v>305</v>
      </c>
      <c r="B274" s="2978" t="s">
        <v>3203</v>
      </c>
      <c r="C274" s="2990"/>
      <c r="D274" s="2990"/>
      <c r="E274" s="2990"/>
      <c r="F274" s="2979">
        <v>0.05</v>
      </c>
      <c r="G274" s="2996"/>
    </row>
    <row r="275" spans="1:7">
      <c r="A275" s="2989" t="s">
        <v>305</v>
      </c>
      <c r="B275" s="2978" t="s">
        <v>3204</v>
      </c>
      <c r="C275" s="2990"/>
      <c r="D275" s="2990"/>
      <c r="E275" s="2990"/>
      <c r="F275" s="2979">
        <v>0.05</v>
      </c>
      <c r="G275" s="2996"/>
    </row>
    <row r="276" spans="1:7" ht="14.25" thickBot="1">
      <c r="A276" s="2992" t="s">
        <v>305</v>
      </c>
      <c r="B276" s="2982" t="s">
        <v>3205</v>
      </c>
      <c r="C276" s="2984"/>
      <c r="D276" s="2984"/>
      <c r="E276" s="2984"/>
      <c r="F276" s="2983">
        <v>0.05</v>
      </c>
      <c r="G276" s="2997"/>
    </row>
    <row r="277" spans="1:7">
      <c r="A277" s="2988" t="s">
        <v>306</v>
      </c>
      <c r="B277" s="2974" t="s">
        <v>2849</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2861</v>
      </c>
      <c r="C279" s="2979">
        <v>0.15</v>
      </c>
      <c r="D279" s="2979">
        <v>0.15</v>
      </c>
      <c r="E279" s="2979">
        <v>0.15</v>
      </c>
      <c r="F279" s="2979">
        <v>0.15</v>
      </c>
      <c r="G279" s="2980">
        <v>0.15</v>
      </c>
    </row>
    <row r="280" spans="1:7">
      <c r="A280" s="2989" t="s">
        <v>306</v>
      </c>
      <c r="B280" s="2978" t="s">
        <v>2865</v>
      </c>
      <c r="C280" s="2979">
        <v>0.15</v>
      </c>
      <c r="D280" s="2979">
        <v>0.15</v>
      </c>
      <c r="E280" s="2979">
        <v>0.15</v>
      </c>
      <c r="F280" s="2979">
        <v>0.15</v>
      </c>
      <c r="G280" s="2980">
        <v>0.15</v>
      </c>
    </row>
    <row r="281" spans="1:7">
      <c r="A281" s="2989" t="s">
        <v>306</v>
      </c>
      <c r="B281" s="2978" t="s">
        <v>2869</v>
      </c>
      <c r="C281" s="2979">
        <v>0.15</v>
      </c>
      <c r="D281" s="2979">
        <v>0.15</v>
      </c>
      <c r="E281" s="2979">
        <v>0.15</v>
      </c>
      <c r="F281" s="2979">
        <v>0.15</v>
      </c>
      <c r="G281" s="2980">
        <v>0.15</v>
      </c>
    </row>
    <row r="282" spans="1:7">
      <c r="A282" s="2989" t="s">
        <v>306</v>
      </c>
      <c r="B282" s="2978" t="s">
        <v>2873</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2888</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2893</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2903</v>
      </c>
      <c r="C293" s="2979">
        <v>0.15</v>
      </c>
      <c r="D293" s="2979">
        <v>0.15</v>
      </c>
      <c r="E293" s="2979">
        <v>0.15</v>
      </c>
      <c r="F293" s="2979">
        <v>0.14499999999999999</v>
      </c>
      <c r="G293" s="2980">
        <v>0.15</v>
      </c>
    </row>
    <row r="294" spans="1:7">
      <c r="A294" s="2989" t="s">
        <v>306</v>
      </c>
      <c r="B294" s="2978" t="s">
        <v>2905</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2922</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2935</v>
      </c>
      <c r="C302" s="2979">
        <v>0.15</v>
      </c>
      <c r="D302" s="2979">
        <v>0.15</v>
      </c>
      <c r="E302" s="2979">
        <v>0.15</v>
      </c>
      <c r="F302" s="2979">
        <v>0.14699999999999999</v>
      </c>
      <c r="G302" s="2980">
        <v>0.15</v>
      </c>
    </row>
    <row r="303" spans="1:7">
      <c r="A303" s="2989" t="s">
        <v>306</v>
      </c>
      <c r="B303" s="2978" t="s">
        <v>2942</v>
      </c>
      <c r="C303" s="2979">
        <v>0.15</v>
      </c>
      <c r="D303" s="2979">
        <v>0.15</v>
      </c>
      <c r="E303" s="2979">
        <v>0.15</v>
      </c>
      <c r="F303" s="2979">
        <v>0.14199999999999999</v>
      </c>
      <c r="G303" s="2980">
        <v>0.15</v>
      </c>
    </row>
    <row r="304" spans="1:7">
      <c r="A304" s="2989" t="s">
        <v>306</v>
      </c>
      <c r="B304" s="2978" t="s">
        <v>2949</v>
      </c>
      <c r="C304" s="2979">
        <v>0.15</v>
      </c>
      <c r="D304" s="2979">
        <v>0.15</v>
      </c>
      <c r="E304" s="2979">
        <v>0.15</v>
      </c>
      <c r="F304" s="2979">
        <v>0.14499999999999999</v>
      </c>
      <c r="G304" s="2980">
        <v>0.15</v>
      </c>
    </row>
    <row r="305" spans="1:7">
      <c r="A305" s="2989" t="s">
        <v>306</v>
      </c>
      <c r="B305" s="2978" t="s">
        <v>2955</v>
      </c>
      <c r="C305" s="2979">
        <v>0.15</v>
      </c>
      <c r="D305" s="2979">
        <v>0.15</v>
      </c>
      <c r="E305" s="2979">
        <v>0.15</v>
      </c>
      <c r="F305" s="2979">
        <v>0.111</v>
      </c>
      <c r="G305" s="2980">
        <v>0.15</v>
      </c>
    </row>
    <row r="306" spans="1:7">
      <c r="A306" s="2989" t="s">
        <v>306</v>
      </c>
      <c r="B306" s="2978" t="s">
        <v>2962</v>
      </c>
      <c r="C306" s="2979">
        <v>0.15</v>
      </c>
      <c r="D306" s="2979">
        <v>0.15</v>
      </c>
      <c r="E306" s="2979">
        <v>0.15</v>
      </c>
      <c r="F306" s="2979">
        <v>0.126</v>
      </c>
      <c r="G306" s="2980">
        <v>0.15</v>
      </c>
    </row>
    <row r="307" spans="1:7">
      <c r="A307" s="2989" t="s">
        <v>306</v>
      </c>
      <c r="B307" s="2978" t="s">
        <v>2967</v>
      </c>
      <c r="C307" s="2979">
        <v>0.15</v>
      </c>
      <c r="D307" s="2979">
        <v>0.15</v>
      </c>
      <c r="E307" s="2979">
        <v>0.15</v>
      </c>
      <c r="F307" s="2979">
        <v>0.12</v>
      </c>
      <c r="G307" s="2980">
        <v>0.15</v>
      </c>
    </row>
    <row r="308" spans="1:7">
      <c r="A308" s="2989" t="s">
        <v>306</v>
      </c>
      <c r="B308" s="2978" t="s">
        <v>2973</v>
      </c>
      <c r="C308" s="2979">
        <v>0.15</v>
      </c>
      <c r="D308" s="2979">
        <v>0.15</v>
      </c>
      <c r="E308" s="2979">
        <v>0.15</v>
      </c>
      <c r="F308" s="2979">
        <v>0.13</v>
      </c>
      <c r="G308" s="2980">
        <v>0.15</v>
      </c>
    </row>
    <row r="309" spans="1:7">
      <c r="A309" s="2989" t="s">
        <v>306</v>
      </c>
      <c r="B309" s="2978" t="s">
        <v>2977</v>
      </c>
      <c r="C309" s="2979">
        <v>0.15</v>
      </c>
      <c r="D309" s="2979">
        <v>0.15</v>
      </c>
      <c r="E309" s="2979">
        <v>0.15</v>
      </c>
      <c r="F309" s="2979">
        <v>0.14099999999999999</v>
      </c>
      <c r="G309" s="2980">
        <v>0.15</v>
      </c>
    </row>
    <row r="310" spans="1:7">
      <c r="A310" s="2989" t="s">
        <v>306</v>
      </c>
      <c r="B310" s="2978" t="s">
        <v>2982</v>
      </c>
      <c r="C310" s="2979">
        <v>0.15</v>
      </c>
      <c r="D310" s="2979">
        <v>0.15</v>
      </c>
      <c r="E310" s="2979">
        <v>0.15</v>
      </c>
      <c r="F310" s="2979">
        <v>0.15</v>
      </c>
      <c r="G310" s="2980">
        <v>0.15</v>
      </c>
    </row>
    <row r="311" spans="1:7">
      <c r="A311" s="2989" t="s">
        <v>306</v>
      </c>
      <c r="B311" s="2978" t="s">
        <v>2987</v>
      </c>
      <c r="C311" s="2979">
        <v>0.13200000000000001</v>
      </c>
      <c r="D311" s="2979">
        <v>0.13300000000000001</v>
      </c>
      <c r="E311" s="2979">
        <v>0.14499999999999999</v>
      </c>
      <c r="F311" s="2979">
        <v>0.14199999999999999</v>
      </c>
      <c r="G311" s="2980">
        <v>0.14000000000000001</v>
      </c>
    </row>
    <row r="312" spans="1:7">
      <c r="A312" s="2989" t="s">
        <v>306</v>
      </c>
      <c r="B312" s="2978" t="s">
        <v>2992</v>
      </c>
      <c r="C312" s="2979">
        <v>0.13800000000000001</v>
      </c>
      <c r="D312" s="2979">
        <v>0.14000000000000001</v>
      </c>
      <c r="E312" s="2979">
        <v>0.14599999999999999</v>
      </c>
      <c r="F312" s="2979">
        <v>0.14899999999999999</v>
      </c>
      <c r="G312" s="2980">
        <v>0.14199999999999999</v>
      </c>
    </row>
    <row r="313" spans="1:7">
      <c r="A313" s="2989" t="s">
        <v>306</v>
      </c>
      <c r="B313" s="2978" t="s">
        <v>2997</v>
      </c>
      <c r="C313" s="2979">
        <v>0.125</v>
      </c>
      <c r="D313" s="2979">
        <v>0.127</v>
      </c>
      <c r="E313" s="2979">
        <v>0.14399999999999999</v>
      </c>
      <c r="F313" s="2979">
        <v>0.115</v>
      </c>
      <c r="G313" s="2980">
        <v>0.13600000000000001</v>
      </c>
    </row>
    <row r="314" spans="1:7">
      <c r="A314" s="2989" t="s">
        <v>306</v>
      </c>
      <c r="B314" s="2978" t="s">
        <v>3206</v>
      </c>
      <c r="C314" s="2995"/>
      <c r="D314" s="2995"/>
      <c r="E314" s="2995"/>
      <c r="F314" s="2979">
        <v>0.05</v>
      </c>
      <c r="G314" s="2996"/>
    </row>
    <row r="315" spans="1:7">
      <c r="A315" s="2989" t="s">
        <v>306</v>
      </c>
      <c r="B315" s="2978" t="s">
        <v>3207</v>
      </c>
      <c r="C315" s="2995"/>
      <c r="D315" s="2995"/>
      <c r="E315" s="2995"/>
      <c r="F315" s="2979">
        <v>0.05</v>
      </c>
      <c r="G315" s="2996"/>
    </row>
    <row r="316" spans="1:7">
      <c r="A316" s="2989" t="s">
        <v>306</v>
      </c>
      <c r="B316" s="2978" t="s">
        <v>3208</v>
      </c>
      <c r="C316" s="2990"/>
      <c r="D316" s="2990"/>
      <c r="E316" s="2990"/>
      <c r="F316" s="2979">
        <v>0.05</v>
      </c>
      <c r="G316" s="2996"/>
    </row>
    <row r="317" spans="1:7">
      <c r="A317" s="2989" t="s">
        <v>306</v>
      </c>
      <c r="B317" s="2978" t="s">
        <v>3209</v>
      </c>
      <c r="C317" s="2990"/>
      <c r="D317" s="2990"/>
      <c r="E317" s="2990"/>
      <c r="F317" s="2979">
        <v>0.05</v>
      </c>
      <c r="G317" s="2996"/>
    </row>
    <row r="318" spans="1:7">
      <c r="A318" s="2989" t="s">
        <v>306</v>
      </c>
      <c r="B318" s="2978" t="s">
        <v>3210</v>
      </c>
      <c r="C318" s="2990"/>
      <c r="D318" s="2990"/>
      <c r="E318" s="2990"/>
      <c r="F318" s="2979">
        <v>0.05</v>
      </c>
      <c r="G318" s="2996"/>
    </row>
    <row r="319" spans="1:7">
      <c r="A319" s="2989" t="s">
        <v>306</v>
      </c>
      <c r="B319" s="2978" t="s">
        <v>3211</v>
      </c>
      <c r="C319" s="2990"/>
      <c r="D319" s="2990"/>
      <c r="E319" s="2990"/>
      <c r="F319" s="2979">
        <v>0.05</v>
      </c>
      <c r="G319" s="2996"/>
    </row>
    <row r="320" spans="1:7">
      <c r="A320" s="2989" t="s">
        <v>306</v>
      </c>
      <c r="B320" s="2978" t="s">
        <v>3212</v>
      </c>
      <c r="C320" s="2990"/>
      <c r="D320" s="2990"/>
      <c r="E320" s="2990"/>
      <c r="F320" s="2979">
        <v>0.05</v>
      </c>
      <c r="G320" s="2996"/>
    </row>
    <row r="321" spans="1:7">
      <c r="A321" s="2989" t="s">
        <v>306</v>
      </c>
      <c r="B321" s="2978" t="s">
        <v>3213</v>
      </c>
      <c r="C321" s="2990"/>
      <c r="D321" s="2990"/>
      <c r="E321" s="2990"/>
      <c r="F321" s="2979">
        <v>0.05</v>
      </c>
      <c r="G321" s="2996"/>
    </row>
    <row r="322" spans="1:7">
      <c r="A322" s="2989" t="s">
        <v>306</v>
      </c>
      <c r="B322" s="2978" t="s">
        <v>3214</v>
      </c>
      <c r="C322" s="2990"/>
      <c r="D322" s="2990"/>
      <c r="E322" s="2990"/>
      <c r="F322" s="2979">
        <v>0.05</v>
      </c>
      <c r="G322" s="2996"/>
    </row>
    <row r="323" spans="1:7">
      <c r="A323" s="2989" t="s">
        <v>306</v>
      </c>
      <c r="B323" s="2978" t="s">
        <v>3215</v>
      </c>
      <c r="C323" s="2990"/>
      <c r="D323" s="2990"/>
      <c r="E323" s="2990"/>
      <c r="F323" s="2979">
        <v>0.05</v>
      </c>
      <c r="G323" s="2996"/>
    </row>
    <row r="324" spans="1:7">
      <c r="A324" s="2989" t="s">
        <v>306</v>
      </c>
      <c r="B324" s="2978" t="s">
        <v>3216</v>
      </c>
      <c r="C324" s="2990"/>
      <c r="D324" s="2990"/>
      <c r="E324" s="2990"/>
      <c r="F324" s="2979">
        <v>0.05</v>
      </c>
      <c r="G324" s="2996"/>
    </row>
    <row r="325" spans="1:7">
      <c r="A325" s="2989" t="s">
        <v>306</v>
      </c>
      <c r="B325" s="2978" t="s">
        <v>3217</v>
      </c>
      <c r="C325" s="2990"/>
      <c r="D325" s="2990"/>
      <c r="E325" s="2990"/>
      <c r="F325" s="2979">
        <v>0.05</v>
      </c>
      <c r="G325" s="2996"/>
    </row>
    <row r="326" spans="1:7" ht="14.25" thickBot="1">
      <c r="A326" s="2992" t="s">
        <v>306</v>
      </c>
      <c r="B326" s="2982" t="s">
        <v>3218</v>
      </c>
      <c r="C326" s="2984"/>
      <c r="D326" s="2984"/>
      <c r="E326" s="2984"/>
      <c r="F326" s="2983">
        <v>0.05</v>
      </c>
      <c r="G326" s="2997"/>
    </row>
    <row r="327" spans="1:7">
      <c r="A327" s="2988" t="s">
        <v>307</v>
      </c>
      <c r="B327" s="2974" t="s">
        <v>2850</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2862</v>
      </c>
      <c r="C329" s="2979">
        <v>0.15</v>
      </c>
      <c r="D329" s="2979">
        <v>0.15</v>
      </c>
      <c r="E329" s="2979">
        <v>0.15</v>
      </c>
      <c r="F329" s="2979">
        <v>0.15</v>
      </c>
      <c r="G329" s="2980">
        <v>0.15</v>
      </c>
    </row>
    <row r="330" spans="1:7">
      <c r="A330" s="2989" t="s">
        <v>307</v>
      </c>
      <c r="B330" s="2978" t="s">
        <v>2866</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2874</v>
      </c>
      <c r="C332" s="2979">
        <v>0.15</v>
      </c>
      <c r="D332" s="2979">
        <v>0.15</v>
      </c>
      <c r="E332" s="2979">
        <v>0.15</v>
      </c>
      <c r="F332" s="2979">
        <v>0.15</v>
      </c>
      <c r="G332" s="2980">
        <v>0.15</v>
      </c>
    </row>
    <row r="333" spans="1:7">
      <c r="A333" s="2989" t="s">
        <v>307</v>
      </c>
      <c r="B333" s="2978" t="s">
        <v>2878</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2884</v>
      </c>
      <c r="C336" s="2979">
        <v>0.15</v>
      </c>
      <c r="D336" s="2979">
        <v>0.15</v>
      </c>
      <c r="E336" s="2979">
        <v>0.15</v>
      </c>
      <c r="F336" s="2979">
        <v>0.14199999999999999</v>
      </c>
      <c r="G336" s="2980">
        <v>0.15</v>
      </c>
    </row>
    <row r="337" spans="1:7">
      <c r="A337" s="2989" t="s">
        <v>307</v>
      </c>
      <c r="B337" s="2978" t="s">
        <v>2889</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2896</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2901</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2909</v>
      </c>
      <c r="C345" s="2979">
        <v>0.15</v>
      </c>
      <c r="D345" s="2979">
        <v>0.15</v>
      </c>
      <c r="E345" s="2979">
        <v>0.15</v>
      </c>
      <c r="F345" s="2979">
        <v>0.13800000000000001</v>
      </c>
      <c r="G345" s="2980">
        <v>0.15</v>
      </c>
    </row>
    <row r="346" spans="1:7">
      <c r="A346" s="2989" t="s">
        <v>307</v>
      </c>
      <c r="B346" s="2978" t="s">
        <v>2911</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2918</v>
      </c>
      <c r="C348" s="2979">
        <v>0.15</v>
      </c>
      <c r="D348" s="2979">
        <v>0.15</v>
      </c>
      <c r="E348" s="2979">
        <v>0.15</v>
      </c>
      <c r="F348" s="2979">
        <v>0.14399999999999999</v>
      </c>
      <c r="G348" s="2980">
        <v>0.15</v>
      </c>
    </row>
    <row r="349" spans="1:7">
      <c r="A349" s="2989" t="s">
        <v>307</v>
      </c>
      <c r="B349" s="2978" t="s">
        <v>2923</v>
      </c>
      <c r="C349" s="2979">
        <v>0.15</v>
      </c>
      <c r="D349" s="2979">
        <v>0.15</v>
      </c>
      <c r="E349" s="2979">
        <v>0.15</v>
      </c>
      <c r="F349" s="2979">
        <v>0.15</v>
      </c>
      <c r="G349" s="2980">
        <v>0.15</v>
      </c>
    </row>
    <row r="350" spans="1:7">
      <c r="A350" s="2989" t="s">
        <v>307</v>
      </c>
      <c r="B350" s="2978" t="s">
        <v>2926</v>
      </c>
      <c r="C350" s="2979">
        <v>0.15</v>
      </c>
      <c r="D350" s="2979">
        <v>0.15</v>
      </c>
      <c r="E350" s="2979">
        <v>0.15</v>
      </c>
      <c r="F350" s="2979">
        <v>0.14699999999999999</v>
      </c>
      <c r="G350" s="2980">
        <v>0.15</v>
      </c>
    </row>
    <row r="351" spans="1:7">
      <c r="A351" s="2989" t="s">
        <v>307</v>
      </c>
      <c r="B351" s="2978" t="s">
        <v>2931</v>
      </c>
      <c r="C351" s="2979">
        <v>0.15</v>
      </c>
      <c r="D351" s="2979">
        <v>0.15</v>
      </c>
      <c r="E351" s="2979">
        <v>0.15</v>
      </c>
      <c r="F351" s="2979">
        <v>0.13</v>
      </c>
      <c r="G351" s="2980">
        <v>0.15</v>
      </c>
    </row>
    <row r="352" spans="1:7">
      <c r="A352" s="2989" t="s">
        <v>307</v>
      </c>
      <c r="B352" s="2978" t="s">
        <v>2936</v>
      </c>
      <c r="C352" s="2979">
        <v>0.15</v>
      </c>
      <c r="D352" s="2979">
        <v>0.15</v>
      </c>
      <c r="E352" s="2979">
        <v>0.15</v>
      </c>
      <c r="F352" s="2979">
        <v>0.14599999999999999</v>
      </c>
      <c r="G352" s="2980">
        <v>0.15</v>
      </c>
    </row>
    <row r="353" spans="1:7">
      <c r="A353" s="2989" t="s">
        <v>307</v>
      </c>
      <c r="B353" s="2978" t="s">
        <v>2943</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2956</v>
      </c>
      <c r="C355" s="2979">
        <v>0.15</v>
      </c>
      <c r="D355" s="2979">
        <v>0.15</v>
      </c>
      <c r="E355" s="2979">
        <v>0.15</v>
      </c>
      <c r="F355" s="2979">
        <v>0.15</v>
      </c>
      <c r="G355" s="2980">
        <v>0.15</v>
      </c>
    </row>
    <row r="356" spans="1:7">
      <c r="A356" s="2989" t="s">
        <v>307</v>
      </c>
      <c r="B356" s="2978" t="s">
        <v>2963</v>
      </c>
      <c r="C356" s="2979">
        <v>0.15</v>
      </c>
      <c r="D356" s="2979">
        <v>0.15</v>
      </c>
      <c r="E356" s="2979">
        <v>0.15</v>
      </c>
      <c r="F356" s="2979">
        <v>0.15</v>
      </c>
      <c r="G356" s="2980">
        <v>0.15</v>
      </c>
    </row>
    <row r="357" spans="1:7" ht="14.25" thickBot="1">
      <c r="A357" s="2992" t="s">
        <v>307</v>
      </c>
      <c r="B357" s="2982" t="s">
        <v>2968</v>
      </c>
      <c r="C357" s="2983">
        <v>0.126</v>
      </c>
      <c r="D357" s="2983">
        <v>0.127</v>
      </c>
      <c r="E357" s="2983">
        <v>0.14299999999999999</v>
      </c>
      <c r="F357" s="2983">
        <v>0.125</v>
      </c>
      <c r="G357" s="2985">
        <v>0.129</v>
      </c>
    </row>
    <row r="358" spans="1:7">
      <c r="A358" s="2988" t="s">
        <v>2837</v>
      </c>
      <c r="B358" s="2974" t="s">
        <v>2851</v>
      </c>
      <c r="C358" s="2975">
        <v>0.15</v>
      </c>
      <c r="D358" s="2975">
        <v>0.15</v>
      </c>
      <c r="E358" s="2975">
        <v>0.15</v>
      </c>
      <c r="F358" s="2975">
        <v>0.15</v>
      </c>
      <c r="G358" s="2976">
        <v>0.15</v>
      </c>
    </row>
    <row r="359" spans="1:7">
      <c r="A359" s="2989" t="s">
        <v>2837</v>
      </c>
      <c r="B359" s="2978" t="s">
        <v>2857</v>
      </c>
      <c r="C359" s="2979">
        <v>0.1</v>
      </c>
      <c r="D359" s="2979">
        <v>0.1</v>
      </c>
      <c r="E359" s="2979">
        <v>0.1</v>
      </c>
      <c r="F359" s="2979">
        <v>0.1</v>
      </c>
      <c r="G359" s="2980">
        <v>0.1</v>
      </c>
    </row>
    <row r="360" spans="1:7">
      <c r="A360" s="2989" t="s">
        <v>2837</v>
      </c>
      <c r="B360" s="2978" t="s">
        <v>2863</v>
      </c>
      <c r="C360" s="2979">
        <v>0.15</v>
      </c>
      <c r="D360" s="2979">
        <v>0.15</v>
      </c>
      <c r="E360" s="2979">
        <v>0.15</v>
      </c>
      <c r="F360" s="2979">
        <v>0.14899999999999999</v>
      </c>
      <c r="G360" s="2980">
        <v>0.15</v>
      </c>
    </row>
    <row r="361" spans="1:7">
      <c r="A361" s="2989" t="s">
        <v>2837</v>
      </c>
      <c r="B361" s="2978" t="s">
        <v>153</v>
      </c>
      <c r="C361" s="2979">
        <v>0.15</v>
      </c>
      <c r="D361" s="2979">
        <v>0.15</v>
      </c>
      <c r="E361" s="2979">
        <v>0.15</v>
      </c>
      <c r="F361" s="2979">
        <v>0.115</v>
      </c>
      <c r="G361" s="2980">
        <v>0.15</v>
      </c>
    </row>
    <row r="362" spans="1:7">
      <c r="A362" s="2989" t="s">
        <v>2837</v>
      </c>
      <c r="B362" s="2978" t="s">
        <v>2870</v>
      </c>
      <c r="C362" s="2979">
        <v>0.15</v>
      </c>
      <c r="D362" s="2979">
        <v>0.15</v>
      </c>
      <c r="E362" s="2979">
        <v>0.15</v>
      </c>
      <c r="F362" s="2979">
        <v>0.106</v>
      </c>
      <c r="G362" s="2980">
        <v>0.15</v>
      </c>
    </row>
    <row r="363" spans="1:7">
      <c r="A363" s="2989" t="s">
        <v>2837</v>
      </c>
      <c r="B363" s="2978" t="s">
        <v>2875</v>
      </c>
      <c r="C363" s="2979">
        <v>0.15</v>
      </c>
      <c r="D363" s="2979">
        <v>0.15</v>
      </c>
      <c r="E363" s="2979">
        <v>0.15</v>
      </c>
      <c r="F363" s="2979">
        <v>0.14699999999999999</v>
      </c>
      <c r="G363" s="2980">
        <v>0.15</v>
      </c>
    </row>
    <row r="364" spans="1:7">
      <c r="A364" s="2989" t="s">
        <v>2837</v>
      </c>
      <c r="B364" s="2978" t="s">
        <v>2879</v>
      </c>
      <c r="C364" s="2979">
        <v>0.15</v>
      </c>
      <c r="D364" s="2979">
        <v>0.15</v>
      </c>
      <c r="E364" s="2979">
        <v>0.15</v>
      </c>
      <c r="F364" s="2979">
        <v>0.14799999999999999</v>
      </c>
      <c r="G364" s="2980">
        <v>0.15</v>
      </c>
    </row>
    <row r="365" spans="1:7">
      <c r="A365" s="2989" t="s">
        <v>2837</v>
      </c>
      <c r="B365" s="2978" t="s">
        <v>200</v>
      </c>
      <c r="C365" s="2979">
        <v>0.15</v>
      </c>
      <c r="D365" s="2979">
        <v>0.15</v>
      </c>
      <c r="E365" s="2979">
        <v>0.15</v>
      </c>
      <c r="F365" s="2979">
        <v>0.15</v>
      </c>
      <c r="G365" s="2980">
        <v>0.15</v>
      </c>
    </row>
    <row r="366" spans="1:7">
      <c r="A366" s="2989" t="s">
        <v>2837</v>
      </c>
      <c r="B366" s="2978" t="s">
        <v>2882</v>
      </c>
      <c r="C366" s="2979">
        <v>0.15</v>
      </c>
      <c r="D366" s="2979">
        <v>0.15</v>
      </c>
      <c r="E366" s="2979">
        <v>0.15</v>
      </c>
      <c r="F366" s="2979">
        <v>0.15</v>
      </c>
      <c r="G366" s="2980">
        <v>0.15</v>
      </c>
    </row>
    <row r="367" spans="1:7">
      <c r="A367" s="2989" t="s">
        <v>2837</v>
      </c>
      <c r="B367" s="2978" t="s">
        <v>2885</v>
      </c>
      <c r="C367" s="2979">
        <v>0.15</v>
      </c>
      <c r="D367" s="2979">
        <v>0.15</v>
      </c>
      <c r="E367" s="2979">
        <v>0.15</v>
      </c>
      <c r="F367" s="2979">
        <v>0.14699999999999999</v>
      </c>
      <c r="G367" s="2980">
        <v>0.15</v>
      </c>
    </row>
    <row r="368" spans="1:7">
      <c r="A368" s="2989" t="s">
        <v>2837</v>
      </c>
      <c r="B368" s="2978" t="s">
        <v>2890</v>
      </c>
      <c r="C368" s="2979">
        <v>0.15</v>
      </c>
      <c r="D368" s="2979">
        <v>0.15</v>
      </c>
      <c r="E368" s="2979">
        <v>0.15</v>
      </c>
      <c r="F368" s="2979">
        <v>0.13600000000000001</v>
      </c>
      <c r="G368" s="2980">
        <v>0.15</v>
      </c>
    </row>
    <row r="369" spans="1:7">
      <c r="A369" s="2989" t="s">
        <v>2837</v>
      </c>
      <c r="B369" s="2978" t="s">
        <v>214</v>
      </c>
      <c r="C369" s="2979">
        <v>0.15</v>
      </c>
      <c r="D369" s="2979">
        <v>0.15</v>
      </c>
      <c r="E369" s="2979">
        <v>0.15</v>
      </c>
      <c r="F369" s="2979">
        <v>0.14399999999999999</v>
      </c>
      <c r="G369" s="2980">
        <v>0.15</v>
      </c>
    </row>
    <row r="370" spans="1:7">
      <c r="A370" s="2989" t="s">
        <v>2837</v>
      </c>
      <c r="B370" s="2978" t="s">
        <v>221</v>
      </c>
      <c r="C370" s="2979">
        <v>0.15</v>
      </c>
      <c r="D370" s="2979">
        <v>0.15</v>
      </c>
      <c r="E370" s="2979">
        <v>0.15</v>
      </c>
      <c r="F370" s="2979">
        <v>0.14599999999999999</v>
      </c>
      <c r="G370" s="2980">
        <v>0.15</v>
      </c>
    </row>
    <row r="371" spans="1:7">
      <c r="A371" s="2989" t="s">
        <v>2837</v>
      </c>
      <c r="B371" s="2978" t="s">
        <v>229</v>
      </c>
      <c r="C371" s="2979">
        <v>0.15</v>
      </c>
      <c r="D371" s="2979">
        <v>0.15</v>
      </c>
      <c r="E371" s="2979">
        <v>0.15</v>
      </c>
      <c r="F371" s="2979">
        <v>0.12</v>
      </c>
      <c r="G371" s="2980">
        <v>0.15</v>
      </c>
    </row>
    <row r="372" spans="1:7">
      <c r="A372" s="2989" t="s">
        <v>2837</v>
      </c>
      <c r="B372" s="2978" t="s">
        <v>2898</v>
      </c>
      <c r="C372" s="2979">
        <v>0.15</v>
      </c>
      <c r="D372" s="2979">
        <v>0.15</v>
      </c>
      <c r="E372" s="2979">
        <v>0.15</v>
      </c>
      <c r="F372" s="2979">
        <v>0.14299999999999999</v>
      </c>
      <c r="G372" s="2980">
        <v>0.15</v>
      </c>
    </row>
    <row r="373" spans="1:7">
      <c r="A373" s="2989" t="s">
        <v>2837</v>
      </c>
      <c r="B373" s="2978" t="s">
        <v>258</v>
      </c>
      <c r="C373" s="2979">
        <v>0.15</v>
      </c>
      <c r="D373" s="2979">
        <v>0.15</v>
      </c>
      <c r="E373" s="2979">
        <v>0.15</v>
      </c>
      <c r="F373" s="2979">
        <v>0.14599999999999999</v>
      </c>
      <c r="G373" s="2980">
        <v>0.15</v>
      </c>
    </row>
    <row r="374" spans="1:7">
      <c r="A374" s="2989" t="s">
        <v>2837</v>
      </c>
      <c r="B374" s="2978" t="s">
        <v>266</v>
      </c>
      <c r="C374" s="2979">
        <v>0.15</v>
      </c>
      <c r="D374" s="2979">
        <v>0.15</v>
      </c>
      <c r="E374" s="2979">
        <v>0.15</v>
      </c>
      <c r="F374" s="2979">
        <v>0.14399999999999999</v>
      </c>
      <c r="G374" s="2980">
        <v>0.15</v>
      </c>
    </row>
    <row r="375" spans="1:7">
      <c r="A375" s="2989" t="s">
        <v>2837</v>
      </c>
      <c r="B375" s="2978" t="s">
        <v>2906</v>
      </c>
      <c r="C375" s="2979">
        <v>0.15</v>
      </c>
      <c r="D375" s="2979">
        <v>0.15</v>
      </c>
      <c r="E375" s="2979">
        <v>0.15</v>
      </c>
      <c r="F375" s="2979">
        <v>0.13</v>
      </c>
      <c r="G375" s="2980">
        <v>0.15</v>
      </c>
    </row>
    <row r="376" spans="1:7">
      <c r="A376" s="2989" t="s">
        <v>2837</v>
      </c>
      <c r="B376" s="2978" t="s">
        <v>277</v>
      </c>
      <c r="C376" s="2979">
        <v>0.15</v>
      </c>
      <c r="D376" s="2979">
        <v>0.15</v>
      </c>
      <c r="E376" s="2979">
        <v>0.15</v>
      </c>
      <c r="F376" s="2979">
        <v>0.14199999999999999</v>
      </c>
      <c r="G376" s="2980">
        <v>0.15</v>
      </c>
    </row>
    <row r="377" spans="1:7" ht="14.25" thickBot="1">
      <c r="A377" s="2992" t="s">
        <v>2837</v>
      </c>
      <c r="B377" s="2982" t="s">
        <v>2912</v>
      </c>
      <c r="C377" s="2983">
        <v>0.15</v>
      </c>
      <c r="D377" s="2983">
        <v>0.15</v>
      </c>
      <c r="E377" s="2983">
        <v>0.15</v>
      </c>
      <c r="F377" s="2983">
        <v>0.14000000000000001</v>
      </c>
      <c r="G377" s="2985">
        <v>0.15</v>
      </c>
    </row>
    <row r="378" spans="1:7">
      <c r="A378" s="2988" t="s">
        <v>2838</v>
      </c>
      <c r="B378" s="2974" t="s">
        <v>2852</v>
      </c>
      <c r="C378" s="2975">
        <v>0.15</v>
      </c>
      <c r="D378" s="2975">
        <v>0.15</v>
      </c>
      <c r="E378" s="2975">
        <v>0.15</v>
      </c>
      <c r="F378" s="2975">
        <v>0.107</v>
      </c>
      <c r="G378" s="2976">
        <v>0.15</v>
      </c>
    </row>
    <row r="379" spans="1:7">
      <c r="A379" s="2989" t="s">
        <v>2838</v>
      </c>
      <c r="B379" s="2978" t="s">
        <v>2858</v>
      </c>
      <c r="C379" s="2979">
        <v>0.15</v>
      </c>
      <c r="D379" s="2979">
        <v>0.15</v>
      </c>
      <c r="E379" s="2979">
        <v>0.15</v>
      </c>
      <c r="F379" s="2979">
        <v>0.115</v>
      </c>
      <c r="G379" s="2980">
        <v>0.14899999999999999</v>
      </c>
    </row>
    <row r="380" spans="1:7">
      <c r="A380" s="2989" t="s">
        <v>2838</v>
      </c>
      <c r="B380" s="2978" t="s">
        <v>2864</v>
      </c>
      <c r="C380" s="2979">
        <v>0.15</v>
      </c>
      <c r="D380" s="2979">
        <v>0.15</v>
      </c>
      <c r="E380" s="2979">
        <v>0.15</v>
      </c>
      <c r="F380" s="2979">
        <v>0.1</v>
      </c>
      <c r="G380" s="2980">
        <v>0.14799999999999999</v>
      </c>
    </row>
    <row r="381" spans="1:7">
      <c r="A381" s="2989" t="s">
        <v>2838</v>
      </c>
      <c r="B381" s="2978" t="s">
        <v>2867</v>
      </c>
      <c r="C381" s="2979">
        <v>0.15</v>
      </c>
      <c r="D381" s="2979">
        <v>0.15</v>
      </c>
      <c r="E381" s="2979">
        <v>0.15</v>
      </c>
      <c r="F381" s="2979">
        <v>0.126</v>
      </c>
      <c r="G381" s="2980">
        <v>0.15</v>
      </c>
    </row>
    <row r="382" spans="1:7">
      <c r="A382" s="2989" t="s">
        <v>2838</v>
      </c>
      <c r="B382" s="2978" t="s">
        <v>2871</v>
      </c>
      <c r="C382" s="2979">
        <v>0.15</v>
      </c>
      <c r="D382" s="2979">
        <v>0.15</v>
      </c>
      <c r="E382" s="2979">
        <v>0.15</v>
      </c>
      <c r="F382" s="2979">
        <v>0.15</v>
      </c>
      <c r="G382" s="2980">
        <v>0.15</v>
      </c>
    </row>
    <row r="383" spans="1:7">
      <c r="A383" s="2989" t="s">
        <v>2838</v>
      </c>
      <c r="B383" s="2978" t="s">
        <v>2876</v>
      </c>
      <c r="C383" s="2979">
        <v>0.15</v>
      </c>
      <c r="D383" s="2979">
        <v>0.15</v>
      </c>
      <c r="E383" s="2979">
        <v>0.15</v>
      </c>
      <c r="F383" s="2979">
        <v>0.14699999999999999</v>
      </c>
      <c r="G383" s="2980">
        <v>0.15</v>
      </c>
    </row>
    <row r="384" spans="1:7" ht="14.25" thickBot="1">
      <c r="A384" s="2999" t="s">
        <v>2838</v>
      </c>
      <c r="B384" s="3000" t="s">
        <v>2880</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509" t="s">
        <v>3219</v>
      </c>
      <c r="B1" s="3509"/>
      <c r="C1" s="3509"/>
      <c r="D1" s="3509"/>
      <c r="E1" s="3509"/>
      <c r="F1" s="3510"/>
    </row>
    <row r="2" spans="1:6">
      <c r="A2" s="3003" t="s">
        <v>3220</v>
      </c>
    </row>
    <row r="3" spans="1:6">
      <c r="A3" s="3003" t="s">
        <v>3221</v>
      </c>
      <c r="F3" s="3004" t="s">
        <v>3222</v>
      </c>
    </row>
    <row r="4" spans="1:6">
      <c r="A4" s="3005" t="s">
        <v>668</v>
      </c>
      <c r="B4" s="3005" t="s">
        <v>669</v>
      </c>
      <c r="C4" s="3005" t="s">
        <v>21</v>
      </c>
      <c r="D4" s="3005" t="s">
        <v>670</v>
      </c>
      <c r="E4" s="3005" t="s">
        <v>3</v>
      </c>
      <c r="F4" s="3005" t="s">
        <v>3223</v>
      </c>
    </row>
    <row r="5" spans="1:6">
      <c r="A5" s="3006" t="s">
        <v>671</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45889</v>
      </c>
      <c r="B1" s="2930" t="s">
        <v>3364</v>
      </c>
      <c r="C1" s="2931"/>
      <c r="D1" s="2931"/>
      <c r="E1" s="2931"/>
      <c r="F1" s="2931"/>
      <c r="G1" s="2931"/>
      <c r="H1" s="2931"/>
      <c r="I1" s="2931"/>
      <c r="J1" s="2897"/>
      <c r="K1" s="2931" t="s">
        <v>454</v>
      </c>
      <c r="L1" s="2931"/>
      <c r="M1" s="2931"/>
      <c r="N1" s="2931"/>
      <c r="O1" s="2931"/>
      <c r="P1" s="2931"/>
      <c r="Q1" s="2897"/>
      <c r="R1" s="3511" t="s">
        <v>456</v>
      </c>
      <c r="S1" s="3512"/>
      <c r="T1" s="3512"/>
      <c r="U1" s="3512"/>
      <c r="V1" s="3512"/>
      <c r="W1" s="3512"/>
      <c r="X1" s="2897"/>
      <c r="Y1" s="3511" t="s">
        <v>457</v>
      </c>
      <c r="Z1" s="3512"/>
      <c r="AA1" s="3512"/>
      <c r="AB1" s="3512"/>
      <c r="AC1" s="3512"/>
      <c r="AD1" s="3512"/>
    </row>
    <row r="2" spans="1:44" s="2010" customFormat="1" ht="14.25" thickBot="1">
      <c r="B2" s="2882"/>
      <c r="C2" s="2883"/>
      <c r="D2" s="2011" t="s">
        <v>2797</v>
      </c>
      <c r="E2" s="2012" t="s">
        <v>2798</v>
      </c>
      <c r="F2" s="2012" t="s">
        <v>2799</v>
      </c>
      <c r="G2" s="2012" t="s">
        <v>2800</v>
      </c>
      <c r="H2" s="2012" t="s">
        <v>2801</v>
      </c>
      <c r="I2" s="2012" t="s">
        <v>2618</v>
      </c>
      <c r="J2" s="2884"/>
      <c r="K2" s="2011" t="s">
        <v>2797</v>
      </c>
      <c r="L2" s="2012" t="s">
        <v>2798</v>
      </c>
      <c r="M2" s="2012" t="s">
        <v>2799</v>
      </c>
      <c r="N2" s="2012" t="s">
        <v>2800</v>
      </c>
      <c r="O2" s="2012" t="s">
        <v>2802</v>
      </c>
      <c r="P2" s="2012" t="s">
        <v>2618</v>
      </c>
      <c r="Q2" s="2884"/>
      <c r="R2" s="2011" t="s">
        <v>2797</v>
      </c>
      <c r="S2" s="2012" t="s">
        <v>2798</v>
      </c>
      <c r="T2" s="2012" t="s">
        <v>2799</v>
      </c>
      <c r="U2" s="2012" t="s">
        <v>2803</v>
      </c>
      <c r="V2" s="2012" t="s">
        <v>2804</v>
      </c>
      <c r="W2" s="2012" t="s">
        <v>2618</v>
      </c>
      <c r="X2" s="2884"/>
      <c r="Y2" s="2011" t="s">
        <v>2797</v>
      </c>
      <c r="Z2" s="2012" t="s">
        <v>2798</v>
      </c>
      <c r="AA2" s="2012" t="s">
        <v>2799</v>
      </c>
      <c r="AB2" s="2012" t="s">
        <v>2805</v>
      </c>
      <c r="AC2" s="2012" t="s">
        <v>2804</v>
      </c>
      <c r="AD2" s="2012" t="s">
        <v>2618</v>
      </c>
      <c r="AF2" t="s">
        <v>3391</v>
      </c>
      <c r="AG2" t="s">
        <v>669</v>
      </c>
      <c r="AH2" t="s">
        <v>21</v>
      </c>
      <c r="AI2" t="s">
        <v>3392</v>
      </c>
      <c r="AJ2" t="s">
        <v>3</v>
      </c>
      <c r="AK2" t="s">
        <v>3393</v>
      </c>
      <c r="AM2" t="s">
        <v>3391</v>
      </c>
      <c r="AN2" t="s">
        <v>669</v>
      </c>
      <c r="AO2" t="s">
        <v>21</v>
      </c>
      <c r="AP2" t="s">
        <v>3392</v>
      </c>
      <c r="AQ2" t="s">
        <v>3</v>
      </c>
      <c r="AR2" t="s">
        <v>3393</v>
      </c>
    </row>
    <row r="3" spans="1:44" s="2887" customFormat="1" ht="12.75">
      <c r="A3" s="2885" t="s">
        <v>2806</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3389</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3388</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3395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3368</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3362</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3361</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3357</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3356</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3354</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3353</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3352</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3350</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3341</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2807</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2808</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2809</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2810</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2811</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3367</v>
      </c>
    </row>
    <row r="27" spans="1:44">
      <c r="I27" s="1405" t="s">
        <v>2812</v>
      </c>
    </row>
    <row r="29" spans="1:44" s="2009" customFormat="1" ht="12.75">
      <c r="B29" s="2930" t="s">
        <v>3365</v>
      </c>
      <c r="C29" s="2931"/>
      <c r="D29" s="2931"/>
      <c r="E29" s="2931"/>
      <c r="F29" s="2931"/>
      <c r="G29" s="2931"/>
      <c r="H29" s="2931"/>
      <c r="I29" s="2931"/>
      <c r="J29" s="2897"/>
      <c r="K29" s="2931" t="s">
        <v>2813</v>
      </c>
      <c r="L29" s="2931"/>
      <c r="M29" s="2931"/>
      <c r="N29" s="2931"/>
      <c r="O29" s="2931"/>
      <c r="P29" s="2931"/>
      <c r="Q29" s="2897"/>
      <c r="R29" s="3511" t="s">
        <v>2814</v>
      </c>
      <c r="S29" s="3512"/>
      <c r="T29" s="3512"/>
      <c r="U29" s="3512"/>
      <c r="V29" s="3512"/>
      <c r="W29" s="3512"/>
      <c r="X29" s="2897"/>
      <c r="Y29" s="3511" t="s">
        <v>2815</v>
      </c>
      <c r="Z29" s="3512"/>
      <c r="AA29" s="3512"/>
      <c r="AB29" s="3512"/>
      <c r="AC29" s="3512"/>
      <c r="AD29" s="3512"/>
    </row>
    <row r="30" spans="1:44" s="2010" customFormat="1" ht="14.25" thickBot="1">
      <c r="B30" s="2882"/>
      <c r="C30" s="2883"/>
      <c r="D30" s="2011" t="s">
        <v>2816</v>
      </c>
      <c r="E30" s="2012" t="s">
        <v>2817</v>
      </c>
      <c r="F30" s="2012" t="s">
        <v>2818</v>
      </c>
      <c r="G30" s="2012" t="s">
        <v>2819</v>
      </c>
      <c r="H30" s="2012"/>
      <c r="I30" s="2012" t="s">
        <v>2820</v>
      </c>
      <c r="J30" s="2884"/>
      <c r="K30" s="2011" t="s">
        <v>2816</v>
      </c>
      <c r="L30" s="2012" t="s">
        <v>2817</v>
      </c>
      <c r="M30" s="2012" t="s">
        <v>2818</v>
      </c>
      <c r="N30" s="2012" t="s">
        <v>2819</v>
      </c>
      <c r="O30" s="2012"/>
      <c r="P30" s="2012" t="s">
        <v>2820</v>
      </c>
      <c r="Q30" s="2884"/>
      <c r="R30" s="2011" t="s">
        <v>2816</v>
      </c>
      <c r="S30" s="2012" t="s">
        <v>2817</v>
      </c>
      <c r="T30" s="2012" t="s">
        <v>2818</v>
      </c>
      <c r="U30" s="2012" t="s">
        <v>2819</v>
      </c>
      <c r="V30" s="2012"/>
      <c r="W30" s="2012" t="s">
        <v>2820</v>
      </c>
      <c r="X30" s="2884"/>
      <c r="Y30" s="2011" t="s">
        <v>2816</v>
      </c>
      <c r="Z30" s="2012" t="s">
        <v>2817</v>
      </c>
      <c r="AA30" s="2012" t="s">
        <v>2818</v>
      </c>
      <c r="AB30" s="2012" t="s">
        <v>2819</v>
      </c>
      <c r="AC30" s="2012"/>
      <c r="AD30" s="2012" t="s">
        <v>2820</v>
      </c>
      <c r="AG30" t="s">
        <v>669</v>
      </c>
      <c r="AH30" t="s">
        <v>21</v>
      </c>
      <c r="AI30" t="s">
        <v>3392</v>
      </c>
      <c r="AJ30"/>
      <c r="AK30" t="s">
        <v>3393</v>
      </c>
      <c r="AN30" t="s">
        <v>669</v>
      </c>
      <c r="AO30" t="s">
        <v>21</v>
      </c>
      <c r="AP30" t="s">
        <v>3392</v>
      </c>
      <c r="AQ30"/>
      <c r="AR30" t="s">
        <v>3393</v>
      </c>
    </row>
    <row r="31" spans="1:44" s="2887" customFormat="1" ht="12.75">
      <c r="A31" s="2885" t="s">
        <v>2821</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3389</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3397</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3395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3359</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3363</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3360</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3358</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3356</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3355</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3353</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3352</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3351</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3341</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2822</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2823</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2824</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2825</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2811</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3366</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10" customFormat="1" ht="14.25" thickBot="1">
      <c r="B2" s="2011" t="s">
        <v>458</v>
      </c>
      <c r="C2" s="2011" t="s">
        <v>459</v>
      </c>
      <c r="D2" s="2012" t="s">
        <v>460</v>
      </c>
      <c r="E2" s="2012" t="s">
        <v>461</v>
      </c>
      <c r="F2" s="2011" t="s">
        <v>462</v>
      </c>
      <c r="G2" s="2013"/>
      <c r="I2" s="2011" t="s">
        <v>458</v>
      </c>
      <c r="J2" s="2012" t="s">
        <v>672</v>
      </c>
      <c r="K2" s="2012" t="s">
        <v>308</v>
      </c>
      <c r="L2" s="2011" t="s">
        <v>462</v>
      </c>
      <c r="N2" s="2011" t="s">
        <v>458</v>
      </c>
      <c r="O2" s="2012" t="s">
        <v>672</v>
      </c>
      <c r="P2" s="2012" t="s">
        <v>308</v>
      </c>
      <c r="Q2" s="2011" t="s">
        <v>462</v>
      </c>
      <c r="S2" s="2011" t="s">
        <v>458</v>
      </c>
      <c r="T2" s="2012" t="s">
        <v>672</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2110</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2111</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2126</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2124</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2123</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2122</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2120</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2119</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2121</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2117</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2116</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2109</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2107</v>
      </c>
      <c r="B25" s="2049">
        <v>439</v>
      </c>
      <c r="C25" s="2049">
        <v>327</v>
      </c>
      <c r="D25" s="2049">
        <f>C25</f>
        <v>327</v>
      </c>
      <c r="E25" s="2049">
        <v>627</v>
      </c>
      <c r="F25" s="2050">
        <v>283</v>
      </c>
      <c r="G25" s="351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2108</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673</v>
      </c>
      <c r="B27" s="2041">
        <f t="shared" si="232"/>
        <v>419.31181600000002</v>
      </c>
      <c r="C27" s="2041">
        <f t="shared" si="233"/>
        <v>313.95436800000004</v>
      </c>
      <c r="D27" s="2041">
        <f t="shared" si="234"/>
        <v>313.95436800000004</v>
      </c>
      <c r="E27" s="2041">
        <f t="shared" si="235"/>
        <v>596.63028431999999</v>
      </c>
      <c r="F27" s="2041">
        <f t="shared" si="236"/>
        <v>274.74220703999998</v>
      </c>
      <c r="G27" s="351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24" t="s">
        <v>2826</v>
      </c>
      <c r="B1" s="3524"/>
      <c r="C1" s="3524"/>
      <c r="D1" s="3524"/>
      <c r="E1" s="3524"/>
      <c r="F1" s="3524"/>
      <c r="G1" s="3525"/>
      <c r="I1" s="2939" t="s">
        <v>2827</v>
      </c>
      <c r="J1" s="2940" t="s">
        <v>2828</v>
      </c>
      <c r="K1" s="2940" t="s">
        <v>2829</v>
      </c>
      <c r="L1" s="2940" t="s">
        <v>2830</v>
      </c>
      <c r="M1" s="2940" t="s">
        <v>2831</v>
      </c>
      <c r="N1" s="2940" t="s">
        <v>2832</v>
      </c>
      <c r="O1" s="2940" t="s">
        <v>2833</v>
      </c>
      <c r="P1" s="2940" t="s">
        <v>2834</v>
      </c>
      <c r="Q1" s="2940" t="s">
        <v>2835</v>
      </c>
      <c r="R1" s="2940" t="s">
        <v>2836</v>
      </c>
      <c r="S1" s="2940" t="s">
        <v>2837</v>
      </c>
      <c r="T1" s="2941" t="s">
        <v>2838</v>
      </c>
    </row>
    <row r="2" spans="1:20" ht="12" thickBot="1">
      <c r="A2" s="2942" t="s">
        <v>2839</v>
      </c>
      <c r="B2" s="2942"/>
      <c r="C2" s="2942"/>
      <c r="D2" s="2942"/>
      <c r="E2" s="2942"/>
      <c r="F2" s="2942"/>
      <c r="G2" s="2943" t="s">
        <v>2840</v>
      </c>
      <c r="I2" s="2944" t="s">
        <v>2841</v>
      </c>
      <c r="J2" s="2944" t="s">
        <v>2842</v>
      </c>
      <c r="K2" s="2944" t="s">
        <v>2843</v>
      </c>
      <c r="L2" s="2944" t="s">
        <v>2844</v>
      </c>
      <c r="M2" s="2944" t="s">
        <v>2845</v>
      </c>
      <c r="N2" s="2944" t="s">
        <v>2846</v>
      </c>
      <c r="O2" s="2944" t="s">
        <v>2847</v>
      </c>
      <c r="P2" s="2944" t="s">
        <v>2848</v>
      </c>
      <c r="Q2" s="2944" t="s">
        <v>2849</v>
      </c>
      <c r="R2" s="2944" t="s">
        <v>2850</v>
      </c>
      <c r="S2" s="2944" t="s">
        <v>2851</v>
      </c>
      <c r="T2" s="2944" t="s">
        <v>2852</v>
      </c>
    </row>
    <row r="3" spans="1:20" s="2950" customFormat="1">
      <c r="A3" s="3522" t="s">
        <v>2853</v>
      </c>
      <c r="B3" s="2945"/>
      <c r="C3" s="2946" t="s">
        <v>2798</v>
      </c>
      <c r="D3" s="2946" t="s">
        <v>2854</v>
      </c>
      <c r="E3" s="2946" t="s">
        <v>2800</v>
      </c>
      <c r="F3" s="2946" t="s">
        <v>2855</v>
      </c>
      <c r="G3" s="2946" t="s">
        <v>2618</v>
      </c>
      <c r="H3" s="2947"/>
      <c r="I3" s="2948" t="s">
        <v>2856</v>
      </c>
      <c r="J3" s="2949" t="s">
        <v>128</v>
      </c>
      <c r="K3" s="2949" t="s">
        <v>129</v>
      </c>
      <c r="L3" s="2948" t="s">
        <v>130</v>
      </c>
      <c r="M3" s="2948" t="s">
        <v>131</v>
      </c>
      <c r="N3" s="2948" t="s">
        <v>132</v>
      </c>
      <c r="O3" s="2948" t="s">
        <v>133</v>
      </c>
      <c r="P3" s="2948" t="s">
        <v>134</v>
      </c>
      <c r="Q3" s="2948" t="s">
        <v>135</v>
      </c>
      <c r="R3" s="2948" t="s">
        <v>136</v>
      </c>
      <c r="S3" s="2948" t="s">
        <v>2857</v>
      </c>
      <c r="T3" s="2948" t="s">
        <v>2858</v>
      </c>
    </row>
    <row r="4" spans="1:20" s="2950" customFormat="1" ht="12" thickBot="1">
      <c r="A4" s="3523"/>
      <c r="B4" s="2951" t="s">
        <v>2859</v>
      </c>
      <c r="C4" s="2951" t="s">
        <v>2860</v>
      </c>
      <c r="D4" s="2951" t="s">
        <v>2860</v>
      </c>
      <c r="E4" s="2951" t="s">
        <v>2860</v>
      </c>
      <c r="F4" s="2952" t="s">
        <v>2860</v>
      </c>
      <c r="G4" s="2952" t="s">
        <v>2860</v>
      </c>
      <c r="H4" s="2947"/>
      <c r="I4" s="2949" t="s">
        <v>137</v>
      </c>
      <c r="J4" s="2949" t="s">
        <v>111</v>
      </c>
      <c r="K4" s="2949" t="s">
        <v>138</v>
      </c>
      <c r="L4" s="2948" t="s">
        <v>139</v>
      </c>
      <c r="M4" s="2948" t="s">
        <v>140</v>
      </c>
      <c r="N4" s="2948" t="s">
        <v>141</v>
      </c>
      <c r="O4" s="2948" t="s">
        <v>142</v>
      </c>
      <c r="P4" s="2948" t="s">
        <v>143</v>
      </c>
      <c r="Q4" s="2948" t="s">
        <v>2861</v>
      </c>
      <c r="R4" s="2948" t="s">
        <v>2862</v>
      </c>
      <c r="S4" s="2948" t="s">
        <v>2863</v>
      </c>
      <c r="T4" s="2948" t="s">
        <v>2864</v>
      </c>
    </row>
    <row r="5" spans="1:20">
      <c r="A5" s="2953" t="s">
        <v>2827</v>
      </c>
      <c r="B5" s="2944" t="s">
        <v>2841</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2865</v>
      </c>
      <c r="R5" s="2948" t="s">
        <v>2866</v>
      </c>
      <c r="S5" s="2948" t="s">
        <v>153</v>
      </c>
      <c r="T5" s="2948" t="s">
        <v>2867</v>
      </c>
    </row>
    <row r="6" spans="1:20" ht="12" thickBot="1">
      <c r="A6" s="2948" t="s">
        <v>144</v>
      </c>
      <c r="B6" s="2948" t="s">
        <v>2856</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2868</v>
      </c>
      <c r="Q6" s="2948" t="s">
        <v>2869</v>
      </c>
      <c r="R6" s="2948" t="s">
        <v>161</v>
      </c>
      <c r="S6" s="2948" t="s">
        <v>2870</v>
      </c>
      <c r="T6" s="2948" t="s">
        <v>2871</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2872</v>
      </c>
      <c r="Q7" s="2948" t="s">
        <v>2873</v>
      </c>
      <c r="R7" s="2948" t="s">
        <v>2874</v>
      </c>
      <c r="S7" s="2948" t="s">
        <v>2875</v>
      </c>
      <c r="T7" s="2948" t="s">
        <v>2876</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2877</v>
      </c>
      <c r="Q8" s="2948" t="s">
        <v>174</v>
      </c>
      <c r="R8" s="2948" t="s">
        <v>2878</v>
      </c>
      <c r="S8" s="2948" t="s">
        <v>2879</v>
      </c>
      <c r="T8" s="2955" t="s">
        <v>2880</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2881</v>
      </c>
      <c r="Q9" s="2948" t="s">
        <v>182</v>
      </c>
      <c r="R9" s="2948" t="s">
        <v>183</v>
      </c>
      <c r="S9" s="2948" t="s">
        <v>200</v>
      </c>
    </row>
    <row r="10" spans="1:20">
      <c r="A10" s="2953" t="s">
        <v>184</v>
      </c>
      <c r="B10" s="2944" t="s">
        <v>2842</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2882</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2883</v>
      </c>
      <c r="P11" s="2948" t="s">
        <v>191</v>
      </c>
      <c r="Q11" s="2948" t="s">
        <v>199</v>
      </c>
      <c r="R11" s="2948" t="s">
        <v>2884</v>
      </c>
      <c r="S11" s="2948" t="s">
        <v>2885</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2886</v>
      </c>
      <c r="P12" s="2948" t="s">
        <v>2887</v>
      </c>
      <c r="Q12" s="2948" t="s">
        <v>2888</v>
      </c>
      <c r="R12" s="2948" t="s">
        <v>2889</v>
      </c>
      <c r="S12" s="2948" t="s">
        <v>2890</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2891</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2892</v>
      </c>
      <c r="K14" s="2949" t="s">
        <v>215</v>
      </c>
      <c r="L14" s="2948" t="s">
        <v>216</v>
      </c>
      <c r="M14" s="2948" t="s">
        <v>217</v>
      </c>
      <c r="N14" s="2948" t="s">
        <v>218</v>
      </c>
      <c r="O14" s="2948" t="s">
        <v>240</v>
      </c>
      <c r="P14" s="2948" t="s">
        <v>213</v>
      </c>
      <c r="Q14" s="2948" t="s">
        <v>2893</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2894</v>
      </c>
      <c r="P15" s="2948" t="s">
        <v>2895</v>
      </c>
      <c r="Q15" s="2948" t="s">
        <v>242</v>
      </c>
      <c r="R15" s="2948" t="s">
        <v>2896</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2897</v>
      </c>
      <c r="P16" s="2948" t="s">
        <v>227</v>
      </c>
      <c r="Q16" s="2948" t="s">
        <v>250</v>
      </c>
      <c r="R16" s="2948" t="s">
        <v>207</v>
      </c>
      <c r="S16" s="2948" t="s">
        <v>2898</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2899</v>
      </c>
      <c r="P17" s="2948" t="s">
        <v>2900</v>
      </c>
      <c r="Q17" s="2948" t="s">
        <v>256</v>
      </c>
      <c r="R17" s="2948" t="s">
        <v>2901</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2902</v>
      </c>
      <c r="P18" s="2948" t="s">
        <v>241</v>
      </c>
      <c r="Q18" s="2948" t="s">
        <v>2903</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2904</v>
      </c>
      <c r="P19" s="2948" t="s">
        <v>249</v>
      </c>
      <c r="Q19" s="2948" t="s">
        <v>2905</v>
      </c>
      <c r="R19" s="2948" t="s">
        <v>265</v>
      </c>
      <c r="S19" s="2948" t="s">
        <v>2906</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2907</v>
      </c>
      <c r="P20" s="2948" t="s">
        <v>2908</v>
      </c>
      <c r="Q20" s="2948" t="s">
        <v>290</v>
      </c>
      <c r="R20" s="2948" t="s">
        <v>2909</v>
      </c>
      <c r="S20" s="2948" t="s">
        <v>277</v>
      </c>
    </row>
    <row r="21" spans="1:19" ht="14.25" customHeight="1" thickBot="1">
      <c r="A21" s="2948" t="s">
        <v>184</v>
      </c>
      <c r="B21" s="2949" t="s">
        <v>208</v>
      </c>
      <c r="C21" s="2948">
        <v>32370</v>
      </c>
      <c r="D21" s="2948">
        <v>26730</v>
      </c>
      <c r="E21" s="2948">
        <v>26640</v>
      </c>
      <c r="F21" s="2948"/>
      <c r="G21" s="2948">
        <v>19440</v>
      </c>
      <c r="J21" s="2955" t="s">
        <v>2910</v>
      </c>
      <c r="K21" s="2949" t="s">
        <v>267</v>
      </c>
      <c r="L21" s="2948" t="s">
        <v>268</v>
      </c>
      <c r="M21" s="2948" t="s">
        <v>269</v>
      </c>
      <c r="N21" s="2948" t="s">
        <v>270</v>
      </c>
      <c r="O21" s="2948" t="s">
        <v>264</v>
      </c>
      <c r="P21" s="2948" t="s">
        <v>283</v>
      </c>
      <c r="Q21" s="2948" t="s">
        <v>293</v>
      </c>
      <c r="R21" s="2948" t="s">
        <v>2911</v>
      </c>
      <c r="S21" s="2955" t="s">
        <v>2912</v>
      </c>
    </row>
    <row r="22" spans="1:19" ht="14.25" customHeight="1">
      <c r="A22" s="2948" t="s">
        <v>184</v>
      </c>
      <c r="B22" s="2949" t="s">
        <v>2892</v>
      </c>
      <c r="C22" s="2948">
        <v>29830</v>
      </c>
      <c r="D22" s="2948">
        <v>27600</v>
      </c>
      <c r="E22" s="2948">
        <v>28150</v>
      </c>
      <c r="F22" s="2948"/>
      <c r="G22" s="2948">
        <v>20080</v>
      </c>
      <c r="K22" s="2949" t="s">
        <v>2913</v>
      </c>
      <c r="L22" s="2948" t="s">
        <v>272</v>
      </c>
      <c r="M22" s="2948" t="s">
        <v>273</v>
      </c>
      <c r="N22" s="2948" t="s">
        <v>274</v>
      </c>
      <c r="O22" s="2948" t="s">
        <v>2914</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2915</v>
      </c>
      <c r="L23" s="2948" t="s">
        <v>278</v>
      </c>
      <c r="M23" s="2948" t="s">
        <v>279</v>
      </c>
      <c r="N23" s="2948" t="s">
        <v>2916</v>
      </c>
      <c r="O23" s="2948" t="s">
        <v>2917</v>
      </c>
      <c r="P23" s="2948" t="s">
        <v>289</v>
      </c>
      <c r="Q23" s="2948" t="s">
        <v>298</v>
      </c>
      <c r="R23" s="2948" t="s">
        <v>2918</v>
      </c>
    </row>
    <row r="24" spans="1:19" ht="14.25" customHeight="1">
      <c r="A24" s="2948" t="s">
        <v>184</v>
      </c>
      <c r="B24" s="2949" t="s">
        <v>230</v>
      </c>
      <c r="C24" s="2948">
        <v>27930</v>
      </c>
      <c r="D24" s="2948">
        <v>32260</v>
      </c>
      <c r="E24" s="2948">
        <v>32120</v>
      </c>
      <c r="F24" s="2948"/>
      <c r="G24" s="2948">
        <v>23470</v>
      </c>
      <c r="K24" s="2949" t="s">
        <v>2919</v>
      </c>
      <c r="L24" s="2948" t="s">
        <v>281</v>
      </c>
      <c r="M24" s="2948" t="s">
        <v>282</v>
      </c>
      <c r="N24" s="2948" t="s">
        <v>2920</v>
      </c>
      <c r="O24" s="2948" t="s">
        <v>285</v>
      </c>
      <c r="P24" s="2948" t="s">
        <v>2921</v>
      </c>
      <c r="Q24" s="2957" t="s">
        <v>2922</v>
      </c>
      <c r="R24" s="2948" t="s">
        <v>2923</v>
      </c>
    </row>
    <row r="25" spans="1:19" ht="14.25" customHeight="1">
      <c r="A25" s="2948" t="s">
        <v>184</v>
      </c>
      <c r="B25" s="2949" t="s">
        <v>235</v>
      </c>
      <c r="C25" s="2948">
        <v>32230</v>
      </c>
      <c r="D25" s="2948">
        <v>29640</v>
      </c>
      <c r="E25" s="2948">
        <v>29510</v>
      </c>
      <c r="F25" s="2948"/>
      <c r="G25" s="2948">
        <v>21560</v>
      </c>
      <c r="K25" s="2949" t="s">
        <v>2924</v>
      </c>
      <c r="L25" s="2948" t="s">
        <v>2925</v>
      </c>
      <c r="M25" s="2948" t="s">
        <v>284</v>
      </c>
      <c r="N25" s="2948" t="s">
        <v>292</v>
      </c>
      <c r="O25" s="2948" t="s">
        <v>288</v>
      </c>
      <c r="P25" s="2948" t="s">
        <v>275</v>
      </c>
      <c r="Q25" s="2957" t="s">
        <v>271</v>
      </c>
      <c r="R25" s="2948" t="s">
        <v>2926</v>
      </c>
    </row>
    <row r="26" spans="1:19" ht="14.25" customHeight="1" thickBot="1">
      <c r="A26" s="2948" t="s">
        <v>184</v>
      </c>
      <c r="B26" s="2949" t="s">
        <v>244</v>
      </c>
      <c r="C26" s="2948">
        <v>31690</v>
      </c>
      <c r="D26" s="2948">
        <v>27650</v>
      </c>
      <c r="E26" s="2948">
        <v>28200</v>
      </c>
      <c r="F26" s="2948"/>
      <c r="G26" s="2948">
        <v>20110</v>
      </c>
      <c r="K26" s="2954" t="s">
        <v>2927</v>
      </c>
      <c r="L26" s="2948" t="s">
        <v>2928</v>
      </c>
      <c r="M26" s="2948" t="s">
        <v>287</v>
      </c>
      <c r="N26" s="2948" t="s">
        <v>294</v>
      </c>
      <c r="O26" s="2948" t="s">
        <v>2929</v>
      </c>
      <c r="P26" s="2948" t="s">
        <v>2930</v>
      </c>
      <c r="Q26" s="2957" t="s">
        <v>276</v>
      </c>
      <c r="R26" s="2948" t="s">
        <v>2931</v>
      </c>
    </row>
    <row r="27" spans="1:19" ht="14.25" customHeight="1">
      <c r="A27" s="2948" t="s">
        <v>184</v>
      </c>
      <c r="B27" s="2949" t="s">
        <v>251</v>
      </c>
      <c r="C27" s="2948">
        <v>29610</v>
      </c>
      <c r="D27" s="2948">
        <v>27770</v>
      </c>
      <c r="E27" s="2948">
        <v>28300</v>
      </c>
      <c r="F27" s="2948"/>
      <c r="G27" s="2948">
        <v>20210</v>
      </c>
      <c r="L27" s="2948" t="s">
        <v>2932</v>
      </c>
      <c r="M27" s="2948" t="s">
        <v>291</v>
      </c>
      <c r="N27" s="2948" t="s">
        <v>297</v>
      </c>
      <c r="O27" s="2948" t="s">
        <v>2933</v>
      </c>
      <c r="P27" s="2948" t="s">
        <v>2934</v>
      </c>
      <c r="Q27" s="2948" t="s">
        <v>2935</v>
      </c>
      <c r="R27" s="2948" t="s">
        <v>2936</v>
      </c>
    </row>
    <row r="28" spans="1:19" ht="14.25" customHeight="1">
      <c r="A28" s="2948" t="s">
        <v>184</v>
      </c>
      <c r="B28" s="2949" t="s">
        <v>259</v>
      </c>
      <c r="C28" s="2948"/>
      <c r="D28" s="2948">
        <v>31520</v>
      </c>
      <c r="E28" s="2948">
        <v>31410</v>
      </c>
      <c r="F28" s="2948"/>
      <c r="G28" s="2948">
        <v>22940</v>
      </c>
      <c r="L28" s="2948" t="s">
        <v>2937</v>
      </c>
      <c r="M28" s="2948" t="s">
        <v>2938</v>
      </c>
      <c r="N28" s="2948" t="s">
        <v>2939</v>
      </c>
      <c r="O28" s="2948" t="s">
        <v>2940</v>
      </c>
      <c r="P28" s="2948" t="s">
        <v>2941</v>
      </c>
      <c r="Q28" s="2948" t="s">
        <v>2942</v>
      </c>
      <c r="R28" s="2948" t="s">
        <v>2943</v>
      </c>
    </row>
    <row r="29" spans="1:19" ht="14.25" customHeight="1" thickBot="1">
      <c r="A29" s="2956" t="s">
        <v>184</v>
      </c>
      <c r="B29" s="2958" t="s">
        <v>2910</v>
      </c>
      <c r="C29" s="2959"/>
      <c r="D29" s="2959">
        <v>29460</v>
      </c>
      <c r="E29" s="2959">
        <v>28640</v>
      </c>
      <c r="F29" s="2959"/>
      <c r="G29" s="2959">
        <v>21430</v>
      </c>
      <c r="L29" s="2948" t="s">
        <v>2944</v>
      </c>
      <c r="M29" s="2948" t="s">
        <v>2945</v>
      </c>
      <c r="N29" s="2948" t="s">
        <v>2946</v>
      </c>
      <c r="O29" s="2948" t="s">
        <v>2947</v>
      </c>
      <c r="P29" s="2948" t="s">
        <v>2948</v>
      </c>
      <c r="Q29" s="2948" t="s">
        <v>2949</v>
      </c>
      <c r="R29" s="2948" t="s">
        <v>280</v>
      </c>
    </row>
    <row r="30" spans="1:19" ht="14.25" customHeight="1">
      <c r="A30" s="2953" t="s">
        <v>296</v>
      </c>
      <c r="B30" s="2944" t="s">
        <v>2843</v>
      </c>
      <c r="C30" s="2944">
        <v>26890</v>
      </c>
      <c r="D30" s="2944">
        <v>26770</v>
      </c>
      <c r="E30" s="2944">
        <v>25700</v>
      </c>
      <c r="F30" s="2944">
        <v>8180</v>
      </c>
      <c r="G30" s="2960">
        <v>18740</v>
      </c>
      <c r="L30" s="2948" t="s">
        <v>2950</v>
      </c>
      <c r="M30" s="2948" t="s">
        <v>2951</v>
      </c>
      <c r="N30" s="2948" t="s">
        <v>2952</v>
      </c>
      <c r="O30" s="2948" t="s">
        <v>2953</v>
      </c>
      <c r="P30" s="2948" t="s">
        <v>2954</v>
      </c>
      <c r="Q30" s="2948" t="s">
        <v>2955</v>
      </c>
      <c r="R30" s="2948" t="s">
        <v>2956</v>
      </c>
    </row>
    <row r="31" spans="1:19" ht="14.25" customHeight="1">
      <c r="A31" s="2948" t="s">
        <v>296</v>
      </c>
      <c r="B31" s="2949" t="s">
        <v>129</v>
      </c>
      <c r="C31" s="2948">
        <v>24550</v>
      </c>
      <c r="D31" s="2948">
        <v>23990</v>
      </c>
      <c r="E31" s="2948">
        <v>22930</v>
      </c>
      <c r="F31" s="2948">
        <v>7470</v>
      </c>
      <c r="G31" s="2961">
        <v>16790</v>
      </c>
      <c r="L31" s="2948" t="s">
        <v>2957</v>
      </c>
      <c r="M31" s="2948" t="s">
        <v>2958</v>
      </c>
      <c r="N31" s="2948" t="s">
        <v>2959</v>
      </c>
      <c r="O31" s="2948" t="s">
        <v>2960</v>
      </c>
      <c r="P31" s="2948" t="s">
        <v>2961</v>
      </c>
      <c r="Q31" s="2948" t="s">
        <v>2962</v>
      </c>
      <c r="R31" s="2948" t="s">
        <v>2963</v>
      </c>
    </row>
    <row r="32" spans="1:19" ht="14.25" customHeight="1" thickBot="1">
      <c r="A32" s="2948" t="s">
        <v>296</v>
      </c>
      <c r="B32" s="2949" t="s">
        <v>138</v>
      </c>
      <c r="C32" s="2948">
        <v>27210</v>
      </c>
      <c r="D32" s="2948">
        <v>23240</v>
      </c>
      <c r="E32" s="2948">
        <v>23260</v>
      </c>
      <c r="F32" s="2948">
        <v>7130</v>
      </c>
      <c r="G32" s="2961">
        <v>16270</v>
      </c>
      <c r="L32" s="2948" t="s">
        <v>2964</v>
      </c>
      <c r="M32" s="2948" t="s">
        <v>2965</v>
      </c>
      <c r="N32" s="2948" t="s">
        <v>300</v>
      </c>
      <c r="O32" s="2948" t="s">
        <v>2966</v>
      </c>
      <c r="P32" s="2948" t="s">
        <v>299</v>
      </c>
      <c r="Q32" s="2948" t="s">
        <v>2967</v>
      </c>
      <c r="R32" s="2955" t="s">
        <v>2968</v>
      </c>
    </row>
    <row r="33" spans="1:17" ht="14.25" customHeight="1" thickBot="1">
      <c r="A33" s="2948" t="s">
        <v>296</v>
      </c>
      <c r="B33" s="2949" t="s">
        <v>147</v>
      </c>
      <c r="C33" s="2948">
        <v>27300</v>
      </c>
      <c r="D33" s="2948">
        <v>22980</v>
      </c>
      <c r="E33" s="2948">
        <v>24260</v>
      </c>
      <c r="F33" s="2948">
        <v>5860</v>
      </c>
      <c r="G33" s="2961">
        <v>16090</v>
      </c>
      <c r="L33" s="2955" t="s">
        <v>2969</v>
      </c>
      <c r="M33" s="2948" t="s">
        <v>2970</v>
      </c>
      <c r="N33" s="2948" t="s">
        <v>301</v>
      </c>
      <c r="O33" s="2948" t="s">
        <v>2971</v>
      </c>
      <c r="P33" s="2948" t="s">
        <v>2972</v>
      </c>
      <c r="Q33" s="2948" t="s">
        <v>2973</v>
      </c>
    </row>
    <row r="34" spans="1:17" ht="14.25" customHeight="1">
      <c r="A34" s="2948" t="s">
        <v>296</v>
      </c>
      <c r="B34" s="2949" t="s">
        <v>156</v>
      </c>
      <c r="C34" s="2948">
        <v>23090</v>
      </c>
      <c r="D34" s="2948">
        <v>23390</v>
      </c>
      <c r="E34" s="2948">
        <v>23510</v>
      </c>
      <c r="F34" s="2948">
        <v>6700</v>
      </c>
      <c r="G34" s="2961">
        <v>16370</v>
      </c>
      <c r="M34" s="2948" t="s">
        <v>2974</v>
      </c>
      <c r="N34" s="2948" t="s">
        <v>302</v>
      </c>
      <c r="O34" s="2948" t="s">
        <v>2975</v>
      </c>
      <c r="P34" s="2948" t="s">
        <v>2976</v>
      </c>
      <c r="Q34" s="2948" t="s">
        <v>2977</v>
      </c>
    </row>
    <row r="35" spans="1:17" ht="14.25" customHeight="1">
      <c r="A35" s="2948" t="s">
        <v>296</v>
      </c>
      <c r="B35" s="2949" t="s">
        <v>163</v>
      </c>
      <c r="C35" s="2948">
        <v>27270</v>
      </c>
      <c r="D35" s="2948">
        <v>24270</v>
      </c>
      <c r="E35" s="2948">
        <v>24950</v>
      </c>
      <c r="F35" s="2948">
        <v>6600</v>
      </c>
      <c r="G35" s="2961">
        <v>16990</v>
      </c>
      <c r="M35" s="2948" t="s">
        <v>2978</v>
      </c>
      <c r="N35" s="2948" t="s">
        <v>2979</v>
      </c>
      <c r="O35" s="2948" t="s">
        <v>2980</v>
      </c>
      <c r="P35" s="2948" t="s">
        <v>2981</v>
      </c>
      <c r="Q35" s="2948" t="s">
        <v>2982</v>
      </c>
    </row>
    <row r="36" spans="1:17" ht="14.25" customHeight="1">
      <c r="A36" s="2948" t="s">
        <v>296</v>
      </c>
      <c r="B36" s="2949" t="s">
        <v>169</v>
      </c>
      <c r="C36" s="2948">
        <v>23490</v>
      </c>
      <c r="D36" s="2948">
        <v>23020</v>
      </c>
      <c r="E36" s="2948">
        <v>25230</v>
      </c>
      <c r="F36" s="2948">
        <v>6780</v>
      </c>
      <c r="G36" s="2961">
        <v>16120</v>
      </c>
      <c r="M36" s="2948" t="s">
        <v>2983</v>
      </c>
      <c r="N36" s="2948" t="s">
        <v>2984</v>
      </c>
      <c r="O36" s="2948" t="s">
        <v>2985</v>
      </c>
      <c r="P36" s="2948" t="s">
        <v>2986</v>
      </c>
      <c r="Q36" s="2948" t="s">
        <v>2987</v>
      </c>
    </row>
    <row r="37" spans="1:17" ht="14.25" customHeight="1">
      <c r="A37" s="2948" t="s">
        <v>296</v>
      </c>
      <c r="B37" s="2949" t="s">
        <v>176</v>
      </c>
      <c r="C37" s="2948">
        <v>24380</v>
      </c>
      <c r="D37" s="2948">
        <v>22240</v>
      </c>
      <c r="E37" s="2948">
        <v>25980</v>
      </c>
      <c r="F37" s="2948">
        <v>8160</v>
      </c>
      <c r="G37" s="2961">
        <v>15570</v>
      </c>
      <c r="M37" s="2948" t="s">
        <v>2988</v>
      </c>
      <c r="N37" s="2948" t="s">
        <v>2989</v>
      </c>
      <c r="O37" s="2948" t="s">
        <v>2990</v>
      </c>
      <c r="P37" s="2948" t="s">
        <v>2991</v>
      </c>
      <c r="Q37" s="2948" t="s">
        <v>2992</v>
      </c>
    </row>
    <row r="38" spans="1:17" ht="14.25" customHeight="1">
      <c r="A38" s="2948" t="s">
        <v>296</v>
      </c>
      <c r="B38" s="2949" t="s">
        <v>186</v>
      </c>
      <c r="C38" s="2948">
        <v>23120</v>
      </c>
      <c r="D38" s="2948">
        <v>24630</v>
      </c>
      <c r="E38" s="2948">
        <v>25030</v>
      </c>
      <c r="F38" s="2948">
        <v>7710</v>
      </c>
      <c r="G38" s="2961">
        <v>17240</v>
      </c>
      <c r="M38" s="2948" t="s">
        <v>2993</v>
      </c>
      <c r="N38" s="2948" t="s">
        <v>2994</v>
      </c>
      <c r="O38" s="2948" t="s">
        <v>2995</v>
      </c>
      <c r="P38" s="2948" t="s">
        <v>2996</v>
      </c>
      <c r="Q38" s="2948" t="s">
        <v>2997</v>
      </c>
    </row>
    <row r="39" spans="1:17" ht="14.25" customHeight="1">
      <c r="A39" s="2948" t="s">
        <v>296</v>
      </c>
      <c r="B39" s="2949" t="s">
        <v>195</v>
      </c>
      <c r="C39" s="2948">
        <v>22330</v>
      </c>
      <c r="D39" s="2948">
        <v>21140</v>
      </c>
      <c r="E39" s="2948">
        <v>23970</v>
      </c>
      <c r="F39" s="2948">
        <v>7940</v>
      </c>
      <c r="G39" s="2961">
        <v>14790</v>
      </c>
      <c r="M39" s="2948" t="s">
        <v>2998</v>
      </c>
      <c r="N39" s="2948" t="s">
        <v>2999</v>
      </c>
      <c r="O39" s="2948" t="s">
        <v>3000</v>
      </c>
      <c r="P39" s="2948" t="s">
        <v>3001</v>
      </c>
      <c r="Q39" s="2948" t="s">
        <v>3002</v>
      </c>
    </row>
    <row r="40" spans="1:17" ht="14.25" customHeight="1">
      <c r="A40" s="2948" t="s">
        <v>296</v>
      </c>
      <c r="B40" s="2949" t="s">
        <v>202</v>
      </c>
      <c r="C40" s="2948">
        <v>24740</v>
      </c>
      <c r="D40" s="2948">
        <v>24690</v>
      </c>
      <c r="E40" s="2948">
        <v>22610</v>
      </c>
      <c r="F40" s="2948"/>
      <c r="G40" s="2961">
        <v>17280</v>
      </c>
      <c r="M40" s="2948" t="s">
        <v>3003</v>
      </c>
      <c r="N40" s="2948" t="s">
        <v>3004</v>
      </c>
      <c r="O40" s="2948" t="s">
        <v>3005</v>
      </c>
      <c r="P40" s="2948" t="s">
        <v>3006</v>
      </c>
      <c r="Q40" s="2948" t="s">
        <v>3007</v>
      </c>
    </row>
    <row r="41" spans="1:17" ht="14.25" customHeight="1" thickBot="1">
      <c r="A41" s="2948" t="s">
        <v>296</v>
      </c>
      <c r="B41" s="2949" t="s">
        <v>209</v>
      </c>
      <c r="C41" s="2948">
        <v>21220</v>
      </c>
      <c r="D41" s="2948">
        <v>21120</v>
      </c>
      <c r="E41" s="2948">
        <v>22590</v>
      </c>
      <c r="F41" s="2948"/>
      <c r="G41" s="2961">
        <v>14780</v>
      </c>
      <c r="M41" s="2955" t="s">
        <v>3008</v>
      </c>
      <c r="N41" s="2948" t="s">
        <v>3009</v>
      </c>
      <c r="O41" s="2948" t="s">
        <v>3010</v>
      </c>
      <c r="P41" s="2948" t="s">
        <v>3011</v>
      </c>
      <c r="Q41" s="2948" t="s">
        <v>3012</v>
      </c>
    </row>
    <row r="42" spans="1:17" ht="14.25" customHeight="1">
      <c r="A42" s="2948" t="s">
        <v>296</v>
      </c>
      <c r="B42" s="2949" t="s">
        <v>215</v>
      </c>
      <c r="C42" s="2948">
        <v>24800</v>
      </c>
      <c r="D42" s="2948">
        <v>22280</v>
      </c>
      <c r="E42" s="2948">
        <v>24350</v>
      </c>
      <c r="F42" s="2948"/>
      <c r="G42" s="2961">
        <v>15590</v>
      </c>
      <c r="N42" s="2948" t="s">
        <v>3013</v>
      </c>
      <c r="O42" s="2948" t="s">
        <v>3014</v>
      </c>
      <c r="P42" s="2948" t="s">
        <v>3015</v>
      </c>
      <c r="Q42" s="2948" t="s">
        <v>3016</v>
      </c>
    </row>
    <row r="43" spans="1:17" ht="14.25" customHeight="1">
      <c r="A43" s="2948" t="s">
        <v>3017</v>
      </c>
      <c r="B43" s="2949" t="s">
        <v>223</v>
      </c>
      <c r="C43" s="2948">
        <v>21210</v>
      </c>
      <c r="D43" s="2948">
        <v>21160</v>
      </c>
      <c r="E43" s="2948">
        <v>22650</v>
      </c>
      <c r="F43" s="2948"/>
      <c r="G43" s="2961">
        <v>14800</v>
      </c>
      <c r="N43" s="2948" t="s">
        <v>3018</v>
      </c>
      <c r="O43" s="2948" t="s">
        <v>3019</v>
      </c>
      <c r="P43" s="2948" t="s">
        <v>3020</v>
      </c>
      <c r="Q43" s="2948" t="s">
        <v>3021</v>
      </c>
    </row>
    <row r="44" spans="1:17" ht="14.25" customHeight="1" thickBot="1">
      <c r="A44" s="2948" t="s">
        <v>296</v>
      </c>
      <c r="B44" s="2949" t="s">
        <v>231</v>
      </c>
      <c r="C44" s="2948">
        <v>22370</v>
      </c>
      <c r="D44" s="2948">
        <v>23140</v>
      </c>
      <c r="E44" s="2948">
        <v>25090</v>
      </c>
      <c r="F44" s="2948"/>
      <c r="G44" s="2961">
        <v>16190</v>
      </c>
      <c r="N44" s="2948" t="s">
        <v>3022</v>
      </c>
      <c r="O44" s="2948" t="s">
        <v>3023</v>
      </c>
      <c r="P44" s="2955" t="s">
        <v>3024</v>
      </c>
      <c r="Q44" s="2948" t="s">
        <v>3025</v>
      </c>
    </row>
    <row r="45" spans="1:17" ht="14.25" customHeight="1" thickBot="1">
      <c r="A45" s="2948" t="s">
        <v>296</v>
      </c>
      <c r="B45" s="2949" t="s">
        <v>236</v>
      </c>
      <c r="C45" s="2948">
        <v>21240</v>
      </c>
      <c r="D45" s="2948">
        <v>27050</v>
      </c>
      <c r="E45" s="2948">
        <v>28000</v>
      </c>
      <c r="F45" s="2948"/>
      <c r="G45" s="2961">
        <v>18940</v>
      </c>
      <c r="N45" s="2948" t="s">
        <v>3026</v>
      </c>
      <c r="O45" s="2955" t="s">
        <v>3027</v>
      </c>
      <c r="Q45" s="2948" t="s">
        <v>3028</v>
      </c>
    </row>
    <row r="46" spans="1:17" ht="14.25" customHeight="1">
      <c r="A46" s="2948" t="s">
        <v>296</v>
      </c>
      <c r="B46" s="2949" t="s">
        <v>245</v>
      </c>
      <c r="C46" s="2948">
        <v>23240</v>
      </c>
      <c r="D46" s="2948">
        <v>23000</v>
      </c>
      <c r="E46" s="2948">
        <v>24980</v>
      </c>
      <c r="F46" s="2948"/>
      <c r="G46" s="2961">
        <v>16100</v>
      </c>
      <c r="N46" s="2948" t="s">
        <v>3029</v>
      </c>
      <c r="Q46" s="2948" t="s">
        <v>3030</v>
      </c>
    </row>
    <row r="47" spans="1:17" ht="14.25" customHeight="1">
      <c r="A47" s="2948" t="s">
        <v>296</v>
      </c>
      <c r="B47" s="2949" t="s">
        <v>252</v>
      </c>
      <c r="C47" s="2948">
        <v>27150</v>
      </c>
      <c r="D47" s="2948">
        <v>23310</v>
      </c>
      <c r="E47" s="2948">
        <v>25150</v>
      </c>
      <c r="F47" s="2948"/>
      <c r="G47" s="2961">
        <v>16310</v>
      </c>
      <c r="N47" s="2948" t="s">
        <v>3031</v>
      </c>
      <c r="Q47" s="2948" t="s">
        <v>3032</v>
      </c>
    </row>
    <row r="48" spans="1:17" ht="14.25" customHeight="1">
      <c r="A48" s="2948" t="s">
        <v>296</v>
      </c>
      <c r="B48" s="2949" t="s">
        <v>260</v>
      </c>
      <c r="C48" s="2948">
        <v>23100</v>
      </c>
      <c r="D48" s="2948">
        <v>21110</v>
      </c>
      <c r="E48" s="2948">
        <v>23080</v>
      </c>
      <c r="F48" s="2948"/>
      <c r="G48" s="2961">
        <v>14780</v>
      </c>
      <c r="N48" s="2948" t="s">
        <v>3033</v>
      </c>
      <c r="Q48" s="2948" t="s">
        <v>3034</v>
      </c>
    </row>
    <row r="49" spans="1:17" ht="14.25" customHeight="1">
      <c r="A49" s="2948" t="s">
        <v>296</v>
      </c>
      <c r="B49" s="2949" t="s">
        <v>267</v>
      </c>
      <c r="C49" s="2948">
        <v>23400</v>
      </c>
      <c r="D49" s="2948">
        <v>22920</v>
      </c>
      <c r="E49" s="2948">
        <v>24900</v>
      </c>
      <c r="F49" s="2948"/>
      <c r="G49" s="2961">
        <v>16040</v>
      </c>
      <c r="N49" s="2948" t="s">
        <v>3035</v>
      </c>
      <c r="Q49" s="2948" t="s">
        <v>3036</v>
      </c>
    </row>
    <row r="50" spans="1:17" ht="14.25" customHeight="1">
      <c r="A50" s="2948" t="s">
        <v>296</v>
      </c>
      <c r="B50" s="2949" t="s">
        <v>2913</v>
      </c>
      <c r="C50" s="2948">
        <v>21200</v>
      </c>
      <c r="D50" s="2948">
        <v>26540</v>
      </c>
      <c r="E50" s="2948">
        <v>23200</v>
      </c>
      <c r="F50" s="2948"/>
      <c r="G50" s="2961">
        <v>18580</v>
      </c>
      <c r="N50" s="2948" t="s">
        <v>3037</v>
      </c>
      <c r="Q50" s="2949" t="s">
        <v>3038</v>
      </c>
    </row>
    <row r="51" spans="1:17" ht="14.25" customHeight="1" thickBot="1">
      <c r="A51" s="2948" t="s">
        <v>296</v>
      </c>
      <c r="B51" s="2949" t="s">
        <v>2915</v>
      </c>
      <c r="C51" s="2948">
        <v>23000</v>
      </c>
      <c r="D51" s="2948">
        <v>23460</v>
      </c>
      <c r="E51" s="2948">
        <v>25290</v>
      </c>
      <c r="F51" s="2948"/>
      <c r="G51" s="2961">
        <v>16420</v>
      </c>
      <c r="N51" s="2948" t="s">
        <v>3039</v>
      </c>
      <c r="Q51" s="2955" t="s">
        <v>3040</v>
      </c>
    </row>
    <row r="52" spans="1:17" ht="14.25" customHeight="1">
      <c r="A52" s="2948" t="s">
        <v>296</v>
      </c>
      <c r="B52" s="2949" t="s">
        <v>2919</v>
      </c>
      <c r="C52" s="2948">
        <v>26660</v>
      </c>
      <c r="D52" s="2948">
        <v>22350</v>
      </c>
      <c r="E52" s="2948">
        <v>22920</v>
      </c>
      <c r="F52" s="2948"/>
      <c r="G52" s="2961">
        <v>15640</v>
      </c>
      <c r="N52" s="2948" t="s">
        <v>3041</v>
      </c>
    </row>
    <row r="53" spans="1:17" ht="14.25" customHeight="1">
      <c r="A53" s="2948" t="s">
        <v>296</v>
      </c>
      <c r="B53" s="2949" t="s">
        <v>2924</v>
      </c>
      <c r="C53" s="2948">
        <v>23580</v>
      </c>
      <c r="D53" s="2948"/>
      <c r="E53" s="2948">
        <v>24280</v>
      </c>
      <c r="F53" s="2948"/>
      <c r="G53" s="2961"/>
      <c r="N53" s="2948" t="s">
        <v>3042</v>
      </c>
    </row>
    <row r="54" spans="1:17" ht="14.25" customHeight="1" thickBot="1">
      <c r="A54" s="2962" t="s">
        <v>296</v>
      </c>
      <c r="B54" s="2954" t="s">
        <v>2927</v>
      </c>
      <c r="C54" s="2955">
        <v>22460</v>
      </c>
      <c r="D54" s="2955"/>
      <c r="E54" s="2955"/>
      <c r="F54" s="2955"/>
      <c r="G54" s="2963"/>
      <c r="N54" s="2948" t="s">
        <v>3043</v>
      </c>
    </row>
    <row r="55" spans="1:17" ht="14.25" customHeight="1">
      <c r="A55" s="2953" t="s">
        <v>110</v>
      </c>
      <c r="B55" s="2944" t="s">
        <v>3044</v>
      </c>
      <c r="C55" s="2948">
        <v>21970</v>
      </c>
      <c r="D55" s="2948">
        <v>20370</v>
      </c>
      <c r="E55" s="2948">
        <v>20180</v>
      </c>
      <c r="F55" s="2948">
        <v>5730</v>
      </c>
      <c r="G55" s="2948">
        <v>13820</v>
      </c>
      <c r="N55" s="2948" t="s">
        <v>3045</v>
      </c>
    </row>
    <row r="56" spans="1:17" ht="14.25" customHeight="1">
      <c r="A56" s="2948" t="s">
        <v>110</v>
      </c>
      <c r="B56" s="2948" t="s">
        <v>130</v>
      </c>
      <c r="C56" s="2948">
        <v>20470</v>
      </c>
      <c r="D56" s="2948">
        <v>20700</v>
      </c>
      <c r="E56" s="2948">
        <v>20380</v>
      </c>
      <c r="F56" s="2948">
        <v>4760</v>
      </c>
      <c r="G56" s="2948">
        <v>14050</v>
      </c>
      <c r="N56" s="2948" t="s">
        <v>3046</v>
      </c>
    </row>
    <row r="57" spans="1:17" ht="14.25" customHeight="1">
      <c r="A57" s="2948" t="s">
        <v>110</v>
      </c>
      <c r="B57" s="2948" t="s">
        <v>139</v>
      </c>
      <c r="C57" s="2948">
        <v>20790</v>
      </c>
      <c r="D57" s="2948">
        <v>21370</v>
      </c>
      <c r="E57" s="2948">
        <v>20890</v>
      </c>
      <c r="F57" s="2948">
        <v>4910</v>
      </c>
      <c r="G57" s="2948">
        <v>14510</v>
      </c>
      <c r="N57" s="2948" t="s">
        <v>3047</v>
      </c>
    </row>
    <row r="58" spans="1:17" ht="14.25" customHeight="1">
      <c r="A58" s="2948" t="s">
        <v>110</v>
      </c>
      <c r="B58" s="2948" t="s">
        <v>148</v>
      </c>
      <c r="C58" s="2948">
        <v>21460</v>
      </c>
      <c r="D58" s="2948">
        <v>20920</v>
      </c>
      <c r="E58" s="2948">
        <v>23410</v>
      </c>
      <c r="F58" s="2948">
        <v>5100</v>
      </c>
      <c r="G58" s="2948">
        <v>14200</v>
      </c>
      <c r="N58" s="2948" t="s">
        <v>3048</v>
      </c>
    </row>
    <row r="59" spans="1:17" ht="14.25" customHeight="1">
      <c r="A59" s="2948" t="s">
        <v>110</v>
      </c>
      <c r="B59" s="2948" t="s">
        <v>157</v>
      </c>
      <c r="C59" s="2948">
        <v>21000</v>
      </c>
      <c r="D59" s="2948">
        <v>21550</v>
      </c>
      <c r="E59" s="2948">
        <v>21150</v>
      </c>
      <c r="F59" s="2948">
        <v>5250</v>
      </c>
      <c r="G59" s="2948">
        <v>14630</v>
      </c>
      <c r="N59" s="2948" t="s">
        <v>3049</v>
      </c>
    </row>
    <row r="60" spans="1:17" ht="14.25" customHeight="1">
      <c r="A60" s="2948" t="s">
        <v>110</v>
      </c>
      <c r="B60" s="2948" t="s">
        <v>164</v>
      </c>
      <c r="C60" s="2948">
        <v>21640</v>
      </c>
      <c r="D60" s="2948">
        <v>21260</v>
      </c>
      <c r="E60" s="2948">
        <v>24040</v>
      </c>
      <c r="F60" s="2948">
        <v>4470</v>
      </c>
      <c r="G60" s="2948">
        <v>14430</v>
      </c>
      <c r="N60" s="2948" t="s">
        <v>3050</v>
      </c>
    </row>
    <row r="61" spans="1:17" ht="14.25" customHeight="1">
      <c r="A61" s="2948" t="s">
        <v>110</v>
      </c>
      <c r="B61" s="2948" t="s">
        <v>170</v>
      </c>
      <c r="C61" s="2948">
        <v>21330</v>
      </c>
      <c r="D61" s="2948">
        <v>18640</v>
      </c>
      <c r="E61" s="2948">
        <v>21190</v>
      </c>
      <c r="F61" s="2948">
        <v>4180</v>
      </c>
      <c r="G61" s="2948">
        <v>12650</v>
      </c>
      <c r="N61" s="2948" t="s">
        <v>3051</v>
      </c>
    </row>
    <row r="62" spans="1:17" ht="14.25" customHeight="1">
      <c r="A62" s="2948" t="s">
        <v>110</v>
      </c>
      <c r="B62" s="2948" t="s">
        <v>177</v>
      </c>
      <c r="C62" s="2948">
        <v>18710</v>
      </c>
      <c r="D62" s="2948">
        <v>19400</v>
      </c>
      <c r="E62" s="2948">
        <v>23750</v>
      </c>
      <c r="F62" s="2948">
        <v>4860</v>
      </c>
      <c r="G62" s="2948">
        <v>13170</v>
      </c>
      <c r="N62" s="2948" t="s">
        <v>3052</v>
      </c>
    </row>
    <row r="63" spans="1:17" ht="14.25" customHeight="1">
      <c r="A63" s="2948" t="s">
        <v>110</v>
      </c>
      <c r="B63" s="2948" t="s">
        <v>187</v>
      </c>
      <c r="C63" s="2948">
        <v>19480</v>
      </c>
      <c r="D63" s="2948">
        <v>16830</v>
      </c>
      <c r="E63" s="2948">
        <v>21590</v>
      </c>
      <c r="F63" s="2948">
        <v>4560</v>
      </c>
      <c r="G63" s="2948">
        <v>11420</v>
      </c>
      <c r="N63" s="2948" t="s">
        <v>3053</v>
      </c>
    </row>
    <row r="64" spans="1:17" ht="14.25" customHeight="1" thickBot="1">
      <c r="A64" s="2948" t="s">
        <v>110</v>
      </c>
      <c r="B64" s="2948" t="s">
        <v>196</v>
      </c>
      <c r="C64" s="2948">
        <v>16920</v>
      </c>
      <c r="D64" s="2948">
        <v>19190</v>
      </c>
      <c r="E64" s="2948">
        <v>22200</v>
      </c>
      <c r="F64" s="2948">
        <v>4390</v>
      </c>
      <c r="G64" s="2948">
        <v>13030</v>
      </c>
      <c r="N64" s="2955" t="s">
        <v>3054</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2925</v>
      </c>
      <c r="C78" s="2948">
        <v>19820</v>
      </c>
      <c r="D78" s="2948">
        <v>19780</v>
      </c>
      <c r="E78" s="2948">
        <v>18560</v>
      </c>
      <c r="F78" s="2948"/>
      <c r="G78" s="2948">
        <v>13430</v>
      </c>
    </row>
    <row r="79" spans="1:7" s="2782" customFormat="1" ht="14.25" customHeight="1">
      <c r="A79" s="2948" t="s">
        <v>110</v>
      </c>
      <c r="B79" s="2948" t="s">
        <v>2928</v>
      </c>
      <c r="C79" s="2948">
        <v>21660</v>
      </c>
      <c r="D79" s="2948">
        <v>18000</v>
      </c>
      <c r="E79" s="2948">
        <v>22570</v>
      </c>
      <c r="F79" s="2948"/>
      <c r="G79" s="2948">
        <v>12220</v>
      </c>
    </row>
    <row r="80" spans="1:7" s="2782" customFormat="1" ht="14.25" customHeight="1">
      <c r="A80" s="2948" t="s">
        <v>110</v>
      </c>
      <c r="B80" s="2948" t="s">
        <v>2932</v>
      </c>
      <c r="C80" s="2948">
        <v>19850</v>
      </c>
      <c r="D80" s="2948"/>
      <c r="E80" s="2948">
        <v>21700</v>
      </c>
      <c r="F80" s="2948"/>
      <c r="G80" s="2948"/>
    </row>
    <row r="81" spans="1:7" s="2782" customFormat="1" ht="14.25" customHeight="1">
      <c r="A81" s="2948" t="s">
        <v>110</v>
      </c>
      <c r="B81" s="2948" t="s">
        <v>2937</v>
      </c>
      <c r="C81" s="2948">
        <v>18080</v>
      </c>
      <c r="D81" s="2948"/>
      <c r="E81" s="2948">
        <v>20900</v>
      </c>
      <c r="F81" s="2948"/>
      <c r="G81" s="2948"/>
    </row>
    <row r="82" spans="1:7" s="2782" customFormat="1" ht="14.25" customHeight="1">
      <c r="A82" s="2948" t="s">
        <v>110</v>
      </c>
      <c r="B82" s="2948" t="s">
        <v>2944</v>
      </c>
      <c r="C82" s="2948"/>
      <c r="D82" s="2948"/>
      <c r="E82" s="2948">
        <v>20840</v>
      </c>
      <c r="F82" s="2948"/>
      <c r="G82" s="2948"/>
    </row>
    <row r="83" spans="1:7" s="2782" customFormat="1" ht="14.25" customHeight="1">
      <c r="A83" s="2948" t="s">
        <v>110</v>
      </c>
      <c r="B83" s="2948" t="s">
        <v>3055</v>
      </c>
      <c r="C83" s="2948"/>
      <c r="D83" s="2948"/>
      <c r="E83" s="2948"/>
      <c r="F83" s="2948">
        <v>4770</v>
      </c>
      <c r="G83" s="2948"/>
    </row>
    <row r="84" spans="1:7" s="2782" customFormat="1" ht="14.25" customHeight="1">
      <c r="A84" s="2948" t="s">
        <v>110</v>
      </c>
      <c r="B84" s="2948" t="s">
        <v>3056</v>
      </c>
      <c r="C84" s="2948"/>
      <c r="D84" s="2948"/>
      <c r="E84" s="2948"/>
      <c r="F84" s="2948">
        <v>4600</v>
      </c>
      <c r="G84" s="2948"/>
    </row>
    <row r="85" spans="1:7" s="2782" customFormat="1" ht="14.25" customHeight="1">
      <c r="A85" s="2948" t="s">
        <v>110</v>
      </c>
      <c r="B85" s="2948" t="s">
        <v>3057</v>
      </c>
      <c r="C85" s="2948"/>
      <c r="D85" s="2948"/>
      <c r="E85" s="2948"/>
      <c r="F85" s="2948">
        <v>4680</v>
      </c>
      <c r="G85" s="2948"/>
    </row>
    <row r="86" spans="1:7" s="2782" customFormat="1" ht="14.25" customHeight="1" thickBot="1">
      <c r="A86" s="2956" t="s">
        <v>110</v>
      </c>
      <c r="B86" s="2958" t="s">
        <v>3058</v>
      </c>
      <c r="C86" s="2959">
        <v>16610</v>
      </c>
      <c r="D86" s="2959">
        <v>16540</v>
      </c>
      <c r="E86" s="2959">
        <v>18850</v>
      </c>
      <c r="F86" s="2959"/>
      <c r="G86" s="2959">
        <v>11220</v>
      </c>
    </row>
    <row r="87" spans="1:7" s="2782" customFormat="1" ht="14.25" customHeight="1">
      <c r="A87" s="2953" t="s">
        <v>303</v>
      </c>
      <c r="B87" s="2944" t="s">
        <v>3059</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2938</v>
      </c>
      <c r="C113" s="2948">
        <v>15520</v>
      </c>
      <c r="D113" s="2948">
        <v>15450</v>
      </c>
      <c r="E113" s="2948"/>
      <c r="F113" s="2948"/>
      <c r="G113" s="2961">
        <v>10210</v>
      </c>
    </row>
    <row r="114" spans="1:7" s="2782" customFormat="1" ht="14.25" customHeight="1">
      <c r="A114" s="2948" t="s">
        <v>303</v>
      </c>
      <c r="B114" s="2948" t="s">
        <v>2945</v>
      </c>
      <c r="C114" s="2948">
        <v>13110</v>
      </c>
      <c r="D114" s="2948">
        <v>13050</v>
      </c>
      <c r="E114" s="2948"/>
      <c r="F114" s="2948"/>
      <c r="G114" s="2961">
        <v>8620</v>
      </c>
    </row>
    <row r="115" spans="1:7" s="2782" customFormat="1" ht="14.25" customHeight="1">
      <c r="A115" s="2948" t="s">
        <v>303</v>
      </c>
      <c r="B115" s="2948" t="s">
        <v>2951</v>
      </c>
      <c r="C115" s="2948">
        <v>12460</v>
      </c>
      <c r="D115" s="2948">
        <v>12390</v>
      </c>
      <c r="E115" s="2948"/>
      <c r="F115" s="2948"/>
      <c r="G115" s="2961">
        <v>8190</v>
      </c>
    </row>
    <row r="116" spans="1:7" s="2782" customFormat="1" ht="14.25" customHeight="1">
      <c r="A116" s="2948" t="s">
        <v>303</v>
      </c>
      <c r="B116" s="2948" t="s">
        <v>2958</v>
      </c>
      <c r="C116" s="2948">
        <v>13580</v>
      </c>
      <c r="D116" s="2948">
        <v>13520</v>
      </c>
      <c r="E116" s="2948"/>
      <c r="F116" s="2948"/>
      <c r="G116" s="2961">
        <v>8930</v>
      </c>
    </row>
    <row r="117" spans="1:7" s="2782" customFormat="1" ht="14.25" customHeight="1">
      <c r="A117" s="2948" t="s">
        <v>303</v>
      </c>
      <c r="B117" s="2948" t="s">
        <v>2965</v>
      </c>
      <c r="C117" s="2948">
        <v>17120</v>
      </c>
      <c r="D117" s="2948">
        <v>17040</v>
      </c>
      <c r="E117" s="2948"/>
      <c r="F117" s="2948"/>
      <c r="G117" s="2961">
        <v>11260</v>
      </c>
    </row>
    <row r="118" spans="1:7" s="2782" customFormat="1" ht="14.25" customHeight="1">
      <c r="A118" s="2948" t="s">
        <v>303</v>
      </c>
      <c r="B118" s="2948" t="s">
        <v>2970</v>
      </c>
      <c r="C118" s="2948">
        <v>14860</v>
      </c>
      <c r="D118" s="2948">
        <v>14790</v>
      </c>
      <c r="E118" s="2948"/>
      <c r="F118" s="2948"/>
      <c r="G118" s="2961">
        <v>9780</v>
      </c>
    </row>
    <row r="119" spans="1:7" s="2782" customFormat="1" ht="14.25" customHeight="1">
      <c r="A119" s="2948" t="s">
        <v>303</v>
      </c>
      <c r="B119" s="2948" t="s">
        <v>2974</v>
      </c>
      <c r="C119" s="2948">
        <v>16470</v>
      </c>
      <c r="D119" s="2948">
        <v>16400</v>
      </c>
      <c r="E119" s="2948"/>
      <c r="F119" s="2948"/>
      <c r="G119" s="2961">
        <v>10840</v>
      </c>
    </row>
    <row r="120" spans="1:7" s="2782" customFormat="1" ht="14.25" customHeight="1">
      <c r="A120" s="2948" t="s">
        <v>303</v>
      </c>
      <c r="B120" s="2948" t="s">
        <v>3060</v>
      </c>
      <c r="C120" s="2948"/>
      <c r="D120" s="2948"/>
      <c r="E120" s="2948"/>
      <c r="F120" s="2948">
        <v>4160</v>
      </c>
      <c r="G120" s="2961"/>
    </row>
    <row r="121" spans="1:7" s="2782" customFormat="1" ht="14.25" customHeight="1">
      <c r="A121" s="2948" t="s">
        <v>303</v>
      </c>
      <c r="B121" s="2948" t="s">
        <v>3061</v>
      </c>
      <c r="C121" s="2948"/>
      <c r="D121" s="2948"/>
      <c r="E121" s="2948"/>
      <c r="F121" s="2948">
        <v>3880</v>
      </c>
      <c r="G121" s="2961"/>
    </row>
    <row r="122" spans="1:7" s="2782" customFormat="1" ht="14.25" customHeight="1">
      <c r="A122" s="2948" t="s">
        <v>303</v>
      </c>
      <c r="B122" s="2948" t="s">
        <v>3062</v>
      </c>
      <c r="C122" s="2948">
        <v>13750</v>
      </c>
      <c r="D122" s="2948">
        <v>13680</v>
      </c>
      <c r="E122" s="2948">
        <v>16460</v>
      </c>
      <c r="F122" s="2948">
        <v>2880</v>
      </c>
      <c r="G122" s="2961">
        <v>9040</v>
      </c>
    </row>
    <row r="123" spans="1:7" s="2782" customFormat="1" ht="14.25" customHeight="1">
      <c r="A123" s="2948" t="s">
        <v>303</v>
      </c>
      <c r="B123" s="2948" t="s">
        <v>2993</v>
      </c>
      <c r="C123" s="2948">
        <v>13590</v>
      </c>
      <c r="D123" s="2948">
        <v>13520</v>
      </c>
      <c r="E123" s="2948">
        <v>16290</v>
      </c>
      <c r="F123" s="2948">
        <v>2790</v>
      </c>
      <c r="G123" s="2961">
        <v>8930</v>
      </c>
    </row>
    <row r="124" spans="1:7" s="2782" customFormat="1" ht="14.25" customHeight="1">
      <c r="A124" s="2948" t="s">
        <v>303</v>
      </c>
      <c r="B124" s="2948" t="s">
        <v>2998</v>
      </c>
      <c r="C124" s="2948">
        <v>13400</v>
      </c>
      <c r="D124" s="2948">
        <v>13320</v>
      </c>
      <c r="E124" s="2948">
        <v>16100</v>
      </c>
      <c r="F124" s="2948">
        <v>2320</v>
      </c>
      <c r="G124" s="2961">
        <v>8800</v>
      </c>
    </row>
    <row r="125" spans="1:7" s="2782" customFormat="1" ht="14.25" customHeight="1">
      <c r="A125" s="2948" t="s">
        <v>303</v>
      </c>
      <c r="B125" s="2948" t="s">
        <v>3003</v>
      </c>
      <c r="C125" s="2948">
        <v>12860</v>
      </c>
      <c r="D125" s="2948">
        <v>12790</v>
      </c>
      <c r="E125" s="2948">
        <v>15370</v>
      </c>
      <c r="F125" s="2948">
        <v>2280</v>
      </c>
      <c r="G125" s="2961">
        <v>8450</v>
      </c>
    </row>
    <row r="126" spans="1:7" s="2782" customFormat="1" ht="14.25" customHeight="1" thickBot="1">
      <c r="A126" s="2962" t="s">
        <v>303</v>
      </c>
      <c r="B126" s="2955" t="s">
        <v>3008</v>
      </c>
      <c r="C126" s="2955">
        <v>12960</v>
      </c>
      <c r="D126" s="2955">
        <v>12890</v>
      </c>
      <c r="E126" s="2955">
        <v>15530</v>
      </c>
      <c r="F126" s="2955">
        <v>2910</v>
      </c>
      <c r="G126" s="2963">
        <v>8520</v>
      </c>
    </row>
    <row r="127" spans="1:7" s="2782" customFormat="1" ht="14.25" customHeight="1">
      <c r="A127" s="2953" t="s">
        <v>29</v>
      </c>
      <c r="B127" s="2944" t="s">
        <v>3063</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3064</v>
      </c>
      <c r="C148" s="2948">
        <v>10370</v>
      </c>
      <c r="D148" s="2948">
        <v>10310</v>
      </c>
      <c r="E148" s="2948">
        <v>12970</v>
      </c>
      <c r="F148" s="2948"/>
      <c r="G148" s="2948">
        <v>6630</v>
      </c>
    </row>
    <row r="149" spans="1:7" s="2782" customFormat="1" ht="14.25" customHeight="1">
      <c r="A149" s="2948" t="s">
        <v>29</v>
      </c>
      <c r="B149" s="2948" t="s">
        <v>3065</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2939</v>
      </c>
      <c r="C153" s="2948">
        <v>10880</v>
      </c>
      <c r="D153" s="2948">
        <v>10820</v>
      </c>
      <c r="E153" s="2948">
        <v>13660</v>
      </c>
      <c r="F153" s="2948">
        <v>2260</v>
      </c>
      <c r="G153" s="2948">
        <v>6970</v>
      </c>
    </row>
    <row r="154" spans="1:7" s="2782" customFormat="1" ht="14.25" customHeight="1">
      <c r="A154" s="2948" t="s">
        <v>29</v>
      </c>
      <c r="B154" s="2948" t="s">
        <v>3066</v>
      </c>
      <c r="C154" s="2948">
        <v>11220</v>
      </c>
      <c r="D154" s="2948">
        <v>11160</v>
      </c>
      <c r="E154" s="2948">
        <v>14130</v>
      </c>
      <c r="F154" s="2948">
        <v>2230</v>
      </c>
      <c r="G154" s="2948">
        <v>7180</v>
      </c>
    </row>
    <row r="155" spans="1:7" s="2782" customFormat="1" ht="14.25" customHeight="1">
      <c r="A155" s="2948" t="s">
        <v>29</v>
      </c>
      <c r="B155" s="2948" t="s">
        <v>2952</v>
      </c>
      <c r="C155" s="2948">
        <v>10430</v>
      </c>
      <c r="D155" s="2948">
        <v>10380</v>
      </c>
      <c r="E155" s="2948">
        <v>13140</v>
      </c>
      <c r="F155" s="2948">
        <v>2080</v>
      </c>
      <c r="G155" s="2948">
        <v>6650</v>
      </c>
    </row>
    <row r="156" spans="1:7" s="2782" customFormat="1" ht="14.25" customHeight="1">
      <c r="A156" s="2948" t="s">
        <v>29</v>
      </c>
      <c r="B156" s="2948" t="s">
        <v>3067</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3068</v>
      </c>
      <c r="C160" s="2948">
        <v>11180</v>
      </c>
      <c r="D160" s="2948">
        <v>11140</v>
      </c>
      <c r="E160" s="2948">
        <v>14050</v>
      </c>
      <c r="F160" s="2948">
        <v>2270</v>
      </c>
      <c r="G160" s="2948">
        <v>7170</v>
      </c>
    </row>
    <row r="161" spans="1:7" s="2782" customFormat="1" ht="14.25" customHeight="1">
      <c r="A161" s="2948" t="s">
        <v>29</v>
      </c>
      <c r="B161" s="2948" t="s">
        <v>2984</v>
      </c>
      <c r="C161" s="2948">
        <v>11160</v>
      </c>
      <c r="D161" s="2948">
        <v>11120</v>
      </c>
      <c r="E161" s="2948">
        <v>14020</v>
      </c>
      <c r="F161" s="2948">
        <v>2150</v>
      </c>
      <c r="G161" s="2948">
        <v>7160</v>
      </c>
    </row>
    <row r="162" spans="1:7" s="2782" customFormat="1" ht="14.25" customHeight="1">
      <c r="A162" s="2948" t="s">
        <v>29</v>
      </c>
      <c r="B162" s="2948" t="s">
        <v>2989</v>
      </c>
      <c r="C162" s="2948">
        <v>9620</v>
      </c>
      <c r="D162" s="2948">
        <v>9570</v>
      </c>
      <c r="E162" s="2948">
        <v>12320</v>
      </c>
      <c r="F162" s="2948">
        <v>2010</v>
      </c>
      <c r="G162" s="2948">
        <v>6160</v>
      </c>
    </row>
    <row r="163" spans="1:7" s="2782" customFormat="1" ht="14.25" customHeight="1">
      <c r="A163" s="2948" t="s">
        <v>29</v>
      </c>
      <c r="B163" s="2948" t="s">
        <v>2994</v>
      </c>
      <c r="C163" s="2948">
        <v>9320</v>
      </c>
      <c r="D163" s="2948">
        <v>9270</v>
      </c>
      <c r="E163" s="2948">
        <v>11790</v>
      </c>
      <c r="F163" s="2948">
        <v>1920</v>
      </c>
      <c r="G163" s="2948">
        <v>5960</v>
      </c>
    </row>
    <row r="164" spans="1:7" s="2782" customFormat="1" ht="14.25" customHeight="1">
      <c r="A164" s="2948" t="s">
        <v>29</v>
      </c>
      <c r="B164" s="2948" t="s">
        <v>2999</v>
      </c>
      <c r="C164" s="2948"/>
      <c r="D164" s="2948"/>
      <c r="E164" s="2948"/>
      <c r="F164" s="2948">
        <v>1980</v>
      </c>
      <c r="G164" s="2948"/>
    </row>
    <row r="165" spans="1:7" s="2782" customFormat="1" ht="14.25" customHeight="1">
      <c r="A165" s="2948" t="s">
        <v>29</v>
      </c>
      <c r="B165" s="2948" t="s">
        <v>3069</v>
      </c>
      <c r="C165" s="2948">
        <v>11060</v>
      </c>
      <c r="D165" s="2948">
        <v>11030</v>
      </c>
      <c r="E165" s="2948">
        <v>13850</v>
      </c>
      <c r="F165" s="2948">
        <v>2170</v>
      </c>
      <c r="G165" s="2948">
        <v>7090</v>
      </c>
    </row>
    <row r="166" spans="1:7" s="2782" customFormat="1" ht="14.25" customHeight="1">
      <c r="A166" s="2948" t="s">
        <v>29</v>
      </c>
      <c r="B166" s="2948" t="s">
        <v>3009</v>
      </c>
      <c r="C166" s="2948">
        <v>11050</v>
      </c>
      <c r="D166" s="2948">
        <v>11010</v>
      </c>
      <c r="E166" s="2948">
        <v>13920</v>
      </c>
      <c r="F166" s="2948">
        <v>2140</v>
      </c>
      <c r="G166" s="2948">
        <v>7080</v>
      </c>
    </row>
    <row r="167" spans="1:7" s="2782" customFormat="1" ht="14.25" customHeight="1">
      <c r="A167" s="2948" t="s">
        <v>29</v>
      </c>
      <c r="B167" s="2948" t="s">
        <v>3013</v>
      </c>
      <c r="C167" s="2948">
        <v>10930</v>
      </c>
      <c r="D167" s="2948">
        <v>10890</v>
      </c>
      <c r="E167" s="2948">
        <v>13790</v>
      </c>
      <c r="F167" s="2948">
        <v>2010</v>
      </c>
      <c r="G167" s="2948">
        <v>7000</v>
      </c>
    </row>
    <row r="168" spans="1:7" s="2782" customFormat="1" ht="14.25" customHeight="1">
      <c r="A168" s="2948" t="s">
        <v>29</v>
      </c>
      <c r="B168" s="2948" t="s">
        <v>3018</v>
      </c>
      <c r="C168" s="2948">
        <v>9420</v>
      </c>
      <c r="D168" s="2948">
        <v>9380</v>
      </c>
      <c r="E168" s="2948">
        <v>11970</v>
      </c>
      <c r="F168" s="2948"/>
      <c r="G168" s="2948">
        <v>6040</v>
      </c>
    </row>
    <row r="169" spans="1:7" s="2782" customFormat="1" ht="14.25" customHeight="1">
      <c r="A169" s="2948" t="s">
        <v>29</v>
      </c>
      <c r="B169" s="2948" t="s">
        <v>3070</v>
      </c>
      <c r="C169" s="2948"/>
      <c r="D169" s="2948"/>
      <c r="E169" s="2948"/>
      <c r="F169" s="2948">
        <v>2880</v>
      </c>
      <c r="G169" s="2948"/>
    </row>
    <row r="170" spans="1:7" s="2782" customFormat="1" ht="14.25" customHeight="1">
      <c r="A170" s="2948" t="s">
        <v>29</v>
      </c>
      <c r="B170" s="2948" t="s">
        <v>3026</v>
      </c>
      <c r="C170" s="2948"/>
      <c r="D170" s="2948"/>
      <c r="E170" s="2948"/>
      <c r="F170" s="2948">
        <v>2880</v>
      </c>
      <c r="G170" s="2948"/>
    </row>
    <row r="171" spans="1:7" s="2782" customFormat="1" ht="14.25" customHeight="1">
      <c r="A171" s="2948" t="s">
        <v>29</v>
      </c>
      <c r="B171" s="2948" t="s">
        <v>3029</v>
      </c>
      <c r="C171" s="2948"/>
      <c r="D171" s="2948"/>
      <c r="E171" s="2948"/>
      <c r="F171" s="2948">
        <v>2880</v>
      </c>
      <c r="G171" s="2948"/>
    </row>
    <row r="172" spans="1:7" s="2782" customFormat="1" ht="14.25" customHeight="1">
      <c r="A172" s="2948" t="s">
        <v>29</v>
      </c>
      <c r="B172" s="2948" t="s">
        <v>3031</v>
      </c>
      <c r="C172" s="2948"/>
      <c r="D172" s="2948"/>
      <c r="E172" s="2948"/>
      <c r="F172" s="2948">
        <v>2880</v>
      </c>
      <c r="G172" s="2948"/>
    </row>
    <row r="173" spans="1:7" s="2782" customFormat="1" ht="14.25" customHeight="1">
      <c r="A173" s="2948" t="s">
        <v>29</v>
      </c>
      <c r="B173" s="2948" t="s">
        <v>3033</v>
      </c>
      <c r="C173" s="2948"/>
      <c r="D173" s="2948"/>
      <c r="E173" s="2948"/>
      <c r="F173" s="2948">
        <v>2150</v>
      </c>
      <c r="G173" s="2948"/>
    </row>
    <row r="174" spans="1:7" s="2782" customFormat="1" ht="14.25" customHeight="1">
      <c r="A174" s="2948" t="s">
        <v>29</v>
      </c>
      <c r="B174" s="2948" t="s">
        <v>3035</v>
      </c>
      <c r="C174" s="2948"/>
      <c r="D174" s="2948"/>
      <c r="E174" s="2948"/>
      <c r="F174" s="2948">
        <v>2030</v>
      </c>
      <c r="G174" s="2948"/>
    </row>
    <row r="175" spans="1:7" s="2782" customFormat="1" ht="14.25" customHeight="1">
      <c r="A175" s="2948" t="s">
        <v>29</v>
      </c>
      <c r="B175" s="2948" t="s">
        <v>3037</v>
      </c>
      <c r="C175" s="2948"/>
      <c r="D175" s="2948"/>
      <c r="E175" s="2948"/>
      <c r="F175" s="2948">
        <v>2780</v>
      </c>
      <c r="G175" s="2948"/>
    </row>
    <row r="176" spans="1:7" s="2782" customFormat="1" ht="14.25" customHeight="1">
      <c r="A176" s="2948" t="s">
        <v>29</v>
      </c>
      <c r="B176" s="2948" t="s">
        <v>3039</v>
      </c>
      <c r="C176" s="2948"/>
      <c r="D176" s="2948"/>
      <c r="E176" s="2948"/>
      <c r="F176" s="2948">
        <v>2780</v>
      </c>
      <c r="G176" s="2948"/>
    </row>
    <row r="177" spans="1:7" s="2782" customFormat="1" ht="14.25" customHeight="1">
      <c r="A177" s="2948" t="s">
        <v>29</v>
      </c>
      <c r="B177" s="2948" t="s">
        <v>3071</v>
      </c>
      <c r="C177" s="2948"/>
      <c r="D177" s="2948"/>
      <c r="E177" s="2948"/>
      <c r="F177" s="2948">
        <v>2780</v>
      </c>
      <c r="G177" s="2948"/>
    </row>
    <row r="178" spans="1:7" s="2782" customFormat="1" ht="14.25" customHeight="1">
      <c r="A178" s="2948" t="s">
        <v>29</v>
      </c>
      <c r="B178" s="2948" t="s">
        <v>3072</v>
      </c>
      <c r="C178" s="2948"/>
      <c r="D178" s="2948"/>
      <c r="E178" s="2948"/>
      <c r="F178" s="2948">
        <v>2060</v>
      </c>
      <c r="G178" s="2948"/>
    </row>
    <row r="179" spans="1:7" s="2782" customFormat="1" ht="14.25" customHeight="1">
      <c r="A179" s="2948" t="s">
        <v>29</v>
      </c>
      <c r="B179" s="2948" t="s">
        <v>3073</v>
      </c>
      <c r="C179" s="2948"/>
      <c r="D179" s="2948"/>
      <c r="E179" s="2948"/>
      <c r="F179" s="2948">
        <v>2120</v>
      </c>
      <c r="G179" s="2948"/>
    </row>
    <row r="180" spans="1:7" s="2782" customFormat="1" ht="14.25" customHeight="1">
      <c r="A180" s="2948" t="s">
        <v>29</v>
      </c>
      <c r="B180" s="2948" t="s">
        <v>3045</v>
      </c>
      <c r="C180" s="2948"/>
      <c r="D180" s="2948"/>
      <c r="E180" s="2948"/>
      <c r="F180" s="2948">
        <v>2340</v>
      </c>
      <c r="G180" s="2948"/>
    </row>
    <row r="181" spans="1:7" s="2782" customFormat="1" ht="14.25" customHeight="1">
      <c r="A181" s="2948" t="s">
        <v>29</v>
      </c>
      <c r="B181" s="2948" t="s">
        <v>3046</v>
      </c>
      <c r="C181" s="2948"/>
      <c r="D181" s="2948"/>
      <c r="E181" s="2948"/>
      <c r="F181" s="2948">
        <v>2340</v>
      </c>
      <c r="G181" s="2948"/>
    </row>
    <row r="182" spans="1:7" s="2782" customFormat="1" ht="14.25" customHeight="1">
      <c r="A182" s="2948" t="s">
        <v>29</v>
      </c>
      <c r="B182" s="2948" t="s">
        <v>3047</v>
      </c>
      <c r="C182" s="2948"/>
      <c r="D182" s="2948"/>
      <c r="E182" s="2948"/>
      <c r="F182" s="2948">
        <v>2340</v>
      </c>
      <c r="G182" s="2948"/>
    </row>
    <row r="183" spans="1:7" s="2782" customFormat="1" ht="14.25" customHeight="1">
      <c r="A183" s="2948" t="s">
        <v>29</v>
      </c>
      <c r="B183" s="2948" t="s">
        <v>3048</v>
      </c>
      <c r="C183" s="2948"/>
      <c r="D183" s="2948"/>
      <c r="E183" s="2948"/>
      <c r="F183" s="2948">
        <v>2340</v>
      </c>
      <c r="G183" s="2948"/>
    </row>
    <row r="184" spans="1:7" s="2782" customFormat="1" ht="14.25" customHeight="1">
      <c r="A184" s="2948" t="s">
        <v>29</v>
      </c>
      <c r="B184" s="2948" t="s">
        <v>3049</v>
      </c>
      <c r="C184" s="2948"/>
      <c r="D184" s="2948"/>
      <c r="E184" s="2948"/>
      <c r="F184" s="2948">
        <v>2340</v>
      </c>
      <c r="G184" s="2948"/>
    </row>
    <row r="185" spans="1:7" s="2782" customFormat="1" ht="14.25" customHeight="1">
      <c r="A185" s="2948" t="s">
        <v>29</v>
      </c>
      <c r="B185" s="2948" t="s">
        <v>3050</v>
      </c>
      <c r="C185" s="2948"/>
      <c r="D185" s="2948"/>
      <c r="E185" s="2948"/>
      <c r="F185" s="2948">
        <v>2530</v>
      </c>
      <c r="G185" s="2948"/>
    </row>
    <row r="186" spans="1:7" s="2782" customFormat="1" ht="14.25" customHeight="1">
      <c r="A186" s="2948" t="s">
        <v>29</v>
      </c>
      <c r="B186" s="2948" t="s">
        <v>3051</v>
      </c>
      <c r="C186" s="2948"/>
      <c r="D186" s="2948"/>
      <c r="E186" s="2948"/>
      <c r="F186" s="2948">
        <v>2550</v>
      </c>
      <c r="G186" s="2948"/>
    </row>
    <row r="187" spans="1:7" s="2782" customFormat="1" ht="14.25" customHeight="1">
      <c r="A187" s="2948" t="s">
        <v>29</v>
      </c>
      <c r="B187" s="2948" t="s">
        <v>3052</v>
      </c>
      <c r="C187" s="2948"/>
      <c r="D187" s="2948"/>
      <c r="E187" s="2948"/>
      <c r="F187" s="2948">
        <v>2070</v>
      </c>
      <c r="G187" s="2948"/>
    </row>
    <row r="188" spans="1:7" s="2782" customFormat="1" ht="14.25" customHeight="1">
      <c r="A188" s="2948" t="s">
        <v>29</v>
      </c>
      <c r="B188" s="2948" t="s">
        <v>3053</v>
      </c>
      <c r="C188" s="2948"/>
      <c r="D188" s="2948"/>
      <c r="E188" s="2948"/>
      <c r="F188" s="2948">
        <v>2340</v>
      </c>
      <c r="G188" s="2948"/>
    </row>
    <row r="189" spans="1:7" s="2782" customFormat="1" ht="14.25" customHeight="1" thickBot="1">
      <c r="A189" s="2956" t="s">
        <v>29</v>
      </c>
      <c r="B189" s="2959" t="s">
        <v>3054</v>
      </c>
      <c r="C189" s="2959"/>
      <c r="D189" s="2959"/>
      <c r="E189" s="2959"/>
      <c r="F189" s="2959">
        <v>2050</v>
      </c>
      <c r="G189" s="2959"/>
    </row>
    <row r="190" spans="1:7" s="2782" customFormat="1" ht="14.25" customHeight="1">
      <c r="A190" s="2953" t="s">
        <v>304</v>
      </c>
      <c r="B190" s="2944" t="s">
        <v>3074</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3075</v>
      </c>
      <c r="C199" s="2948">
        <v>8690</v>
      </c>
      <c r="D199" s="2948">
        <v>8630</v>
      </c>
      <c r="E199" s="2948">
        <v>11350</v>
      </c>
      <c r="F199" s="2948">
        <v>1600</v>
      </c>
      <c r="G199" s="2961">
        <v>5450</v>
      </c>
    </row>
    <row r="200" spans="1:7" s="2782" customFormat="1" ht="14.25" customHeight="1">
      <c r="A200" s="2948" t="s">
        <v>304</v>
      </c>
      <c r="B200" s="2948" t="s">
        <v>2886</v>
      </c>
      <c r="C200" s="2948"/>
      <c r="D200" s="2948"/>
      <c r="E200" s="2948"/>
      <c r="F200" s="2948">
        <v>1510</v>
      </c>
      <c r="G200" s="2961"/>
    </row>
    <row r="201" spans="1:7" s="2782" customFormat="1" ht="14.25" customHeight="1">
      <c r="A201" s="2948" t="s">
        <v>304</v>
      </c>
      <c r="B201" s="2948" t="s">
        <v>3076</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3077</v>
      </c>
      <c r="C203" s="2948">
        <v>8130</v>
      </c>
      <c r="D203" s="2948">
        <v>8070</v>
      </c>
      <c r="E203" s="2948">
        <v>10820</v>
      </c>
      <c r="F203" s="2948">
        <v>1690</v>
      </c>
      <c r="G203" s="2961">
        <v>5100</v>
      </c>
    </row>
    <row r="204" spans="1:7" s="2782" customFormat="1" ht="14.25" customHeight="1">
      <c r="A204" s="2948" t="s">
        <v>304</v>
      </c>
      <c r="B204" s="2948" t="s">
        <v>2897</v>
      </c>
      <c r="C204" s="2948">
        <v>8350</v>
      </c>
      <c r="D204" s="2948">
        <v>8290</v>
      </c>
      <c r="E204" s="2948">
        <v>11080</v>
      </c>
      <c r="F204" s="2948">
        <v>1450</v>
      </c>
      <c r="G204" s="2961">
        <v>5240</v>
      </c>
    </row>
    <row r="205" spans="1:7" s="2782" customFormat="1" ht="14.25" customHeight="1">
      <c r="A205" s="2948" t="s">
        <v>304</v>
      </c>
      <c r="B205" s="2948" t="s">
        <v>2899</v>
      </c>
      <c r="C205" s="2948">
        <v>7190</v>
      </c>
      <c r="D205" s="2948">
        <v>7130</v>
      </c>
      <c r="E205" s="2948">
        <v>9490</v>
      </c>
      <c r="F205" s="2948">
        <v>1470</v>
      </c>
      <c r="G205" s="2961">
        <v>4510</v>
      </c>
    </row>
    <row r="206" spans="1:7" s="2782" customFormat="1" ht="14.25" customHeight="1">
      <c r="A206" s="2948" t="s">
        <v>304</v>
      </c>
      <c r="B206" s="2948" t="s">
        <v>2902</v>
      </c>
      <c r="C206" s="2948">
        <v>7000</v>
      </c>
      <c r="D206" s="2948">
        <v>6950</v>
      </c>
      <c r="E206" s="2948">
        <v>9170</v>
      </c>
      <c r="F206" s="2948">
        <v>1400</v>
      </c>
      <c r="G206" s="2961">
        <v>4380</v>
      </c>
    </row>
    <row r="207" spans="1:7" s="2782" customFormat="1" ht="14.25" customHeight="1">
      <c r="A207" s="2948" t="s">
        <v>304</v>
      </c>
      <c r="B207" s="2948" t="s">
        <v>2904</v>
      </c>
      <c r="C207" s="2948">
        <v>6950</v>
      </c>
      <c r="D207" s="2948">
        <v>6900</v>
      </c>
      <c r="E207" s="2948">
        <v>9110</v>
      </c>
      <c r="F207" s="2948">
        <v>1790</v>
      </c>
      <c r="G207" s="2961">
        <v>4360</v>
      </c>
    </row>
    <row r="208" spans="1:7" s="2782" customFormat="1" ht="14.25" customHeight="1">
      <c r="A208" s="2948" t="s">
        <v>304</v>
      </c>
      <c r="B208" s="2948" t="s">
        <v>3078</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2914</v>
      </c>
      <c r="C210" s="2948">
        <v>8710</v>
      </c>
      <c r="D210" s="2948">
        <v>8660</v>
      </c>
      <c r="E210" s="2948">
        <v>11440</v>
      </c>
      <c r="F210" s="2948">
        <v>1740</v>
      </c>
      <c r="G210" s="2961">
        <v>5470</v>
      </c>
    </row>
    <row r="211" spans="1:7" s="2782" customFormat="1" ht="14.25" customHeight="1">
      <c r="A211" s="2948" t="s">
        <v>304</v>
      </c>
      <c r="B211" s="2948" t="s">
        <v>3079</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3080</v>
      </c>
      <c r="C214" s="2948">
        <v>8090</v>
      </c>
      <c r="D214" s="2948">
        <v>8030</v>
      </c>
      <c r="E214" s="2948">
        <v>10780</v>
      </c>
      <c r="F214" s="2948">
        <v>1570</v>
      </c>
      <c r="G214" s="2961">
        <v>5070</v>
      </c>
    </row>
    <row r="215" spans="1:7" s="2782" customFormat="1" ht="14.25" customHeight="1">
      <c r="A215" s="2948" t="s">
        <v>304</v>
      </c>
      <c r="B215" s="2948" t="s">
        <v>3081</v>
      </c>
      <c r="C215" s="2948">
        <v>7950</v>
      </c>
      <c r="D215" s="2948">
        <v>7900</v>
      </c>
      <c r="E215" s="2948">
        <v>10560</v>
      </c>
      <c r="F215" s="2948">
        <v>1630</v>
      </c>
      <c r="G215" s="2961">
        <v>4990</v>
      </c>
    </row>
    <row r="216" spans="1:7" s="2782" customFormat="1" ht="14.25" customHeight="1">
      <c r="A216" s="2948" t="s">
        <v>304</v>
      </c>
      <c r="B216" s="2948" t="s">
        <v>3082</v>
      </c>
      <c r="C216" s="2948">
        <v>8490</v>
      </c>
      <c r="D216" s="2948">
        <v>8440</v>
      </c>
      <c r="E216" s="2948">
        <v>11260</v>
      </c>
      <c r="F216" s="2948">
        <v>1690</v>
      </c>
      <c r="G216" s="2961">
        <v>5330</v>
      </c>
    </row>
    <row r="217" spans="1:7" s="2782" customFormat="1" ht="14.25" customHeight="1">
      <c r="A217" s="2948" t="s">
        <v>304</v>
      </c>
      <c r="B217" s="2948" t="s">
        <v>2947</v>
      </c>
      <c r="C217" s="2948">
        <v>8200</v>
      </c>
      <c r="D217" s="2948">
        <v>8150</v>
      </c>
      <c r="E217" s="2948">
        <v>10910</v>
      </c>
      <c r="F217" s="2948">
        <v>1670</v>
      </c>
      <c r="G217" s="2961">
        <v>5150</v>
      </c>
    </row>
    <row r="218" spans="1:7" s="2782" customFormat="1" ht="14.25" customHeight="1">
      <c r="A218" s="2948" t="s">
        <v>304</v>
      </c>
      <c r="B218" s="2948" t="s">
        <v>3083</v>
      </c>
      <c r="C218" s="2948"/>
      <c r="D218" s="2948"/>
      <c r="E218" s="2948"/>
      <c r="F218" s="2948">
        <v>2040</v>
      </c>
      <c r="G218" s="2961"/>
    </row>
    <row r="219" spans="1:7" s="2782" customFormat="1" ht="14.25" customHeight="1">
      <c r="A219" s="2948" t="s">
        <v>304</v>
      </c>
      <c r="B219" s="2948" t="s">
        <v>3084</v>
      </c>
      <c r="C219" s="2948"/>
      <c r="D219" s="2948"/>
      <c r="E219" s="2948"/>
      <c r="F219" s="2948">
        <v>2040</v>
      </c>
      <c r="G219" s="2961"/>
    </row>
    <row r="220" spans="1:7" s="2782" customFormat="1" ht="14.25" customHeight="1">
      <c r="A220" s="2948" t="s">
        <v>304</v>
      </c>
      <c r="B220" s="2948" t="s">
        <v>3085</v>
      </c>
      <c r="C220" s="2948"/>
      <c r="D220" s="2948"/>
      <c r="E220" s="2948"/>
      <c r="F220" s="2948">
        <v>2040</v>
      </c>
      <c r="G220" s="2961"/>
    </row>
    <row r="221" spans="1:7" s="2782" customFormat="1" ht="14.25" customHeight="1">
      <c r="A221" s="2948" t="s">
        <v>304</v>
      </c>
      <c r="B221" s="2948" t="s">
        <v>3086</v>
      </c>
      <c r="C221" s="2948"/>
      <c r="D221" s="2948"/>
      <c r="E221" s="2948"/>
      <c r="F221" s="2948">
        <v>2040</v>
      </c>
      <c r="G221" s="2961"/>
    </row>
    <row r="222" spans="1:7" s="2782" customFormat="1" ht="14.25" customHeight="1">
      <c r="A222" s="2948" t="s">
        <v>304</v>
      </c>
      <c r="B222" s="2948" t="s">
        <v>3087</v>
      </c>
      <c r="C222" s="2948"/>
      <c r="D222" s="2948"/>
      <c r="E222" s="2948"/>
      <c r="F222" s="2948">
        <v>2040</v>
      </c>
      <c r="G222" s="2961"/>
    </row>
    <row r="223" spans="1:7" s="2782" customFormat="1" ht="14.25" customHeight="1">
      <c r="A223" s="2948" t="s">
        <v>304</v>
      </c>
      <c r="B223" s="2948" t="s">
        <v>3088</v>
      </c>
      <c r="C223" s="2948"/>
      <c r="D223" s="2948"/>
      <c r="E223" s="2948"/>
      <c r="F223" s="2948">
        <v>1930</v>
      </c>
      <c r="G223" s="2961"/>
    </row>
    <row r="224" spans="1:7" s="2782" customFormat="1" ht="14.25" customHeight="1">
      <c r="A224" s="2948" t="s">
        <v>304</v>
      </c>
      <c r="B224" s="2948" t="s">
        <v>3089</v>
      </c>
      <c r="C224" s="2948"/>
      <c r="D224" s="2948"/>
      <c r="E224" s="2948"/>
      <c r="F224" s="2948">
        <v>1930</v>
      </c>
      <c r="G224" s="2961"/>
    </row>
    <row r="225" spans="1:7" s="2782" customFormat="1" ht="14.25" customHeight="1">
      <c r="A225" s="2948" t="s">
        <v>304</v>
      </c>
      <c r="B225" s="2948" t="s">
        <v>3090</v>
      </c>
      <c r="C225" s="2948"/>
      <c r="D225" s="2948"/>
      <c r="E225" s="2948"/>
      <c r="F225" s="2948">
        <v>1930</v>
      </c>
      <c r="G225" s="2961"/>
    </row>
    <row r="226" spans="1:7" s="2782" customFormat="1" ht="14.25" customHeight="1">
      <c r="A226" s="2948" t="s">
        <v>304</v>
      </c>
      <c r="B226" s="2948" t="s">
        <v>3091</v>
      </c>
      <c r="C226" s="2948"/>
      <c r="D226" s="2948"/>
      <c r="E226" s="2948"/>
      <c r="F226" s="2948">
        <v>1700</v>
      </c>
      <c r="G226" s="2961"/>
    </row>
    <row r="227" spans="1:7" s="2782" customFormat="1" ht="14.25" customHeight="1">
      <c r="A227" s="2948" t="s">
        <v>304</v>
      </c>
      <c r="B227" s="2948" t="s">
        <v>3092</v>
      </c>
      <c r="C227" s="2948"/>
      <c r="D227" s="2948"/>
      <c r="E227" s="2948"/>
      <c r="F227" s="2948">
        <v>1520</v>
      </c>
      <c r="G227" s="2961"/>
    </row>
    <row r="228" spans="1:7" s="2782" customFormat="1" ht="14.25" customHeight="1">
      <c r="A228" s="2948" t="s">
        <v>304</v>
      </c>
      <c r="B228" s="2948" t="s">
        <v>3093</v>
      </c>
      <c r="C228" s="2948"/>
      <c r="D228" s="2948"/>
      <c r="E228" s="2948"/>
      <c r="F228" s="2948">
        <v>1520</v>
      </c>
      <c r="G228" s="2961"/>
    </row>
    <row r="229" spans="1:7" s="2782" customFormat="1" ht="14.25" customHeight="1">
      <c r="A229" s="2948" t="s">
        <v>304</v>
      </c>
      <c r="B229" s="2948" t="s">
        <v>3010</v>
      </c>
      <c r="C229" s="2948"/>
      <c r="D229" s="2948"/>
      <c r="E229" s="2948"/>
      <c r="F229" s="2948">
        <v>1520</v>
      </c>
      <c r="G229" s="2961"/>
    </row>
    <row r="230" spans="1:7" s="2782" customFormat="1" ht="14.25" customHeight="1">
      <c r="A230" s="2948" t="s">
        <v>304</v>
      </c>
      <c r="B230" s="2948" t="s">
        <v>3094</v>
      </c>
      <c r="C230" s="2948"/>
      <c r="D230" s="2948"/>
      <c r="E230" s="2948"/>
      <c r="F230" s="2948">
        <v>1820</v>
      </c>
      <c r="G230" s="2961"/>
    </row>
    <row r="231" spans="1:7" s="2782" customFormat="1" ht="14.25" customHeight="1">
      <c r="A231" s="2948" t="s">
        <v>304</v>
      </c>
      <c r="B231" s="2948" t="s">
        <v>3095</v>
      </c>
      <c r="C231" s="2948"/>
      <c r="D231" s="2948"/>
      <c r="E231" s="2948"/>
      <c r="F231" s="2948">
        <v>1760</v>
      </c>
      <c r="G231" s="2961"/>
    </row>
    <row r="232" spans="1:7" s="2782" customFormat="1" ht="14.25" customHeight="1">
      <c r="A232" s="2948" t="s">
        <v>304</v>
      </c>
      <c r="B232" s="2948" t="s">
        <v>3096</v>
      </c>
      <c r="C232" s="2948"/>
      <c r="D232" s="2948"/>
      <c r="E232" s="2948"/>
      <c r="F232" s="2948">
        <v>1840</v>
      </c>
      <c r="G232" s="2961"/>
    </row>
    <row r="233" spans="1:7" s="2782" customFormat="1" ht="14.25" customHeight="1" thickBot="1">
      <c r="A233" s="2962" t="s">
        <v>304</v>
      </c>
      <c r="B233" s="2955" t="s">
        <v>3027</v>
      </c>
      <c r="C233" s="2955"/>
      <c r="D233" s="2955"/>
      <c r="E233" s="2955"/>
      <c r="F233" s="2955">
        <v>1770</v>
      </c>
      <c r="G233" s="2963"/>
    </row>
    <row r="234" spans="1:7" s="2782" customFormat="1" ht="14.25" customHeight="1">
      <c r="A234" s="2953" t="s">
        <v>305</v>
      </c>
      <c r="B234" s="2944" t="s">
        <v>3097</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2868</v>
      </c>
      <c r="C238" s="2948">
        <v>6920</v>
      </c>
      <c r="D238" s="2948">
        <v>6890</v>
      </c>
      <c r="E238" s="2948">
        <v>8640</v>
      </c>
      <c r="F238" s="2948">
        <v>1310</v>
      </c>
      <c r="G238" s="2948">
        <v>4230</v>
      </c>
    </row>
    <row r="239" spans="1:7" s="2782" customFormat="1" ht="14.25" customHeight="1">
      <c r="A239" s="2948" t="s">
        <v>305</v>
      </c>
      <c r="B239" s="2948" t="s">
        <v>3098</v>
      </c>
      <c r="C239" s="2948">
        <v>6780</v>
      </c>
      <c r="D239" s="2948">
        <v>6750</v>
      </c>
      <c r="E239" s="2948">
        <v>8440</v>
      </c>
      <c r="F239" s="2948">
        <v>1160</v>
      </c>
      <c r="G239" s="2948">
        <v>4140</v>
      </c>
    </row>
    <row r="240" spans="1:7" s="2782" customFormat="1" ht="14.25" customHeight="1">
      <c r="A240" s="2948" t="s">
        <v>305</v>
      </c>
      <c r="B240" s="2948" t="s">
        <v>3099</v>
      </c>
      <c r="C240" s="2948">
        <v>5420</v>
      </c>
      <c r="D240" s="2948">
        <v>5380</v>
      </c>
      <c r="E240" s="2948">
        <v>6640</v>
      </c>
      <c r="F240" s="2948">
        <v>1020</v>
      </c>
      <c r="G240" s="2948">
        <v>3300</v>
      </c>
    </row>
    <row r="241" spans="1:7" s="2782" customFormat="1" ht="14.25" customHeight="1">
      <c r="A241" s="2948" t="s">
        <v>305</v>
      </c>
      <c r="B241" s="2948" t="s">
        <v>3100</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3101</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3102</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3103</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3104</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3105</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2930</v>
      </c>
      <c r="C258" s="2948">
        <v>6190</v>
      </c>
      <c r="D258" s="2948">
        <v>6160</v>
      </c>
      <c r="E258" s="2948">
        <v>7680</v>
      </c>
      <c r="F258" s="2948">
        <v>1170</v>
      </c>
      <c r="G258" s="2948">
        <v>3780</v>
      </c>
    </row>
    <row r="259" spans="1:7" s="2782" customFormat="1" ht="14.25" customHeight="1">
      <c r="A259" s="2948" t="s">
        <v>305</v>
      </c>
      <c r="B259" s="2948" t="s">
        <v>3106</v>
      </c>
      <c r="C259" s="2948">
        <v>7610</v>
      </c>
      <c r="D259" s="2948">
        <v>7570</v>
      </c>
      <c r="E259" s="2948">
        <v>9350</v>
      </c>
      <c r="F259" s="2948">
        <v>1350</v>
      </c>
      <c r="G259" s="2948">
        <v>4650</v>
      </c>
    </row>
    <row r="260" spans="1:7" s="2782" customFormat="1" ht="14.25" customHeight="1">
      <c r="A260" s="2948" t="s">
        <v>305</v>
      </c>
      <c r="B260" s="2948" t="s">
        <v>3107</v>
      </c>
      <c r="C260" s="2948">
        <v>6920</v>
      </c>
      <c r="D260" s="2948">
        <v>6880</v>
      </c>
      <c r="E260" s="2948">
        <v>8380</v>
      </c>
      <c r="F260" s="2948">
        <v>1160</v>
      </c>
      <c r="G260" s="2948">
        <v>4220</v>
      </c>
    </row>
    <row r="261" spans="1:7" s="2782" customFormat="1" ht="14.25" customHeight="1">
      <c r="A261" s="2948" t="s">
        <v>305</v>
      </c>
      <c r="B261" s="2948" t="s">
        <v>3108</v>
      </c>
      <c r="C261" s="2948">
        <v>6850</v>
      </c>
      <c r="D261" s="2948">
        <v>6810</v>
      </c>
      <c r="E261" s="2948">
        <v>8290</v>
      </c>
      <c r="F261" s="2948">
        <v>1130</v>
      </c>
      <c r="G261" s="2948">
        <v>4180</v>
      </c>
    </row>
    <row r="262" spans="1:7" s="2782" customFormat="1" ht="14.25" customHeight="1">
      <c r="A262" s="2948" t="s">
        <v>305</v>
      </c>
      <c r="B262" s="2948" t="s">
        <v>3109</v>
      </c>
      <c r="C262" s="2948">
        <v>5860</v>
      </c>
      <c r="D262" s="2948">
        <v>5820</v>
      </c>
      <c r="E262" s="2948">
        <v>7640</v>
      </c>
      <c r="F262" s="2948">
        <v>1070</v>
      </c>
      <c r="G262" s="2948">
        <v>3570</v>
      </c>
    </row>
    <row r="263" spans="1:7" s="2782" customFormat="1" ht="14.25" customHeight="1">
      <c r="A263" s="2948" t="s">
        <v>305</v>
      </c>
      <c r="B263" s="2948" t="s">
        <v>3110</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3111</v>
      </c>
      <c r="C265" s="2948"/>
      <c r="D265" s="2948"/>
      <c r="E265" s="2948"/>
      <c r="F265" s="2948">
        <v>1500</v>
      </c>
      <c r="G265" s="2948"/>
    </row>
    <row r="266" spans="1:7" s="2782" customFormat="1" ht="14.25" customHeight="1">
      <c r="A266" s="2948" t="s">
        <v>305</v>
      </c>
      <c r="B266" s="2948" t="s">
        <v>3112</v>
      </c>
      <c r="C266" s="2948"/>
      <c r="D266" s="2948"/>
      <c r="E266" s="2948"/>
      <c r="F266" s="2948">
        <v>1500</v>
      </c>
      <c r="G266" s="2948"/>
    </row>
    <row r="267" spans="1:7" s="2782" customFormat="1" ht="14.25" customHeight="1">
      <c r="A267" s="2948" t="s">
        <v>305</v>
      </c>
      <c r="B267" s="2948" t="s">
        <v>3113</v>
      </c>
      <c r="C267" s="2948"/>
      <c r="D267" s="2948"/>
      <c r="E267" s="2948"/>
      <c r="F267" s="2948">
        <v>1500</v>
      </c>
      <c r="G267" s="2948"/>
    </row>
    <row r="268" spans="1:7" s="2782" customFormat="1" ht="14.25" customHeight="1">
      <c r="A268" s="2948" t="s">
        <v>305</v>
      </c>
      <c r="B268" s="2948" t="s">
        <v>3114</v>
      </c>
      <c r="C268" s="2948"/>
      <c r="D268" s="2948"/>
      <c r="E268" s="2948"/>
      <c r="F268" s="2948">
        <v>1290</v>
      </c>
      <c r="G268" s="2948"/>
    </row>
    <row r="269" spans="1:7" s="2782" customFormat="1" ht="14.25" customHeight="1">
      <c r="A269" s="2948" t="s">
        <v>305</v>
      </c>
      <c r="B269" s="2948" t="s">
        <v>3115</v>
      </c>
      <c r="C269" s="2948"/>
      <c r="D269" s="2948"/>
      <c r="E269" s="2948"/>
      <c r="F269" s="2948">
        <v>1150</v>
      </c>
      <c r="G269" s="2948"/>
    </row>
    <row r="270" spans="1:7" s="2782" customFormat="1" ht="14.25" customHeight="1">
      <c r="A270" s="2948" t="s">
        <v>305</v>
      </c>
      <c r="B270" s="2948" t="s">
        <v>3116</v>
      </c>
      <c r="C270" s="2948"/>
      <c r="D270" s="2948"/>
      <c r="E270" s="2948"/>
      <c r="F270" s="2948">
        <v>1380</v>
      </c>
      <c r="G270" s="2948"/>
    </row>
    <row r="271" spans="1:7" s="2782" customFormat="1" ht="14.25" customHeight="1">
      <c r="A271" s="2948" t="s">
        <v>305</v>
      </c>
      <c r="B271" s="2948" t="s">
        <v>3117</v>
      </c>
      <c r="C271" s="2948"/>
      <c r="D271" s="2948"/>
      <c r="E271" s="2948"/>
      <c r="F271" s="2948">
        <v>1460</v>
      </c>
      <c r="G271" s="2948"/>
    </row>
    <row r="272" spans="1:7" s="2782" customFormat="1" ht="14.25" customHeight="1">
      <c r="A272" s="2948" t="s">
        <v>305</v>
      </c>
      <c r="B272" s="2948" t="s">
        <v>3118</v>
      </c>
      <c r="C272" s="2948"/>
      <c r="D272" s="2948"/>
      <c r="E272" s="2948"/>
      <c r="F272" s="2948">
        <v>1460</v>
      </c>
      <c r="G272" s="2948"/>
    </row>
    <row r="273" spans="1:7" s="2782" customFormat="1" ht="14.25" customHeight="1">
      <c r="A273" s="2948" t="s">
        <v>305</v>
      </c>
      <c r="B273" s="2948" t="s">
        <v>3011</v>
      </c>
      <c r="C273" s="2948"/>
      <c r="D273" s="2948"/>
      <c r="E273" s="2948"/>
      <c r="F273" s="2948">
        <v>1490</v>
      </c>
      <c r="G273" s="2948"/>
    </row>
    <row r="274" spans="1:7" s="2782" customFormat="1" ht="14.25" customHeight="1">
      <c r="A274" s="2948" t="s">
        <v>305</v>
      </c>
      <c r="B274" s="2948" t="s">
        <v>3119</v>
      </c>
      <c r="C274" s="2948"/>
      <c r="D274" s="2948"/>
      <c r="E274" s="2948"/>
      <c r="F274" s="2948">
        <v>1490</v>
      </c>
      <c r="G274" s="2948"/>
    </row>
    <row r="275" spans="1:7" s="2782" customFormat="1" ht="14.25" customHeight="1">
      <c r="A275" s="2948" t="s">
        <v>305</v>
      </c>
      <c r="B275" s="2948" t="s">
        <v>3120</v>
      </c>
      <c r="C275" s="2948"/>
      <c r="D275" s="2948"/>
      <c r="E275" s="2948"/>
      <c r="F275" s="2948">
        <v>1220</v>
      </c>
      <c r="G275" s="2948"/>
    </row>
    <row r="276" spans="1:7" s="2782" customFormat="1" ht="14.25" customHeight="1" thickBot="1">
      <c r="A276" s="2956" t="s">
        <v>305</v>
      </c>
      <c r="B276" s="2958" t="s">
        <v>3121</v>
      </c>
      <c r="C276" s="2959"/>
      <c r="D276" s="2959"/>
      <c r="E276" s="2959"/>
      <c r="F276" s="2959">
        <v>1380</v>
      </c>
      <c r="G276" s="2959"/>
    </row>
    <row r="277" spans="1:7" s="2782" customFormat="1" ht="14.25" customHeight="1">
      <c r="A277" s="2953" t="s">
        <v>306</v>
      </c>
      <c r="B277" s="2944" t="s">
        <v>3122</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3123</v>
      </c>
      <c r="C279" s="2948">
        <v>4760</v>
      </c>
      <c r="D279" s="2948">
        <v>4720</v>
      </c>
      <c r="E279" s="2948">
        <v>5540</v>
      </c>
      <c r="F279" s="2948">
        <v>810</v>
      </c>
      <c r="G279" s="2961">
        <v>2850</v>
      </c>
    </row>
    <row r="280" spans="1:7" s="2782" customFormat="1" ht="14.25" customHeight="1">
      <c r="A280" s="2948" t="s">
        <v>306</v>
      </c>
      <c r="B280" s="2948" t="s">
        <v>3124</v>
      </c>
      <c r="C280" s="2948">
        <v>4010</v>
      </c>
      <c r="D280" s="2948">
        <v>3950</v>
      </c>
      <c r="E280" s="2948">
        <v>4710</v>
      </c>
      <c r="F280" s="2948">
        <v>800</v>
      </c>
      <c r="G280" s="2961">
        <v>2390</v>
      </c>
    </row>
    <row r="281" spans="1:7" s="2782" customFormat="1" ht="14.25" customHeight="1">
      <c r="A281" s="2948" t="s">
        <v>306</v>
      </c>
      <c r="B281" s="2948" t="s">
        <v>3125</v>
      </c>
      <c r="C281" s="2948">
        <v>4480</v>
      </c>
      <c r="D281" s="2948">
        <v>4420</v>
      </c>
      <c r="E281" s="2948">
        <v>5230</v>
      </c>
      <c r="F281" s="2948">
        <v>870</v>
      </c>
      <c r="G281" s="2961">
        <v>2660</v>
      </c>
    </row>
    <row r="282" spans="1:7" s="2782" customFormat="1" ht="14.25" customHeight="1">
      <c r="A282" s="2948" t="s">
        <v>306</v>
      </c>
      <c r="B282" s="2948" t="s">
        <v>3126</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3127</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3128</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2903</v>
      </c>
      <c r="C293" s="2948">
        <v>5320</v>
      </c>
      <c r="D293" s="2948">
        <v>5270</v>
      </c>
      <c r="E293" s="2948">
        <v>6160</v>
      </c>
      <c r="F293" s="2948">
        <v>990</v>
      </c>
      <c r="G293" s="2961">
        <v>3170</v>
      </c>
    </row>
    <row r="294" spans="1:7" s="2782" customFormat="1" ht="14.25" customHeight="1">
      <c r="A294" s="2948" t="s">
        <v>306</v>
      </c>
      <c r="B294" s="2948" t="s">
        <v>3129</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2922</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3130</v>
      </c>
      <c r="C302" s="2948">
        <v>5520</v>
      </c>
      <c r="D302" s="2948">
        <v>5470</v>
      </c>
      <c r="E302" s="2948">
        <v>6410</v>
      </c>
      <c r="F302" s="2948">
        <v>950</v>
      </c>
      <c r="G302" s="2961">
        <v>3300</v>
      </c>
    </row>
    <row r="303" spans="1:7" s="2782" customFormat="1" ht="14.25" customHeight="1">
      <c r="A303" s="2948" t="s">
        <v>306</v>
      </c>
      <c r="B303" s="2948" t="s">
        <v>2942</v>
      </c>
      <c r="C303" s="2948">
        <v>5630</v>
      </c>
      <c r="D303" s="2948">
        <v>5590</v>
      </c>
      <c r="E303" s="2948">
        <v>6550</v>
      </c>
      <c r="F303" s="2948">
        <v>1010</v>
      </c>
      <c r="G303" s="2961">
        <v>3370</v>
      </c>
    </row>
    <row r="304" spans="1:7" s="2782" customFormat="1" ht="14.25" customHeight="1">
      <c r="A304" s="2948" t="s">
        <v>306</v>
      </c>
      <c r="B304" s="2948" t="s">
        <v>2949</v>
      </c>
      <c r="C304" s="2948">
        <v>5680</v>
      </c>
      <c r="D304" s="2948">
        <v>5620</v>
      </c>
      <c r="E304" s="2948">
        <v>6620</v>
      </c>
      <c r="F304" s="2948">
        <v>1050</v>
      </c>
      <c r="G304" s="2961">
        <v>3390</v>
      </c>
    </row>
    <row r="305" spans="1:7" s="2782" customFormat="1" ht="14.25" customHeight="1">
      <c r="A305" s="2948" t="s">
        <v>306</v>
      </c>
      <c r="B305" s="2948" t="s">
        <v>2955</v>
      </c>
      <c r="C305" s="2948">
        <v>5590</v>
      </c>
      <c r="D305" s="2948">
        <v>5530</v>
      </c>
      <c r="E305" s="2948">
        <v>6460</v>
      </c>
      <c r="F305" s="2948">
        <v>900</v>
      </c>
      <c r="G305" s="2961">
        <v>3340</v>
      </c>
    </row>
    <row r="306" spans="1:7" s="2782" customFormat="1" ht="14.25" customHeight="1">
      <c r="A306" s="2948" t="s">
        <v>306</v>
      </c>
      <c r="B306" s="2948" t="s">
        <v>3131</v>
      </c>
      <c r="C306" s="2948">
        <v>5560</v>
      </c>
      <c r="D306" s="2948">
        <v>5510</v>
      </c>
      <c r="E306" s="2948">
        <v>6440</v>
      </c>
      <c r="F306" s="2948">
        <v>900</v>
      </c>
      <c r="G306" s="2961">
        <v>3320</v>
      </c>
    </row>
    <row r="307" spans="1:7" s="2782" customFormat="1" ht="14.25" customHeight="1">
      <c r="A307" s="2948" t="s">
        <v>306</v>
      </c>
      <c r="B307" s="2948" t="s">
        <v>2967</v>
      </c>
      <c r="C307" s="2948">
        <v>5650</v>
      </c>
      <c r="D307" s="2948">
        <v>5600</v>
      </c>
      <c r="E307" s="2948">
        <v>6590</v>
      </c>
      <c r="F307" s="2948">
        <v>930</v>
      </c>
      <c r="G307" s="2961">
        <v>3380</v>
      </c>
    </row>
    <row r="308" spans="1:7" s="2782" customFormat="1" ht="14.25" customHeight="1">
      <c r="A308" s="2948" t="s">
        <v>306</v>
      </c>
      <c r="B308" s="2948" t="s">
        <v>3132</v>
      </c>
      <c r="C308" s="2948">
        <v>5620</v>
      </c>
      <c r="D308" s="2948">
        <v>5580</v>
      </c>
      <c r="E308" s="2948">
        <v>6540</v>
      </c>
      <c r="F308" s="2948">
        <v>910</v>
      </c>
      <c r="G308" s="2961">
        <v>3370</v>
      </c>
    </row>
    <row r="309" spans="1:7" s="2782" customFormat="1" ht="14.25" customHeight="1">
      <c r="A309" s="2948" t="s">
        <v>306</v>
      </c>
      <c r="B309" s="2948" t="s">
        <v>3133</v>
      </c>
      <c r="C309" s="2948">
        <v>5060</v>
      </c>
      <c r="D309" s="2948">
        <v>5020</v>
      </c>
      <c r="E309" s="2948">
        <v>6370</v>
      </c>
      <c r="F309" s="2948">
        <v>800</v>
      </c>
      <c r="G309" s="2961">
        <v>3020</v>
      </c>
    </row>
    <row r="310" spans="1:7" s="2782" customFormat="1" ht="14.25" customHeight="1">
      <c r="A310" s="2948" t="s">
        <v>306</v>
      </c>
      <c r="B310" s="2948" t="s">
        <v>2982</v>
      </c>
      <c r="C310" s="2948">
        <v>5150</v>
      </c>
      <c r="D310" s="2948">
        <v>5110</v>
      </c>
      <c r="E310" s="2948">
        <v>6500</v>
      </c>
      <c r="F310" s="2948">
        <v>880</v>
      </c>
      <c r="G310" s="2961">
        <v>3080</v>
      </c>
    </row>
    <row r="311" spans="1:7" s="2782" customFormat="1" ht="14.25" customHeight="1">
      <c r="A311" s="2948" t="s">
        <v>306</v>
      </c>
      <c r="B311" s="2948" t="s">
        <v>3134</v>
      </c>
      <c r="C311" s="2948">
        <v>4750</v>
      </c>
      <c r="D311" s="2948">
        <v>4710</v>
      </c>
      <c r="E311" s="2948">
        <v>5510</v>
      </c>
      <c r="F311" s="2948">
        <v>880</v>
      </c>
      <c r="G311" s="2961">
        <v>2840</v>
      </c>
    </row>
    <row r="312" spans="1:7" s="2782" customFormat="1" ht="14.25" customHeight="1">
      <c r="A312" s="2948" t="s">
        <v>306</v>
      </c>
      <c r="B312" s="2948" t="s">
        <v>2992</v>
      </c>
      <c r="C312" s="2948">
        <v>4690</v>
      </c>
      <c r="D312" s="2948">
        <v>4640</v>
      </c>
      <c r="E312" s="2948">
        <v>5420</v>
      </c>
      <c r="F312" s="2948">
        <v>800</v>
      </c>
      <c r="G312" s="2961">
        <v>2800</v>
      </c>
    </row>
    <row r="313" spans="1:7" s="2782" customFormat="1" ht="14.25" customHeight="1">
      <c r="A313" s="2948" t="s">
        <v>306</v>
      </c>
      <c r="B313" s="2948" t="s">
        <v>2997</v>
      </c>
      <c r="C313" s="2948">
        <v>4810</v>
      </c>
      <c r="D313" s="2948">
        <v>4760</v>
      </c>
      <c r="E313" s="2948">
        <v>5550</v>
      </c>
      <c r="F313" s="2948">
        <v>920</v>
      </c>
      <c r="G313" s="2961">
        <v>2870</v>
      </c>
    </row>
    <row r="314" spans="1:7" s="2782" customFormat="1" ht="14.25" customHeight="1">
      <c r="A314" s="2948" t="s">
        <v>306</v>
      </c>
      <c r="B314" s="2948" t="s">
        <v>3135</v>
      </c>
      <c r="C314" s="2948"/>
      <c r="D314" s="2948"/>
      <c r="E314" s="2948"/>
      <c r="F314" s="2948">
        <v>1020</v>
      </c>
      <c r="G314" s="2961"/>
    </row>
    <row r="315" spans="1:7" s="2782" customFormat="1" ht="14.25" customHeight="1">
      <c r="A315" s="2948" t="s">
        <v>306</v>
      </c>
      <c r="B315" s="2948" t="s">
        <v>3136</v>
      </c>
      <c r="C315" s="2948"/>
      <c r="D315" s="2948"/>
      <c r="E315" s="2948"/>
      <c r="F315" s="2948">
        <v>1050</v>
      </c>
      <c r="G315" s="2961"/>
    </row>
    <row r="316" spans="1:7" s="2782" customFormat="1" ht="14.25" customHeight="1">
      <c r="A316" s="2948" t="s">
        <v>306</v>
      </c>
      <c r="B316" s="2948" t="s">
        <v>3012</v>
      </c>
      <c r="C316" s="2948"/>
      <c r="D316" s="2948"/>
      <c r="E316" s="2948"/>
      <c r="F316" s="2948">
        <v>900</v>
      </c>
      <c r="G316" s="2961"/>
    </row>
    <row r="317" spans="1:7" s="2782" customFormat="1" ht="14.25" customHeight="1">
      <c r="A317" s="2948" t="s">
        <v>306</v>
      </c>
      <c r="B317" s="2948" t="s">
        <v>3137</v>
      </c>
      <c r="C317" s="2948"/>
      <c r="D317" s="2948"/>
      <c r="E317" s="2948"/>
      <c r="F317" s="2948">
        <v>920</v>
      </c>
      <c r="G317" s="2961"/>
    </row>
    <row r="318" spans="1:7" s="2782" customFormat="1" ht="14.25" customHeight="1">
      <c r="A318" s="2948" t="s">
        <v>306</v>
      </c>
      <c r="B318" s="2948" t="s">
        <v>3138</v>
      </c>
      <c r="C318" s="2948"/>
      <c r="D318" s="2948"/>
      <c r="E318" s="2948"/>
      <c r="F318" s="2948">
        <v>1080</v>
      </c>
      <c r="G318" s="2961"/>
    </row>
    <row r="319" spans="1:7" s="2782" customFormat="1" ht="14.25" customHeight="1">
      <c r="A319" s="2948" t="s">
        <v>306</v>
      </c>
      <c r="B319" s="2948" t="s">
        <v>3025</v>
      </c>
      <c r="C319" s="2948"/>
      <c r="D319" s="2948"/>
      <c r="E319" s="2948"/>
      <c r="F319" s="2948">
        <v>1020</v>
      </c>
      <c r="G319" s="2961"/>
    </row>
    <row r="320" spans="1:7" s="2782" customFormat="1" ht="14.25" customHeight="1">
      <c r="A320" s="2948" t="s">
        <v>306</v>
      </c>
      <c r="B320" s="2948" t="s">
        <v>3028</v>
      </c>
      <c r="C320" s="2948"/>
      <c r="D320" s="2948"/>
      <c r="E320" s="2948"/>
      <c r="F320" s="2948">
        <v>1050</v>
      </c>
      <c r="G320" s="2961"/>
    </row>
    <row r="321" spans="1:7" s="2782" customFormat="1" ht="14.25" customHeight="1">
      <c r="A321" s="2948" t="s">
        <v>306</v>
      </c>
      <c r="B321" s="2948" t="s">
        <v>3030</v>
      </c>
      <c r="C321" s="2948"/>
      <c r="D321" s="2948"/>
      <c r="E321" s="2948"/>
      <c r="F321" s="2948">
        <v>960</v>
      </c>
      <c r="G321" s="2961"/>
    </row>
    <row r="322" spans="1:7" s="2782" customFormat="1" ht="14.25" customHeight="1">
      <c r="A322" s="2948" t="s">
        <v>306</v>
      </c>
      <c r="B322" s="2948" t="s">
        <v>3032</v>
      </c>
      <c r="C322" s="2948"/>
      <c r="D322" s="2948"/>
      <c r="E322" s="2948"/>
      <c r="F322" s="2948">
        <v>960</v>
      </c>
      <c r="G322" s="2961"/>
    </row>
    <row r="323" spans="1:7" s="2782" customFormat="1" ht="14.25" customHeight="1">
      <c r="A323" s="2948" t="s">
        <v>306</v>
      </c>
      <c r="B323" s="2948" t="s">
        <v>3034</v>
      </c>
      <c r="C323" s="2948"/>
      <c r="D323" s="2948"/>
      <c r="E323" s="2948"/>
      <c r="F323" s="2948">
        <v>880</v>
      </c>
      <c r="G323" s="2961"/>
    </row>
    <row r="324" spans="1:7" s="2782" customFormat="1" ht="14.25" customHeight="1">
      <c r="A324" s="2948" t="s">
        <v>306</v>
      </c>
      <c r="B324" s="2948" t="s">
        <v>3036</v>
      </c>
      <c r="C324" s="2948"/>
      <c r="D324" s="2948"/>
      <c r="E324" s="2948"/>
      <c r="F324" s="2948">
        <v>930</v>
      </c>
      <c r="G324" s="2961"/>
    </row>
    <row r="325" spans="1:7" s="2782" customFormat="1" ht="14.25" customHeight="1">
      <c r="A325" s="2948" t="s">
        <v>306</v>
      </c>
      <c r="B325" s="2949" t="s">
        <v>3038</v>
      </c>
      <c r="C325" s="2948"/>
      <c r="D325" s="2948"/>
      <c r="E325" s="2948"/>
      <c r="F325" s="2948">
        <v>900</v>
      </c>
      <c r="G325" s="2961"/>
    </row>
    <row r="326" spans="1:7" s="2782" customFormat="1" ht="14.25" customHeight="1" thickBot="1">
      <c r="A326" s="2962" t="s">
        <v>306</v>
      </c>
      <c r="B326" s="2955" t="s">
        <v>3040</v>
      </c>
      <c r="C326" s="2955"/>
      <c r="D326" s="2955"/>
      <c r="E326" s="2955"/>
      <c r="F326" s="2955">
        <v>790</v>
      </c>
      <c r="G326" s="2963"/>
    </row>
    <row r="327" spans="1:7" s="2782" customFormat="1" ht="14.25" customHeight="1">
      <c r="A327" s="2953" t="s">
        <v>307</v>
      </c>
      <c r="B327" s="2944" t="s">
        <v>3139</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3140</v>
      </c>
      <c r="C329" s="2948">
        <v>2730</v>
      </c>
      <c r="D329" s="2948">
        <v>2690</v>
      </c>
      <c r="E329" s="2948">
        <v>3100</v>
      </c>
      <c r="F329" s="2948">
        <v>660</v>
      </c>
      <c r="G329" s="2948">
        <v>1610</v>
      </c>
    </row>
    <row r="330" spans="1:7" s="2782" customFormat="1" ht="14.25" customHeight="1">
      <c r="A330" s="2948" t="s">
        <v>307</v>
      </c>
      <c r="B330" s="2948" t="s">
        <v>3141</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2874</v>
      </c>
      <c r="C332" s="2948">
        <v>3520</v>
      </c>
      <c r="D332" s="2948">
        <v>3480</v>
      </c>
      <c r="E332" s="2948">
        <v>3830</v>
      </c>
      <c r="F332" s="2948">
        <v>720</v>
      </c>
      <c r="G332" s="2948">
        <v>2090</v>
      </c>
    </row>
    <row r="333" spans="1:7" s="2782" customFormat="1" ht="14.25" customHeight="1">
      <c r="A333" s="2948" t="s">
        <v>307</v>
      </c>
      <c r="B333" s="2948" t="s">
        <v>3142</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2884</v>
      </c>
      <c r="C336" s="2948">
        <v>3570</v>
      </c>
      <c r="D336" s="2948">
        <v>3530</v>
      </c>
      <c r="E336" s="2948">
        <v>3880</v>
      </c>
      <c r="F336" s="2948">
        <v>770</v>
      </c>
      <c r="G336" s="2948">
        <v>2110</v>
      </c>
    </row>
    <row r="337" spans="1:10" s="2782" customFormat="1" ht="14.25" customHeight="1">
      <c r="A337" s="2948" t="s">
        <v>307</v>
      </c>
      <c r="B337" s="2948" t="s">
        <v>3143</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3144</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3145</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2909</v>
      </c>
      <c r="C345" s="2948">
        <v>3190</v>
      </c>
      <c r="D345" s="2948">
        <v>3140</v>
      </c>
      <c r="E345" s="2948">
        <v>3450</v>
      </c>
      <c r="F345" s="2948">
        <v>720</v>
      </c>
      <c r="G345" s="2948">
        <v>1880</v>
      </c>
      <c r="J345" s="2782"/>
    </row>
    <row r="346" spans="1:10">
      <c r="A346" s="2948" t="s">
        <v>307</v>
      </c>
      <c r="B346" s="2948" t="s">
        <v>3146</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2918</v>
      </c>
      <c r="C348" s="2948">
        <v>4000</v>
      </c>
      <c r="D348" s="2948">
        <v>3950</v>
      </c>
      <c r="E348" s="2948">
        <v>4430</v>
      </c>
      <c r="F348" s="2948">
        <v>760</v>
      </c>
      <c r="G348" s="2948">
        <v>2360</v>
      </c>
      <c r="J348" s="2782"/>
    </row>
    <row r="349" spans="1:10">
      <c r="A349" s="2948" t="s">
        <v>307</v>
      </c>
      <c r="B349" s="2948" t="s">
        <v>2923</v>
      </c>
      <c r="C349" s="2948">
        <v>3820</v>
      </c>
      <c r="D349" s="2948">
        <v>3780</v>
      </c>
      <c r="E349" s="2948">
        <v>4170</v>
      </c>
      <c r="F349" s="2948">
        <v>710</v>
      </c>
      <c r="G349" s="2948">
        <v>2260</v>
      </c>
      <c r="J349" s="2782"/>
    </row>
    <row r="350" spans="1:10">
      <c r="A350" s="2948" t="s">
        <v>307</v>
      </c>
      <c r="B350" s="2948" t="s">
        <v>3147</v>
      </c>
      <c r="C350" s="2948">
        <v>3760</v>
      </c>
      <c r="D350" s="2948">
        <v>3730</v>
      </c>
      <c r="E350" s="2948">
        <v>4100</v>
      </c>
      <c r="F350" s="2948">
        <v>800</v>
      </c>
      <c r="G350" s="2948">
        <v>2230</v>
      </c>
      <c r="J350" s="2782"/>
    </row>
    <row r="351" spans="1:10">
      <c r="A351" s="2948" t="s">
        <v>307</v>
      </c>
      <c r="B351" s="2948" t="s">
        <v>2931</v>
      </c>
      <c r="C351" s="2948">
        <v>3610</v>
      </c>
      <c r="D351" s="2948">
        <v>3580</v>
      </c>
      <c r="E351" s="2948">
        <v>3930</v>
      </c>
      <c r="F351" s="2948">
        <v>700</v>
      </c>
      <c r="G351" s="2948">
        <v>2140</v>
      </c>
      <c r="J351" s="2782"/>
    </row>
    <row r="352" spans="1:10">
      <c r="A352" s="2948" t="s">
        <v>307</v>
      </c>
      <c r="B352" s="2948" t="s">
        <v>2936</v>
      </c>
      <c r="C352" s="2948">
        <v>3670</v>
      </c>
      <c r="D352" s="2948">
        <v>3630</v>
      </c>
      <c r="E352" s="2948">
        <v>4000</v>
      </c>
      <c r="F352" s="2948">
        <v>750</v>
      </c>
      <c r="G352" s="2948">
        <v>2180</v>
      </c>
    </row>
    <row r="353" spans="1:7" s="2783" customFormat="1">
      <c r="A353" s="2948" t="s">
        <v>307</v>
      </c>
      <c r="B353" s="2948" t="s">
        <v>3148</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2956</v>
      </c>
      <c r="C355" s="2948">
        <v>3650</v>
      </c>
      <c r="D355" s="2948">
        <v>3610</v>
      </c>
      <c r="E355" s="2948">
        <v>4200</v>
      </c>
      <c r="F355" s="2948">
        <v>640</v>
      </c>
      <c r="G355" s="2948">
        <v>2160</v>
      </c>
    </row>
    <row r="356" spans="1:7" s="2783" customFormat="1">
      <c r="A356" s="2948" t="s">
        <v>307</v>
      </c>
      <c r="B356" s="2948" t="s">
        <v>2963</v>
      </c>
      <c r="C356" s="2948">
        <v>3260</v>
      </c>
      <c r="D356" s="2948">
        <v>3230</v>
      </c>
      <c r="E356" s="2948">
        <v>3740</v>
      </c>
      <c r="F356" s="2948">
        <v>600</v>
      </c>
      <c r="G356" s="2948">
        <v>1930</v>
      </c>
    </row>
    <row r="357" spans="1:7" s="2783" customFormat="1" ht="12" thickBot="1">
      <c r="A357" s="2956" t="s">
        <v>307</v>
      </c>
      <c r="B357" s="2959" t="s">
        <v>3149</v>
      </c>
      <c r="C357" s="2959">
        <v>3690</v>
      </c>
      <c r="D357" s="2959">
        <v>3650</v>
      </c>
      <c r="E357" s="2959">
        <v>4020</v>
      </c>
      <c r="F357" s="2959">
        <v>700</v>
      </c>
      <c r="G357" s="2959">
        <v>2190</v>
      </c>
    </row>
    <row r="358" spans="1:7" s="2783" customFormat="1">
      <c r="A358" s="2953" t="s">
        <v>3150</v>
      </c>
      <c r="B358" s="2944" t="s">
        <v>3151</v>
      </c>
      <c r="C358" s="2944">
        <v>2080</v>
      </c>
      <c r="D358" s="2944">
        <v>2040</v>
      </c>
      <c r="E358" s="2944">
        <v>2010</v>
      </c>
      <c r="F358" s="2944">
        <v>530</v>
      </c>
      <c r="G358" s="2960">
        <v>1230</v>
      </c>
    </row>
    <row r="359" spans="1:7" s="2783" customFormat="1">
      <c r="A359" s="2948" t="s">
        <v>3150</v>
      </c>
      <c r="B359" s="2948" t="s">
        <v>3152</v>
      </c>
      <c r="C359" s="2948">
        <v>1850</v>
      </c>
      <c r="D359" s="2948">
        <v>1820</v>
      </c>
      <c r="E359" s="2948">
        <v>1780</v>
      </c>
      <c r="F359" s="2948">
        <v>520</v>
      </c>
      <c r="G359" s="2961">
        <v>1100</v>
      </c>
    </row>
    <row r="360" spans="1:7" s="2783" customFormat="1">
      <c r="A360" s="2948" t="s">
        <v>3150</v>
      </c>
      <c r="B360" s="2948" t="s">
        <v>3153</v>
      </c>
      <c r="C360" s="2948">
        <v>2020</v>
      </c>
      <c r="D360" s="2948">
        <v>1990</v>
      </c>
      <c r="E360" s="2948">
        <v>1950</v>
      </c>
      <c r="F360" s="2948">
        <v>500</v>
      </c>
      <c r="G360" s="2961">
        <v>1200</v>
      </c>
    </row>
    <row r="361" spans="1:7" s="2783" customFormat="1">
      <c r="A361" s="2948" t="s">
        <v>3150</v>
      </c>
      <c r="B361" s="2948" t="s">
        <v>153</v>
      </c>
      <c r="C361" s="2948">
        <v>2260</v>
      </c>
      <c r="D361" s="2948">
        <v>2220</v>
      </c>
      <c r="E361" s="2948">
        <v>2180</v>
      </c>
      <c r="F361" s="2948">
        <v>580</v>
      </c>
      <c r="G361" s="2961">
        <v>1340</v>
      </c>
    </row>
    <row r="362" spans="1:7" s="2783" customFormat="1">
      <c r="A362" s="2948" t="s">
        <v>3150</v>
      </c>
      <c r="B362" s="2948" t="s">
        <v>3154</v>
      </c>
      <c r="C362" s="2948">
        <v>2650</v>
      </c>
      <c r="D362" s="2948">
        <v>2610</v>
      </c>
      <c r="E362" s="2948">
        <v>2570</v>
      </c>
      <c r="F362" s="2948">
        <v>630</v>
      </c>
      <c r="G362" s="2961">
        <v>1570</v>
      </c>
    </row>
    <row r="363" spans="1:7" s="2783" customFormat="1">
      <c r="A363" s="2948" t="s">
        <v>3150</v>
      </c>
      <c r="B363" s="2948" t="s">
        <v>2875</v>
      </c>
      <c r="C363" s="2948">
        <v>2390</v>
      </c>
      <c r="D363" s="2948">
        <v>2360</v>
      </c>
      <c r="E363" s="2948">
        <v>2320</v>
      </c>
      <c r="F363" s="2948">
        <v>600</v>
      </c>
      <c r="G363" s="2961">
        <v>1420</v>
      </c>
    </row>
    <row r="364" spans="1:7" s="2783" customFormat="1">
      <c r="A364" s="2948" t="s">
        <v>3150</v>
      </c>
      <c r="B364" s="2948" t="s">
        <v>3155</v>
      </c>
      <c r="C364" s="2948">
        <v>2050</v>
      </c>
      <c r="D364" s="2948">
        <v>2030</v>
      </c>
      <c r="E364" s="2948">
        <v>1990</v>
      </c>
      <c r="F364" s="2948">
        <v>550</v>
      </c>
      <c r="G364" s="2961">
        <v>1220</v>
      </c>
    </row>
    <row r="365" spans="1:7" s="2783" customFormat="1">
      <c r="A365" s="2948" t="s">
        <v>3150</v>
      </c>
      <c r="B365" s="2948" t="s">
        <v>200</v>
      </c>
      <c r="C365" s="2948">
        <v>2140</v>
      </c>
      <c r="D365" s="2948">
        <v>2100</v>
      </c>
      <c r="E365" s="2948">
        <v>2060</v>
      </c>
      <c r="F365" s="2948">
        <v>540</v>
      </c>
      <c r="G365" s="2961">
        <v>1270</v>
      </c>
    </row>
    <row r="366" spans="1:7" s="2783" customFormat="1">
      <c r="A366" s="2948" t="s">
        <v>3150</v>
      </c>
      <c r="B366" s="2948" t="s">
        <v>2882</v>
      </c>
      <c r="C366" s="2948">
        <v>2410</v>
      </c>
      <c r="D366" s="2948">
        <v>2370</v>
      </c>
      <c r="E366" s="2948">
        <v>2330</v>
      </c>
      <c r="F366" s="2948">
        <v>570</v>
      </c>
      <c r="G366" s="2961">
        <v>1440</v>
      </c>
    </row>
    <row r="367" spans="1:7" s="2783" customFormat="1">
      <c r="A367" s="2948" t="s">
        <v>3150</v>
      </c>
      <c r="B367" s="2948" t="s">
        <v>3156</v>
      </c>
      <c r="C367" s="2948">
        <v>2300</v>
      </c>
      <c r="D367" s="2948">
        <v>2260</v>
      </c>
      <c r="E367" s="2948">
        <v>2220</v>
      </c>
      <c r="F367" s="2948">
        <v>560</v>
      </c>
      <c r="G367" s="2961">
        <v>1370</v>
      </c>
    </row>
    <row r="368" spans="1:7" s="2783" customFormat="1">
      <c r="A368" s="2948" t="s">
        <v>3150</v>
      </c>
      <c r="B368" s="2948" t="s">
        <v>3157</v>
      </c>
      <c r="C368" s="2948">
        <v>2430</v>
      </c>
      <c r="D368" s="2948">
        <v>2390</v>
      </c>
      <c r="E368" s="2948">
        <v>2350</v>
      </c>
      <c r="F368" s="2948">
        <v>570</v>
      </c>
      <c r="G368" s="2961">
        <v>1450</v>
      </c>
    </row>
    <row r="369" spans="1:7" s="2783" customFormat="1">
      <c r="A369" s="2948" t="s">
        <v>3150</v>
      </c>
      <c r="B369" s="2948" t="s">
        <v>214</v>
      </c>
      <c r="C369" s="2948">
        <v>2320</v>
      </c>
      <c r="D369" s="2948">
        <v>2290</v>
      </c>
      <c r="E369" s="2948">
        <v>2250</v>
      </c>
      <c r="F369" s="2948">
        <v>550</v>
      </c>
      <c r="G369" s="2961">
        <v>1380</v>
      </c>
    </row>
    <row r="370" spans="1:7" s="2783" customFormat="1">
      <c r="A370" s="2948" t="s">
        <v>3150</v>
      </c>
      <c r="B370" s="2948" t="s">
        <v>221</v>
      </c>
      <c r="C370" s="2948">
        <v>2190</v>
      </c>
      <c r="D370" s="2948">
        <v>2170</v>
      </c>
      <c r="E370" s="2948">
        <v>2130</v>
      </c>
      <c r="F370" s="2948">
        <v>530</v>
      </c>
      <c r="G370" s="2961">
        <v>1310</v>
      </c>
    </row>
    <row r="371" spans="1:7" s="2783" customFormat="1">
      <c r="A371" s="2948" t="s">
        <v>3150</v>
      </c>
      <c r="B371" s="2948" t="s">
        <v>229</v>
      </c>
      <c r="C371" s="2948">
        <v>2460</v>
      </c>
      <c r="D371" s="2948">
        <v>2420</v>
      </c>
      <c r="E371" s="2948">
        <v>2370</v>
      </c>
      <c r="F371" s="2948">
        <v>560</v>
      </c>
      <c r="G371" s="2961">
        <v>1470</v>
      </c>
    </row>
    <row r="372" spans="1:7" s="2783" customFormat="1">
      <c r="A372" s="2948" t="s">
        <v>3150</v>
      </c>
      <c r="B372" s="2948" t="s">
        <v>3158</v>
      </c>
      <c r="C372" s="2948">
        <v>2250</v>
      </c>
      <c r="D372" s="2948">
        <v>2210</v>
      </c>
      <c r="E372" s="2948">
        <v>2180</v>
      </c>
      <c r="F372" s="2948">
        <v>550</v>
      </c>
      <c r="G372" s="2961">
        <v>1340</v>
      </c>
    </row>
    <row r="373" spans="1:7" s="2783" customFormat="1">
      <c r="A373" s="2948" t="s">
        <v>3150</v>
      </c>
      <c r="B373" s="2948" t="s">
        <v>258</v>
      </c>
      <c r="C373" s="2948">
        <v>2210</v>
      </c>
      <c r="D373" s="2948">
        <v>2190</v>
      </c>
      <c r="E373" s="2948">
        <v>2150</v>
      </c>
      <c r="F373" s="2948">
        <v>530</v>
      </c>
      <c r="G373" s="2961">
        <v>1320</v>
      </c>
    </row>
    <row r="374" spans="1:7" s="2783" customFormat="1">
      <c r="A374" s="2948" t="s">
        <v>3150</v>
      </c>
      <c r="B374" s="2948" t="s">
        <v>266</v>
      </c>
      <c r="C374" s="2948">
        <v>2320</v>
      </c>
      <c r="D374" s="2948">
        <v>2280</v>
      </c>
      <c r="E374" s="2948">
        <v>2230</v>
      </c>
      <c r="F374" s="2948">
        <v>580</v>
      </c>
      <c r="G374" s="2961">
        <v>1380</v>
      </c>
    </row>
    <row r="375" spans="1:7" s="2783" customFormat="1">
      <c r="A375" s="2948" t="s">
        <v>3150</v>
      </c>
      <c r="B375" s="2948" t="s">
        <v>3159</v>
      </c>
      <c r="C375" s="2948">
        <v>2090</v>
      </c>
      <c r="D375" s="2948">
        <v>2050</v>
      </c>
      <c r="E375" s="2948">
        <v>2020</v>
      </c>
      <c r="F375" s="2948">
        <v>520</v>
      </c>
      <c r="G375" s="2961">
        <v>1240</v>
      </c>
    </row>
    <row r="376" spans="1:7" s="2783" customFormat="1">
      <c r="A376" s="2948" t="s">
        <v>3150</v>
      </c>
      <c r="B376" s="2948" t="s">
        <v>277</v>
      </c>
      <c r="C376" s="2948">
        <v>2010</v>
      </c>
      <c r="D376" s="2948">
        <v>1980</v>
      </c>
      <c r="E376" s="2948">
        <v>1940</v>
      </c>
      <c r="F376" s="2948">
        <v>540</v>
      </c>
      <c r="G376" s="2961">
        <v>1190</v>
      </c>
    </row>
    <row r="377" spans="1:7" s="2783" customFormat="1" ht="12" thickBot="1">
      <c r="A377" s="2956" t="s">
        <v>3150</v>
      </c>
      <c r="B377" s="2959" t="s">
        <v>2912</v>
      </c>
      <c r="C377" s="2959">
        <v>1930</v>
      </c>
      <c r="D377" s="2959">
        <v>1890</v>
      </c>
      <c r="E377" s="2959">
        <v>1860</v>
      </c>
      <c r="F377" s="2959">
        <v>530</v>
      </c>
      <c r="G377" s="2964">
        <v>1150</v>
      </c>
    </row>
    <row r="378" spans="1:7" s="2783" customFormat="1">
      <c r="A378" s="2965" t="s">
        <v>3160</v>
      </c>
      <c r="B378" s="2944" t="s">
        <v>3161</v>
      </c>
      <c r="C378" s="2944">
        <v>1520</v>
      </c>
      <c r="D378" s="2944">
        <v>1490</v>
      </c>
      <c r="E378" s="2944">
        <v>1460</v>
      </c>
      <c r="F378" s="2944">
        <v>460</v>
      </c>
      <c r="G378" s="2960">
        <v>940</v>
      </c>
    </row>
    <row r="379" spans="1:7" s="2783" customFormat="1">
      <c r="A379" s="2966" t="s">
        <v>3160</v>
      </c>
      <c r="B379" s="2948" t="s">
        <v>3162</v>
      </c>
      <c r="C379" s="2948">
        <v>1500</v>
      </c>
      <c r="D379" s="2948">
        <v>1470</v>
      </c>
      <c r="E379" s="2948">
        <v>1430</v>
      </c>
      <c r="F379" s="2948">
        <v>460</v>
      </c>
      <c r="G379" s="2961">
        <v>920</v>
      </c>
    </row>
    <row r="380" spans="1:7" s="2783" customFormat="1">
      <c r="A380" s="2966" t="s">
        <v>3160</v>
      </c>
      <c r="B380" s="2948" t="s">
        <v>3163</v>
      </c>
      <c r="C380" s="2948">
        <v>1620</v>
      </c>
      <c r="D380" s="2948">
        <v>1590</v>
      </c>
      <c r="E380" s="2948">
        <v>1560</v>
      </c>
      <c r="F380" s="2948">
        <v>480</v>
      </c>
      <c r="G380" s="2961">
        <v>1000</v>
      </c>
    </row>
    <row r="381" spans="1:7" s="2783" customFormat="1">
      <c r="A381" s="2966" t="s">
        <v>3160</v>
      </c>
      <c r="B381" s="2948" t="s">
        <v>3164</v>
      </c>
      <c r="C381" s="2948">
        <v>1460</v>
      </c>
      <c r="D381" s="2948">
        <v>1430</v>
      </c>
      <c r="E381" s="2948">
        <v>1390</v>
      </c>
      <c r="F381" s="2948">
        <v>450</v>
      </c>
      <c r="G381" s="2961">
        <v>900</v>
      </c>
    </row>
    <row r="382" spans="1:7" s="2783" customFormat="1">
      <c r="A382" s="2966" t="s">
        <v>3160</v>
      </c>
      <c r="B382" s="2948" t="s">
        <v>3165</v>
      </c>
      <c r="C382" s="2948">
        <v>1310</v>
      </c>
      <c r="D382" s="2948">
        <v>1280</v>
      </c>
      <c r="E382" s="2948">
        <v>1250</v>
      </c>
      <c r="F382" s="2948">
        <v>440</v>
      </c>
      <c r="G382" s="2961">
        <v>800</v>
      </c>
    </row>
    <row r="383" spans="1:7" s="2783" customFormat="1">
      <c r="A383" s="2966" t="s">
        <v>3160</v>
      </c>
      <c r="B383" s="2948" t="s">
        <v>3166</v>
      </c>
      <c r="C383" s="2948">
        <v>1260</v>
      </c>
      <c r="D383" s="2948">
        <v>1230</v>
      </c>
      <c r="E383" s="2948">
        <v>1200</v>
      </c>
      <c r="F383" s="2948">
        <v>420</v>
      </c>
      <c r="G383" s="2961">
        <v>770</v>
      </c>
    </row>
    <row r="384" spans="1:7" s="2783" customFormat="1" ht="12" thickBot="1">
      <c r="A384" s="2967" t="s">
        <v>3160</v>
      </c>
      <c r="B384" s="2955" t="s">
        <v>3167</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45889</v>
      </c>
      <c r="D1" s="1217" t="s">
        <v>603</v>
      </c>
      <c r="E1" s="1212">
        <f>'数据-取费表'!B22</f>
        <v>3</v>
      </c>
      <c r="F1" s="1217" t="s">
        <v>604</v>
      </c>
      <c r="G1" s="1213">
        <f ca="1">INDIRECT("d"&amp;$K$1)/100</f>
        <v>0.03</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2296</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924</v>
      </c>
      <c r="B2" s="3207" t="s">
        <v>925</v>
      </c>
      <c r="C2" s="3207" t="s">
        <v>926</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801" t="s">
        <v>921</v>
      </c>
      <c r="E3" s="801" t="s">
        <v>927</v>
      </c>
      <c r="F3" s="801" t="s">
        <v>921</v>
      </c>
      <c r="G3" s="801" t="s">
        <v>922</v>
      </c>
      <c r="H3" s="801" t="s">
        <v>921</v>
      </c>
      <c r="I3" s="801" t="s">
        <v>922</v>
      </c>
    </row>
    <row r="4" spans="1:9" ht="15">
      <c r="A4" s="1403" t="str">
        <f>项目基本情况!S2</f>
        <v>北京市房地产</v>
      </c>
      <c r="B4" s="801">
        <f>项目基本情况!C17</f>
        <v>36389.269999999997</v>
      </c>
      <c r="C4" s="801">
        <f>项目基本情况!C18</f>
        <v>0</v>
      </c>
      <c r="D4" s="801">
        <f ca="1">结果表!D118</f>
        <v>98853</v>
      </c>
      <c r="E4" s="801">
        <f ca="1">结果表!E118</f>
        <v>27165</v>
      </c>
      <c r="F4" s="801">
        <f ca="1">结果表!F118</f>
        <v>23946</v>
      </c>
      <c r="G4" s="801">
        <f ca="1">结果表!G118</f>
        <v>6581</v>
      </c>
      <c r="H4" s="801">
        <f ca="1">结果表!H118</f>
        <v>122799</v>
      </c>
      <c r="I4" s="801">
        <f ca="1">结果表!I118</f>
        <v>33746</v>
      </c>
    </row>
    <row r="5" spans="1:9" ht="30" customHeight="1">
      <c r="A5" s="3202" t="s">
        <v>923</v>
      </c>
      <c r="B5" s="3202"/>
      <c r="C5" s="3202"/>
      <c r="D5" s="3202" t="str">
        <f ca="1">结果表!D119</f>
        <v>玖亿捌仟捌佰伍拾叁万元整</v>
      </c>
      <c r="E5" s="3202"/>
      <c r="F5" s="3202" t="str">
        <f ca="1">结果表!F119</f>
        <v>贰亿叁仟玖佰肆拾陆万元整</v>
      </c>
      <c r="G5" s="3202"/>
      <c r="H5" s="3202" t="str">
        <f ca="1">结果表!H119</f>
        <v>壹拾贰亿贰仟柒佰玖拾玖万元整</v>
      </c>
      <c r="I5" s="3202"/>
    </row>
    <row r="6" spans="1:9" ht="15.75">
      <c r="A6" s="3201" t="str">
        <f>结果表!A120</f>
        <v>估价师知悉的法定优先受偿款</v>
      </c>
      <c r="B6" s="3201"/>
      <c r="C6" s="3201"/>
      <c r="D6" s="3201">
        <f>结果表!D120</f>
        <v>0</v>
      </c>
      <c r="E6" s="3201"/>
      <c r="F6" s="3201"/>
      <c r="G6" s="3201"/>
      <c r="H6" s="3201"/>
      <c r="I6" s="3201"/>
    </row>
    <row r="7" spans="1:9" ht="15">
      <c r="A7" s="3202" t="s">
        <v>923</v>
      </c>
      <c r="B7" s="3202"/>
      <c r="C7" s="3202"/>
      <c r="D7" s="3203" t="str">
        <f>结果表!D121</f>
        <v>零元整</v>
      </c>
      <c r="E7" s="3204"/>
      <c r="F7" s="3204"/>
      <c r="G7" s="3204"/>
      <c r="H7" s="3204"/>
      <c r="I7" s="3205"/>
    </row>
    <row r="8" spans="1:9" ht="15.75">
      <c r="A8" s="3201" t="str">
        <f>结果表!A122</f>
        <v>房地产抵押价值</v>
      </c>
      <c r="B8" s="3201"/>
      <c r="C8" s="3201"/>
      <c r="D8" s="3201">
        <f ca="1">结果表!D122</f>
        <v>122799</v>
      </c>
      <c r="E8" s="3201"/>
      <c r="F8" s="3201"/>
      <c r="G8" s="3201"/>
      <c r="H8" s="3201"/>
      <c r="I8" s="3201"/>
    </row>
    <row r="9" spans="1:9" ht="15">
      <c r="A9" s="3202" t="s">
        <v>923</v>
      </c>
      <c r="B9" s="3202"/>
      <c r="C9" s="3202"/>
      <c r="D9" s="3202" t="str">
        <f ca="1">结果表!D123</f>
        <v>壹拾贰亿贰仟柒佰玖拾玖万元整</v>
      </c>
      <c r="E9" s="3202"/>
      <c r="F9" s="3202"/>
      <c r="G9" s="3202"/>
      <c r="H9" s="3202"/>
      <c r="I9" s="3202"/>
    </row>
    <row r="10" spans="1:9" ht="15.75">
      <c r="A10" s="3201" t="str">
        <f>结果表!A124</f>
        <v/>
      </c>
      <c r="B10" s="3201"/>
      <c r="C10" s="3201"/>
      <c r="D10" s="3201" t="str">
        <f>结果表!D124</f>
        <v>——</v>
      </c>
      <c r="E10" s="3201"/>
      <c r="F10" s="3201"/>
      <c r="G10" s="3201"/>
      <c r="H10" s="3201"/>
      <c r="I10" s="3201"/>
    </row>
    <row r="11" spans="1:9" ht="15">
      <c r="A11" s="3202" t="s">
        <v>923</v>
      </c>
      <c r="B11" s="3202"/>
      <c r="C11" s="3202"/>
      <c r="D11" s="3202" t="e">
        <f>结果表!D125</f>
        <v>#VALUE!</v>
      </c>
      <c r="E11" s="3202"/>
      <c r="F11" s="3202"/>
      <c r="G11" s="3202"/>
      <c r="H11" s="3202"/>
      <c r="I11" s="3202"/>
    </row>
    <row r="12" spans="1:9" ht="15.75">
      <c r="A12" s="3201" t="str">
        <f>结果表!A126</f>
        <v/>
      </c>
      <c r="B12" s="3201"/>
      <c r="C12" s="3201"/>
      <c r="D12" s="3201" t="str">
        <f>结果表!D126</f>
        <v>——</v>
      </c>
      <c r="E12" s="3201"/>
      <c r="F12" s="3201"/>
      <c r="G12" s="3201"/>
      <c r="H12" s="3201"/>
      <c r="I12" s="3201"/>
    </row>
    <row r="13" spans="1:9" ht="15.75" thickBot="1">
      <c r="A13" s="3199" t="s">
        <v>923</v>
      </c>
      <c r="B13" s="3199"/>
      <c r="C13" s="3199"/>
      <c r="D13" s="3199" t="e">
        <f>结果表!D127</f>
        <v>#VALUE!</v>
      </c>
      <c r="E13" s="3199"/>
      <c r="F13" s="3199"/>
      <c r="G13" s="3199"/>
      <c r="H13" s="3199"/>
      <c r="I13" s="3199"/>
    </row>
    <row r="14" spans="1:9" ht="15" thickTop="1">
      <c r="A14" s="3200" t="s">
        <v>928</v>
      </c>
      <c r="B14" s="3200"/>
      <c r="C14" s="3200"/>
      <c r="D14" s="3200"/>
      <c r="E14" s="3200"/>
      <c r="F14" s="3200"/>
      <c r="G14" s="3200"/>
      <c r="H14" s="3200"/>
      <c r="I14" s="3200"/>
    </row>
    <row r="16" spans="1:9" ht="18.75">
      <c r="A16" s="1404"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4" t="s">
        <v>945</v>
      </c>
      <c r="B1" s="3214"/>
      <c r="C1" s="3214"/>
      <c r="D1" s="3214"/>
    </row>
    <row r="2" spans="1:4" ht="18">
      <c r="A2" s="3215" t="s">
        <v>929</v>
      </c>
      <c r="B2" s="3215"/>
      <c r="C2" s="3215"/>
      <c r="D2" s="3215"/>
    </row>
    <row r="3" spans="1:4" ht="18.75">
      <c r="A3" s="1407" t="s">
        <v>930</v>
      </c>
      <c r="B3" s="1407" t="s">
        <v>931</v>
      </c>
      <c r="C3" s="1407" t="s">
        <v>932</v>
      </c>
      <c r="D3" s="1407" t="s">
        <v>933</v>
      </c>
    </row>
    <row r="4" spans="1:4" ht="56.25" customHeight="1">
      <c r="A4" s="1408">
        <f>项目基本情况!B4</f>
        <v>0</v>
      </c>
      <c r="B4" s="1409">
        <f>项目基本情况!C4</f>
        <v>0</v>
      </c>
      <c r="C4" s="1410"/>
      <c r="D4" s="1411" t="s">
        <v>934</v>
      </c>
    </row>
    <row r="5" spans="1:4" ht="56.25" customHeight="1">
      <c r="A5" s="1408">
        <f>项目基本情况!D4</f>
        <v>0</v>
      </c>
      <c r="B5" s="1409">
        <f>项目基本情况!E4</f>
        <v>0</v>
      </c>
      <c r="C5" s="1412"/>
      <c r="D5" s="1411" t="s">
        <v>934</v>
      </c>
    </row>
    <row r="6" spans="1:4" ht="18">
      <c r="A6" s="3215" t="s">
        <v>935</v>
      </c>
      <c r="B6" s="3215"/>
      <c r="C6" s="3215"/>
      <c r="D6" s="3215"/>
    </row>
    <row r="7" spans="1:4" ht="18.75">
      <c r="A7" s="1407" t="s">
        <v>930</v>
      </c>
      <c r="B7" s="1409" t="s">
        <v>936</v>
      </c>
      <c r="C7" s="1407" t="s">
        <v>932</v>
      </c>
      <c r="D7" s="1407" t="s">
        <v>933</v>
      </c>
    </row>
    <row r="8" spans="1:4" ht="56.25" customHeight="1">
      <c r="A8" s="1413" t="s">
        <v>390</v>
      </c>
      <c r="B8" s="1413" t="s">
        <v>0</v>
      </c>
      <c r="C8" s="1410"/>
      <c r="D8" s="1411" t="s">
        <v>934</v>
      </c>
    </row>
    <row r="10" spans="1:4" ht="18.75">
      <c r="A10" s="1414" t="s">
        <v>937</v>
      </c>
    </row>
    <row r="11" spans="1:4" ht="30" customHeight="1">
      <c r="A11" s="3216" t="s">
        <v>938</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08" t="str">
        <f>IF(项目基本情况!B8="抵押","4.本次评估估价师所知悉的法定优先受偿款情况说明如下：","——")</f>
        <v>4.本次评估估价师所知悉的法定优先受偿款情况说明如下：</v>
      </c>
      <c r="B14" s="3213"/>
      <c r="C14" s="3213"/>
      <c r="D14" s="3213"/>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939</v>
      </c>
      <c r="B16" s="3210"/>
      <c r="C16" s="3210"/>
      <c r="D16" s="3210"/>
    </row>
    <row r="17" spans="1:4" ht="144" customHeight="1">
      <c r="A17" s="3210" t="s">
        <v>940</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941</v>
      </c>
      <c r="B22" s="3212"/>
      <c r="C22" s="3212"/>
      <c r="D22" s="3212"/>
    </row>
    <row r="23" spans="1:4">
      <c r="A23" s="1415"/>
      <c r="B23" s="459"/>
      <c r="C23" s="459"/>
      <c r="D23" s="459"/>
    </row>
    <row r="24" spans="1:4">
      <c r="A24" s="1415"/>
      <c r="B24" s="459"/>
      <c r="C24" s="459"/>
      <c r="D24" s="459"/>
    </row>
    <row r="25" spans="1:4" ht="18.75">
      <c r="A25" s="1416" t="s">
        <v>942</v>
      </c>
    </row>
    <row r="26" spans="1:4" ht="18">
      <c r="A26" s="1387"/>
    </row>
    <row r="27" spans="1:4" ht="18.75">
      <c r="A27" s="1387" t="s">
        <v>943</v>
      </c>
    </row>
    <row r="30" spans="1:4" ht="18.75">
      <c r="D30" s="1416" t="s">
        <v>944</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946</v>
      </c>
    </row>
    <row r="3" spans="1:7">
      <c r="A3" s="1420" t="s">
        <v>55</v>
      </c>
      <c r="B3" s="1405" t="s">
        <v>947</v>
      </c>
      <c r="G3" s="1421"/>
    </row>
    <row r="4" spans="1:7">
      <c r="G4" s="1421"/>
    </row>
    <row r="5" spans="1:7">
      <c r="A5" s="1423" t="s">
        <v>46</v>
      </c>
      <c r="B5" s="1405" t="s">
        <v>948</v>
      </c>
      <c r="G5" s="1421"/>
    </row>
    <row r="6" spans="1:7">
      <c r="G6" s="1421"/>
    </row>
    <row r="7" spans="1:7">
      <c r="A7" s="1424" t="s">
        <v>108</v>
      </c>
      <c r="B7" s="1405" t="s">
        <v>949</v>
      </c>
      <c r="G7" s="1421"/>
    </row>
    <row r="8" spans="1:7">
      <c r="G8" s="1421"/>
    </row>
    <row r="9" spans="1:7">
      <c r="A9" s="1425" t="s">
        <v>47</v>
      </c>
      <c r="B9" s="1405" t="s">
        <v>950</v>
      </c>
    </row>
    <row r="11" spans="1:7">
      <c r="A11" s="1426" t="s">
        <v>48</v>
      </c>
      <c r="B11" s="1427" t="s">
        <v>45</v>
      </c>
    </row>
    <row r="13" spans="1:7">
      <c r="A13" s="1428" t="s">
        <v>951</v>
      </c>
    </row>
    <row r="15" spans="1:7" ht="13.5">
      <c r="A15" s="3222" t="s">
        <v>952</v>
      </c>
      <c r="B15" s="3217" t="s">
        <v>109</v>
      </c>
      <c r="C15" s="3218"/>
    </row>
    <row r="16" spans="1:7" ht="13.5">
      <c r="A16" s="3223"/>
      <c r="B16" s="3217" t="s">
        <v>42</v>
      </c>
      <c r="C16" s="3218"/>
    </row>
    <row r="17" spans="1:3" ht="13.5">
      <c r="A17" s="3223"/>
      <c r="B17" s="3220" t="s">
        <v>953</v>
      </c>
      <c r="C17" s="1429" t="s">
        <v>952</v>
      </c>
    </row>
    <row r="18" spans="1:3" ht="13.5">
      <c r="A18" s="3223"/>
      <c r="B18" s="3220"/>
      <c r="C18" s="1429" t="s">
        <v>954</v>
      </c>
    </row>
    <row r="19" spans="1:3" ht="13.5">
      <c r="A19" s="3223"/>
      <c r="B19" s="3220"/>
      <c r="C19" s="1429" t="s">
        <v>955</v>
      </c>
    </row>
    <row r="20" spans="1:3" ht="13.5">
      <c r="A20" s="3224"/>
      <c r="B20" s="3219" t="s">
        <v>956</v>
      </c>
      <c r="C20" s="3218"/>
    </row>
    <row r="21" spans="1:3" ht="13.5">
      <c r="A21" s="1430" t="s">
        <v>957</v>
      </c>
      <c r="B21" s="1431"/>
      <c r="C21" s="1432"/>
    </row>
    <row r="22" spans="1:3" ht="13.5">
      <c r="A22" s="3221" t="s">
        <v>958</v>
      </c>
      <c r="B22" s="3219" t="s">
        <v>959</v>
      </c>
      <c r="C22" s="3218"/>
    </row>
    <row r="23" spans="1:3" ht="13.5">
      <c r="A23" s="3221"/>
      <c r="B23" s="3219" t="s">
        <v>960</v>
      </c>
      <c r="C23" s="3218"/>
    </row>
    <row r="24" spans="1:3" ht="13.5">
      <c r="A24" s="3221"/>
      <c r="B24" s="3219" t="s">
        <v>961</v>
      </c>
      <c r="C24" s="3218"/>
    </row>
    <row r="25" spans="1:3" ht="13.5">
      <c r="A25" s="3221"/>
      <c r="B25" s="3220" t="s">
        <v>962</v>
      </c>
      <c r="C25" s="1429" t="s">
        <v>963</v>
      </c>
    </row>
    <row r="26" spans="1:3" ht="13.5">
      <c r="A26" s="3221"/>
      <c r="B26" s="3220"/>
      <c r="C26" s="1429" t="s">
        <v>964</v>
      </c>
    </row>
    <row r="27" spans="1:3" ht="13.5">
      <c r="A27" s="3221"/>
      <c r="B27" s="3220"/>
      <c r="C27" s="1429" t="s">
        <v>965</v>
      </c>
    </row>
    <row r="28" spans="1:3" ht="13.5">
      <c r="A28" s="3221"/>
      <c r="B28" s="3220"/>
      <c r="C28" s="1429" t="s">
        <v>966</v>
      </c>
    </row>
    <row r="29" spans="1:3" ht="13.5">
      <c r="A29" s="3221"/>
      <c r="B29" s="3220"/>
      <c r="C29" s="1429" t="s">
        <v>967</v>
      </c>
    </row>
    <row r="30" spans="1:3" ht="13.5">
      <c r="A30" s="3221"/>
      <c r="B30" s="3220"/>
      <c r="C30" s="1429" t="s">
        <v>968</v>
      </c>
    </row>
    <row r="31" spans="1:3" ht="13.5">
      <c r="A31" s="3221"/>
      <c r="B31" s="3220"/>
      <c r="C31" s="1429" t="s">
        <v>969</v>
      </c>
    </row>
    <row r="32" spans="1:3" ht="13.5">
      <c r="A32" s="3221"/>
      <c r="B32" s="3220"/>
      <c r="C32" s="1429" t="s">
        <v>970</v>
      </c>
    </row>
    <row r="33" spans="1:3" ht="13.5">
      <c r="A33" s="3221"/>
      <c r="B33" s="3220"/>
      <c r="C33" s="1429" t="s">
        <v>971</v>
      </c>
    </row>
    <row r="34" spans="1:3">
      <c r="A34" s="1433" t="s">
        <v>49</v>
      </c>
    </row>
    <row r="37" spans="1:3">
      <c r="A37" s="1433" t="s">
        <v>972</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2135</v>
      </c>
      <c r="B2" s="2157">
        <f ca="1">TODAY()</f>
        <v>45891</v>
      </c>
      <c r="C2" s="2158" t="s">
        <v>2136</v>
      </c>
      <c r="D2" s="2158"/>
      <c r="E2" s="2158"/>
      <c r="F2" s="2154"/>
      <c r="G2" s="2154"/>
      <c r="H2" s="2154"/>
    </row>
    <row r="3" spans="1:8" ht="24" customHeight="1">
      <c r="A3" s="2159" t="s">
        <v>2137</v>
      </c>
      <c r="B3" s="1219" t="s">
        <v>2138</v>
      </c>
      <c r="C3" s="1219" t="s">
        <v>2139</v>
      </c>
      <c r="D3" s="2160" t="s">
        <v>2140</v>
      </c>
      <c r="E3" s="2161" t="s">
        <v>2141</v>
      </c>
      <c r="F3" s="1219" t="s">
        <v>2142</v>
      </c>
      <c r="G3" s="1219" t="s">
        <v>2139</v>
      </c>
      <c r="H3" s="2160" t="s">
        <v>2143</v>
      </c>
    </row>
    <row r="4" spans="1:8" ht="24" customHeight="1">
      <c r="A4" s="1219" t="s">
        <v>2144</v>
      </c>
      <c r="B4" s="1219">
        <f ca="1">IF(C4&lt;B2,"已过期",1119970066)</f>
        <v>1119970066</v>
      </c>
      <c r="C4" s="2162">
        <v>45937</v>
      </c>
      <c r="D4" s="2163" t="str">
        <f ca="1">A4&amp;"（注册号："&amp;B4&amp;"）"</f>
        <v>梁津（注册号：1119970066）</v>
      </c>
      <c r="E4" s="2164" t="s">
        <v>2144</v>
      </c>
      <c r="F4" s="1219">
        <f ca="1">IF(G4&lt;B2,"已过期",96010014)</f>
        <v>96010014</v>
      </c>
      <c r="G4" s="2165">
        <v>47118</v>
      </c>
      <c r="H4" s="2166" t="str">
        <f ca="1">E4&amp;"（注册号："&amp;F4&amp;"）"</f>
        <v>梁津（注册号：96010014）</v>
      </c>
    </row>
    <row r="5" spans="1:8" ht="24" customHeight="1">
      <c r="A5" s="1219" t="s">
        <v>2145</v>
      </c>
      <c r="B5" s="1219">
        <f ca="1">IF(C5&lt;B2,"已过期",1119970111)</f>
        <v>1119970111</v>
      </c>
      <c r="C5" s="2162">
        <v>45937</v>
      </c>
      <c r="D5" s="2163" t="str">
        <f t="shared" ref="D5:D15" ca="1" si="0">A5&amp;"（注册号："&amp;B5&amp;"）"</f>
        <v>叶凌（注册号：1119970111）</v>
      </c>
      <c r="E5" s="2164" t="s">
        <v>2145</v>
      </c>
      <c r="F5" s="1219">
        <f ca="1">IF(G5&lt;B2,"已过期",94010078)</f>
        <v>94010078</v>
      </c>
      <c r="G5" s="2165">
        <v>46387</v>
      </c>
      <c r="H5" s="2166" t="str">
        <f t="shared" ref="H5:H16" ca="1" si="1">E5&amp;"（注册号："&amp;F5&amp;"）"</f>
        <v>叶凌（注册号：94010078）</v>
      </c>
    </row>
    <row r="6" spans="1:8" ht="24" customHeight="1">
      <c r="A6" s="1219" t="s">
        <v>2146</v>
      </c>
      <c r="B6" s="1219" t="str">
        <f ca="1">IF(C6&lt;B2,"已过期",1120050019)</f>
        <v>已过期</v>
      </c>
      <c r="C6" s="2162">
        <v>45410</v>
      </c>
      <c r="D6" s="2163" t="str">
        <f t="shared" ca="1" si="0"/>
        <v>王鹏（注册号：已过期）</v>
      </c>
      <c r="E6" s="2164" t="s">
        <v>2146</v>
      </c>
      <c r="F6" s="1219">
        <f ca="1">IF(G6&lt;B2,"已过期",2002110030)</f>
        <v>2002110030</v>
      </c>
      <c r="G6" s="2165">
        <v>46387</v>
      </c>
      <c r="H6" s="2166" t="str">
        <f t="shared" ca="1" si="1"/>
        <v>王鹏（注册号：2002110030）</v>
      </c>
    </row>
    <row r="7" spans="1:8" ht="24" customHeight="1">
      <c r="A7" s="1219" t="s">
        <v>2147</v>
      </c>
      <c r="B7" s="1219">
        <f ca="1">IF(C7&lt;B2,"已过期",1120000080)</f>
        <v>1120000080</v>
      </c>
      <c r="C7" s="2162">
        <v>45937</v>
      </c>
      <c r="D7" s="2163" t="str">
        <f t="shared" ca="1" si="0"/>
        <v>欧红伟（注册号：1120000080）</v>
      </c>
      <c r="E7" s="2164" t="s">
        <v>2147</v>
      </c>
      <c r="F7" s="1219">
        <f ca="1">IF(G7&lt;B2,"已过期",2000110082)</f>
        <v>2000110082</v>
      </c>
      <c r="G7" s="2165">
        <v>46387</v>
      </c>
      <c r="H7" s="2166" t="str">
        <f t="shared" ca="1" si="1"/>
        <v>欧红伟（注册号：2000110082）</v>
      </c>
    </row>
    <row r="8" spans="1:8" ht="24" customHeight="1">
      <c r="A8" s="1219" t="s">
        <v>2148</v>
      </c>
      <c r="B8" s="1219">
        <f ca="1">IF(C8&lt;B2,"已过期",1419970001)</f>
        <v>1419970001</v>
      </c>
      <c r="C8" s="2162">
        <v>45937</v>
      </c>
      <c r="D8" s="2163" t="str">
        <f t="shared" ca="1" si="0"/>
        <v>吴薇（注册号：1419970001）</v>
      </c>
      <c r="E8" s="2164" t="s">
        <v>2148</v>
      </c>
      <c r="F8" s="1219">
        <f ca="1">IF(G8&lt;B2,"已过期",2002110125)</f>
        <v>2002110125</v>
      </c>
      <c r="G8" s="2165">
        <v>47118</v>
      </c>
      <c r="H8" s="2166" t="str">
        <f t="shared" ca="1" si="1"/>
        <v>吴薇（注册号：2002110125）</v>
      </c>
    </row>
    <row r="9" spans="1:8" ht="24" customHeight="1">
      <c r="A9" s="1219" t="s">
        <v>2149</v>
      </c>
      <c r="B9" s="1219" t="str">
        <f ca="1">IF(C9&lt;B2,"已过期",1120060040)</f>
        <v>已过期</v>
      </c>
      <c r="C9" s="2167">
        <v>45592</v>
      </c>
      <c r="D9" s="2163" t="str">
        <f t="shared" ca="1" si="0"/>
        <v>陈颖（注册号：已过期）</v>
      </c>
      <c r="E9" s="2164" t="s">
        <v>2149</v>
      </c>
      <c r="F9" s="1219">
        <f ca="1">IF(G9&lt;B2,"已过期",2004110096)</f>
        <v>2004110096</v>
      </c>
      <c r="G9" s="2165">
        <v>47118</v>
      </c>
      <c r="H9" s="2166" t="str">
        <f t="shared" ca="1" si="1"/>
        <v>陈颖（注册号：2004110096）</v>
      </c>
    </row>
    <row r="10" spans="1:8" ht="24" customHeight="1">
      <c r="A10" s="1219" t="s">
        <v>2150</v>
      </c>
      <c r="B10" s="1219" t="str">
        <f ca="1">IF(C10&lt;B2,"已过期",1120100036)</f>
        <v>已过期</v>
      </c>
      <c r="C10" s="2167">
        <v>45752</v>
      </c>
      <c r="D10" s="2163" t="str">
        <f t="shared" ca="1" si="0"/>
        <v>崔锴（注册号：已过期）</v>
      </c>
      <c r="E10" s="2164" t="s">
        <v>2150</v>
      </c>
      <c r="F10" s="1219">
        <f ca="1">IF(G10&lt;B2,"已过期",2010110070)</f>
        <v>2010110070</v>
      </c>
      <c r="G10" s="2165">
        <v>47907</v>
      </c>
      <c r="H10" s="2166" t="str">
        <f t="shared" ca="1" si="1"/>
        <v>崔锴（注册号：2010110070）</v>
      </c>
    </row>
    <row r="11" spans="1:8" ht="24" customHeight="1">
      <c r="A11" s="1219" t="s">
        <v>2151</v>
      </c>
      <c r="B11" s="1219">
        <f ca="1">IF(C11&lt;B2,"已过期",1120070131)</f>
        <v>1120070131</v>
      </c>
      <c r="C11" s="2162">
        <v>45937</v>
      </c>
      <c r="D11" s="2163" t="str">
        <f t="shared" ca="1" si="0"/>
        <v>郑燚（注册号：1120070131）</v>
      </c>
      <c r="E11" s="2164" t="s">
        <v>2151</v>
      </c>
      <c r="F11" s="1219">
        <f ca="1">IF(G11&lt;B2,"已过期",2014110011)</f>
        <v>2014110011</v>
      </c>
      <c r="G11" s="2165">
        <v>49302</v>
      </c>
      <c r="H11" s="2166" t="str">
        <f t="shared" ca="1" si="1"/>
        <v>郑燚（注册号：2014110011）</v>
      </c>
    </row>
    <row r="12" spans="1:8" ht="24" customHeight="1">
      <c r="A12" s="1219" t="s">
        <v>2152</v>
      </c>
      <c r="B12" s="1219">
        <f ca="1">IF(C12&lt;B2,"已过期",1120040230)</f>
        <v>1120040230</v>
      </c>
      <c r="C12" s="2167">
        <v>45937</v>
      </c>
      <c r="D12" s="2163" t="str">
        <f t="shared" ca="1" si="0"/>
        <v>苏海（注册号：1120040230）</v>
      </c>
      <c r="E12" s="2164" t="s">
        <v>2152</v>
      </c>
      <c r="F12" s="1219">
        <f ca="1">IF(G12&lt;B2,"已过期",98030020)</f>
        <v>98030020</v>
      </c>
      <c r="G12" s="2165">
        <v>47118</v>
      </c>
      <c r="H12" s="2166" t="str">
        <f t="shared" ca="1" si="1"/>
        <v>苏海（注册号：98030020）</v>
      </c>
    </row>
    <row r="13" spans="1:8" ht="24" customHeight="1">
      <c r="A13" s="1219" t="s">
        <v>2153</v>
      </c>
      <c r="B13" s="1219" t="str">
        <f ca="1">IF(C13&lt;B2,"已过期",1120020033)</f>
        <v>已过期</v>
      </c>
      <c r="C13" s="2162">
        <v>45375</v>
      </c>
      <c r="D13" s="2163" t="str">
        <f t="shared" ca="1" si="0"/>
        <v>刘敬东（注册号：已过期）</v>
      </c>
      <c r="E13" s="2164" t="s">
        <v>2153</v>
      </c>
      <c r="F13" s="1219">
        <f ca="1">IF(G13&lt;B2,"已过期",2000110137)</f>
        <v>2000110137</v>
      </c>
      <c r="G13" s="2165">
        <v>46387</v>
      </c>
      <c r="H13" s="2166" t="str">
        <f t="shared" ca="1" si="1"/>
        <v>刘敬东（注册号：2000110137）</v>
      </c>
    </row>
    <row r="14" spans="1:8" ht="24" customHeight="1">
      <c r="A14" s="1219" t="s">
        <v>2154</v>
      </c>
      <c r="B14" s="1219" t="str">
        <f ca="1">IF(C14&lt;B2,"已过期",1119980106)</f>
        <v>已过期</v>
      </c>
      <c r="C14" s="2167">
        <v>44969</v>
      </c>
      <c r="D14" s="2163" t="str">
        <f t="shared" ca="1" si="0"/>
        <v>刘俊财（注册号：已过期）</v>
      </c>
      <c r="E14" s="2164" t="s">
        <v>2154</v>
      </c>
      <c r="F14" s="1219">
        <f ca="1">IF(G14&lt;B2,"已过期",96010063)</f>
        <v>96010063</v>
      </c>
      <c r="G14" s="2165">
        <v>47483</v>
      </c>
      <c r="H14" s="2166" t="str">
        <f t="shared" ca="1" si="1"/>
        <v>刘俊财（注册号：96010063）</v>
      </c>
    </row>
    <row r="15" spans="1:8" ht="24" customHeight="1">
      <c r="A15" s="1219" t="s">
        <v>2424</v>
      </c>
      <c r="B15" s="1219">
        <v>1120210056</v>
      </c>
      <c r="C15" s="2167">
        <v>45410</v>
      </c>
      <c r="D15" s="2163" t="str">
        <f t="shared" si="0"/>
        <v>宁小鳗（注册号：1120210056）</v>
      </c>
      <c r="E15" s="2164" t="s">
        <v>2155</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5" t="s">
        <v>2156</v>
      </c>
      <c r="B17" s="3225"/>
      <c r="C17" s="3225"/>
      <c r="D17" s="3225"/>
      <c r="E17" s="3225"/>
      <c r="F17" s="3225"/>
      <c r="G17" s="3225"/>
      <c r="H17" s="3225"/>
    </row>
    <row r="18" spans="1:8" ht="24" customHeight="1">
      <c r="A18" s="3226" t="s">
        <v>2157</v>
      </c>
      <c r="B18" s="3226"/>
      <c r="C18" s="3226"/>
      <c r="D18" s="2160"/>
      <c r="E18" s="3227" t="s">
        <v>2158</v>
      </c>
      <c r="F18" s="3226"/>
      <c r="G18" s="3226"/>
    </row>
    <row r="19" spans="1:8" s="2170" customFormat="1" ht="24" customHeight="1">
      <c r="A19" s="2169" t="s">
        <v>2159</v>
      </c>
      <c r="B19" s="1219" t="s">
        <v>2160</v>
      </c>
      <c r="C19" s="1219" t="s">
        <v>2139</v>
      </c>
      <c r="D19" s="2160"/>
      <c r="E19" s="2164" t="s">
        <v>2159</v>
      </c>
      <c r="F19" s="1219" t="s">
        <v>2160</v>
      </c>
      <c r="G19" s="1219" t="s">
        <v>2139</v>
      </c>
    </row>
    <row r="20" spans="1:8" s="2170" customFormat="1" ht="24" customHeight="1">
      <c r="A20" s="2171" t="s">
        <v>2161</v>
      </c>
      <c r="B20" s="2171" t="s">
        <v>2162</v>
      </c>
      <c r="C20" s="2165">
        <v>45898</v>
      </c>
      <c r="D20" s="2172"/>
      <c r="E20" s="2173" t="s">
        <v>2163</v>
      </c>
      <c r="F20" s="2176" t="s">
        <v>2425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年收益</vt:lpstr>
      <vt:lpstr>2_出租明细</vt:lpstr>
      <vt:lpstr>租赁台账</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'2_出租明细'!Print_Area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2025-08-22T02:32:53Z</dcterms:modified>
</cp:coreProperties>
</file>