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D:\工作\朝阳区曙光西里甲5号院3栋办公楼\"/>
    </mc:Choice>
  </mc:AlternateContent>
  <xr:revisionPtr revIDLastSave="0" documentId="13_ncr:1_{0B4BB6DC-9ACB-439F-B477-AC48087D9AC7}" xr6:coauthVersionLast="47" xr6:coauthVersionMax="47" xr10:uidLastSave="{00000000-0000-0000-0000-000000000000}"/>
  <bookViews>
    <workbookView xWindow="-120" yWindow="-120" windowWidth="29040" windowHeight="15840" tabRatio="899" firstSheet="1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16号楼A座面积" sheetId="80" r:id="rId14"/>
    <sheet name="21号楼F座面积明细" sheetId="83" r:id="rId15"/>
    <sheet name="22号楼H座面积明细"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比较法-办公" sheetId="34"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典型户型修正" sheetId="31" r:id="rId33"/>
    <sheet name="大宗案例" sheetId="81" r:id="rId34"/>
    <sheet name="华樾北京" sheetId="89" r:id="rId35"/>
    <sheet name="保利大都汇" sheetId="88" r:id="rId36"/>
    <sheet name="悦荣中心" sheetId="90" r:id="rId37"/>
    <sheet name="A座租户台账" sheetId="84" r:id="rId38"/>
    <sheet name="F座租户台账" sheetId="85" r:id="rId39"/>
    <sheet name="H座租户台账" sheetId="86" r:id="rId40"/>
    <sheet name="19-24年经营情况" sheetId="87"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37" hidden="1">A座租户台账!$A$2:$D$87</definedName>
    <definedName name="_xlnm._FilterDatabase" localSheetId="38" hidden="1">F座租户台账!$A$2:$F$67</definedName>
    <definedName name="_xlnm._FilterDatabase" localSheetId="39" hidden="1">H座租户台账!$A$2:$F$58</definedName>
    <definedName name="_xlnm._FilterDatabase" localSheetId="25"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59" i="86" l="1"/>
  <c r="B59" i="86"/>
  <c r="C68" i="85"/>
  <c r="B68" i="85"/>
  <c r="C88" i="84"/>
  <c r="B88" i="84"/>
  <c r="E128" i="34"/>
  <c r="F128" i="34" s="1"/>
  <c r="G128" i="34" s="1"/>
  <c r="H128" i="34" s="1"/>
  <c r="D128" i="34"/>
  <c r="B29" i="1"/>
  <c r="D40" i="43"/>
  <c r="D42" i="43"/>
  <c r="B26" i="31"/>
  <c r="B25" i="31"/>
  <c r="B24" i="31"/>
  <c r="A26" i="31"/>
  <c r="A25" i="31"/>
  <c r="A24" i="31"/>
  <c r="I48" i="34"/>
  <c r="G48" i="34"/>
  <c r="E48" i="34"/>
  <c r="I37" i="34"/>
  <c r="G34" i="34"/>
  <c r="G37" i="34"/>
  <c r="P59" i="34"/>
  <c r="Q59" i="34"/>
  <c r="R59" i="34" s="1"/>
  <c r="S59" i="34" s="1"/>
  <c r="T59" i="34" s="1"/>
  <c r="U59" i="34" s="1"/>
  <c r="V59" i="34" s="1"/>
  <c r="W59" i="34" s="1"/>
  <c r="X59" i="34" s="1"/>
  <c r="Y59" i="34" s="1"/>
  <c r="Z59" i="34" s="1"/>
  <c r="AA59" i="34" s="1"/>
  <c r="AB59" i="34" s="1"/>
  <c r="E34" i="34"/>
  <c r="C34" i="34"/>
  <c r="E37" i="34"/>
  <c r="C37" i="34"/>
  <c r="N23" i="1"/>
  <c r="I20" i="90" l="1"/>
  <c r="I34" i="34" s="1"/>
  <c r="M97" i="89"/>
  <c r="M98" i="89" s="1"/>
  <c r="M99" i="89" s="1"/>
  <c r="O96" i="89"/>
  <c r="N96" i="89"/>
  <c r="M96" i="89"/>
  <c r="T21" i="6"/>
  <c r="T20" i="6"/>
  <c r="T19" i="6"/>
  <c r="I27" i="88"/>
  <c r="I26" i="88"/>
  <c r="I25" i="88"/>
  <c r="K24" i="88"/>
  <c r="J24" i="88"/>
  <c r="I24" i="88"/>
  <c r="G21" i="6"/>
  <c r="G20" i="6"/>
  <c r="F21" i="6"/>
  <c r="F20" i="6"/>
  <c r="E58" i="86"/>
  <c r="E57" i="86"/>
  <c r="E56" i="86"/>
  <c r="E55" i="86"/>
  <c r="E54" i="86"/>
  <c r="E53" i="86"/>
  <c r="E52" i="86"/>
  <c r="E51" i="86"/>
  <c r="E50" i="86"/>
  <c r="E49" i="86"/>
  <c r="E48" i="86"/>
  <c r="E47" i="86"/>
  <c r="E46" i="86"/>
  <c r="E45" i="86"/>
  <c r="E44" i="86"/>
  <c r="E43" i="86"/>
  <c r="E42" i="86"/>
  <c r="E41" i="86"/>
  <c r="E40" i="86"/>
  <c r="E39" i="86"/>
  <c r="E38" i="86"/>
  <c r="E37" i="86"/>
  <c r="E36" i="86"/>
  <c r="E35" i="86"/>
  <c r="E34" i="86"/>
  <c r="E33" i="86"/>
  <c r="E32" i="86"/>
  <c r="E31" i="86"/>
  <c r="E30" i="86"/>
  <c r="E29" i="86"/>
  <c r="E28" i="86"/>
  <c r="E27" i="86"/>
  <c r="E26" i="86"/>
  <c r="E25" i="86"/>
  <c r="E24" i="86"/>
  <c r="E23" i="86"/>
  <c r="E22" i="86"/>
  <c r="E21" i="86"/>
  <c r="E20" i="86"/>
  <c r="E19" i="86"/>
  <c r="E18" i="86"/>
  <c r="E17" i="86"/>
  <c r="E16" i="86"/>
  <c r="E15" i="86"/>
  <c r="E14" i="86"/>
  <c r="E13" i="86"/>
  <c r="E12" i="86"/>
  <c r="E11" i="86"/>
  <c r="E10" i="86"/>
  <c r="E9" i="86"/>
  <c r="E8" i="86"/>
  <c r="E7" i="86"/>
  <c r="E6" i="86"/>
  <c r="E5" i="86"/>
  <c r="E4" i="86"/>
  <c r="E3" i="86"/>
  <c r="E59" i="86" s="1"/>
  <c r="E60" i="86" s="1"/>
  <c r="E67" i="85"/>
  <c r="E66" i="85"/>
  <c r="E65" i="85"/>
  <c r="E64" i="85"/>
  <c r="E63" i="85"/>
  <c r="E62" i="85"/>
  <c r="E61" i="85"/>
  <c r="E60" i="85"/>
  <c r="E59" i="85"/>
  <c r="E58" i="85"/>
  <c r="E57" i="85"/>
  <c r="E56" i="85"/>
  <c r="E55" i="85"/>
  <c r="E54" i="85"/>
  <c r="E53" i="85"/>
  <c r="E52" i="85"/>
  <c r="E51" i="85"/>
  <c r="E50" i="85"/>
  <c r="E49" i="85"/>
  <c r="E48" i="85"/>
  <c r="E47" i="85"/>
  <c r="E46" i="85"/>
  <c r="E45" i="85"/>
  <c r="E44" i="85"/>
  <c r="E43" i="85"/>
  <c r="E42" i="85"/>
  <c r="E41" i="85"/>
  <c r="E40" i="85"/>
  <c r="E39" i="85"/>
  <c r="E38" i="85"/>
  <c r="E37" i="85"/>
  <c r="E36" i="85"/>
  <c r="E35" i="85"/>
  <c r="E34" i="85"/>
  <c r="E33" i="85"/>
  <c r="E32" i="85"/>
  <c r="E31" i="85"/>
  <c r="E30" i="85"/>
  <c r="E29" i="85"/>
  <c r="E28" i="85"/>
  <c r="E27" i="85"/>
  <c r="E26" i="85"/>
  <c r="E25" i="85"/>
  <c r="E24" i="85"/>
  <c r="E23" i="85"/>
  <c r="E22" i="85"/>
  <c r="E21" i="85"/>
  <c r="E20" i="85"/>
  <c r="E19" i="85"/>
  <c r="E18" i="85"/>
  <c r="E17" i="85"/>
  <c r="E16" i="85"/>
  <c r="E15" i="85"/>
  <c r="E14" i="85"/>
  <c r="E13" i="85"/>
  <c r="E12" i="85"/>
  <c r="E11" i="85"/>
  <c r="E10" i="85"/>
  <c r="E9" i="85"/>
  <c r="E8" i="85"/>
  <c r="E7" i="85"/>
  <c r="E6" i="85"/>
  <c r="E5" i="85"/>
  <c r="E4" i="85"/>
  <c r="E3" i="85"/>
  <c r="E68" i="85" s="1"/>
  <c r="E69" i="85" s="1"/>
  <c r="E87" i="84"/>
  <c r="E86" i="84"/>
  <c r="E85" i="84"/>
  <c r="E84" i="84"/>
  <c r="E83" i="84"/>
  <c r="E82" i="84"/>
  <c r="E81" i="84"/>
  <c r="E80" i="84"/>
  <c r="E79" i="84"/>
  <c r="E78" i="84"/>
  <c r="E77" i="84"/>
  <c r="E76" i="84"/>
  <c r="E75" i="84"/>
  <c r="E74" i="84"/>
  <c r="E73" i="84"/>
  <c r="E72" i="84"/>
  <c r="E71" i="84"/>
  <c r="E70" i="84"/>
  <c r="E69" i="84"/>
  <c r="E68" i="84"/>
  <c r="E67" i="84"/>
  <c r="E66" i="84"/>
  <c r="E65" i="84"/>
  <c r="E64" i="84"/>
  <c r="E63" i="84"/>
  <c r="E62" i="84"/>
  <c r="E61" i="84"/>
  <c r="E60" i="84"/>
  <c r="E59" i="84"/>
  <c r="E58" i="84"/>
  <c r="E57" i="84"/>
  <c r="E56" i="84"/>
  <c r="E55" i="84"/>
  <c r="E54" i="84"/>
  <c r="E53" i="84"/>
  <c r="E52" i="84"/>
  <c r="E51" i="84"/>
  <c r="E50" i="84"/>
  <c r="E49" i="84"/>
  <c r="E48" i="84"/>
  <c r="E47" i="84"/>
  <c r="E46" i="84"/>
  <c r="E45" i="84"/>
  <c r="E44" i="84"/>
  <c r="E43" i="84"/>
  <c r="E42" i="84"/>
  <c r="E41" i="84"/>
  <c r="E40" i="84"/>
  <c r="E39" i="84"/>
  <c r="E38" i="84"/>
  <c r="E37" i="84"/>
  <c r="E36" i="84"/>
  <c r="E35" i="84"/>
  <c r="E34" i="84"/>
  <c r="E33" i="84"/>
  <c r="E32" i="84"/>
  <c r="E31" i="84"/>
  <c r="E30" i="84"/>
  <c r="E29" i="84"/>
  <c r="E28" i="84"/>
  <c r="E27" i="84"/>
  <c r="E26" i="84"/>
  <c r="E25" i="84"/>
  <c r="E24" i="84"/>
  <c r="E23" i="84"/>
  <c r="E22" i="84"/>
  <c r="E21" i="84"/>
  <c r="E20" i="84"/>
  <c r="E19" i="84"/>
  <c r="E18" i="84"/>
  <c r="E17" i="84"/>
  <c r="E16" i="84"/>
  <c r="E15" i="84"/>
  <c r="E14" i="84"/>
  <c r="E13" i="84"/>
  <c r="E12" i="84"/>
  <c r="E11" i="84"/>
  <c r="E10" i="84"/>
  <c r="E9" i="84"/>
  <c r="E8" i="84"/>
  <c r="E7" i="84"/>
  <c r="E6" i="84"/>
  <c r="E5" i="84"/>
  <c r="E4" i="84"/>
  <c r="E88" i="84" s="1"/>
  <c r="E89" i="84" s="1"/>
  <c r="E90" i="84" s="1"/>
  <c r="M13" i="3" l="1"/>
  <c r="K13" i="3"/>
  <c r="I13" i="3"/>
  <c r="D87" i="80"/>
  <c r="O15" i="3"/>
  <c r="M15" i="3"/>
  <c r="I15" i="3" l="1"/>
  <c r="M14" i="3"/>
  <c r="O14" i="3"/>
  <c r="I14" i="3"/>
  <c r="G19" i="6"/>
  <c r="D24" i="83"/>
  <c r="D29" i="82"/>
  <c r="G69" i="43" l="1"/>
  <c r="G68" i="43"/>
  <c r="G67" i="43"/>
  <c r="G66" i="43"/>
  <c r="G65" i="43"/>
  <c r="G64" i="43"/>
  <c r="G63" i="43"/>
  <c r="G62" i="43"/>
  <c r="G61" i="43"/>
  <c r="G44" i="43"/>
  <c r="I7" i="6"/>
  <c r="N6" i="1"/>
  <c r="Y6" i="1" s="1"/>
  <c r="N22" i="1"/>
  <c r="C19" i="6"/>
  <c r="F19" i="6"/>
  <c r="D33" i="43"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5"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E34" i="71"/>
  <c r="C30" i="71"/>
  <c r="X31" i="71"/>
  <c r="C34" i="71"/>
  <c r="D34" i="71" s="1"/>
  <c r="X34" i="71"/>
  <c r="F51" i="71"/>
  <c r="F52" i="71" s="1"/>
  <c r="V52" i="71" s="1"/>
  <c r="B28" i="71"/>
  <c r="B27" i="71" s="1"/>
  <c r="B26" i="71"/>
  <c r="D30" i="71"/>
  <c r="D50" i="71"/>
  <c r="P28" i="71"/>
  <c r="AA3" i="71" s="1"/>
  <c r="E60" i="71"/>
  <c r="U60" i="71" s="1"/>
  <c r="U68" i="71"/>
  <c r="E67" i="71"/>
  <c r="E66" i="71" s="1"/>
  <c r="Q28" i="71"/>
  <c r="D54" i="71"/>
  <c r="C63" i="71"/>
  <c r="C64" i="71" s="1"/>
  <c r="D62" i="71"/>
  <c r="T68" i="71"/>
  <c r="O68" i="71"/>
  <c r="D68" i="71"/>
  <c r="C67" i="71"/>
  <c r="D67" i="71" s="1"/>
  <c r="Q68" i="71"/>
  <c r="E71" i="71"/>
  <c r="E70"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H25" i="40"/>
  <c r="AB25" i="40" s="1"/>
  <c r="J25" i="40"/>
  <c r="H29" i="39"/>
  <c r="AB29" i="39" s="1"/>
  <c r="J29" i="39"/>
  <c r="J18" i="36"/>
  <c r="AC18" i="36" s="1"/>
  <c r="H18" i="35"/>
  <c r="AB18" i="35" s="1"/>
  <c r="J18" i="35"/>
  <c r="H21" i="37"/>
  <c r="F21" i="37"/>
  <c r="H21" i="34"/>
  <c r="AB21" i="34" s="1"/>
  <c r="H21" i="33"/>
  <c r="U21" i="33" s="1"/>
  <c r="F21" i="33"/>
  <c r="E83" i="21"/>
  <c r="F83" i="21" s="1"/>
  <c r="G83" i="21" s="1"/>
  <c r="H1" i="69"/>
  <c r="AC25" i="40"/>
  <c r="W25" i="40"/>
  <c r="U25" i="40"/>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R63" i="31"/>
  <c r="S63" i="31" s="1"/>
  <c r="R64" i="31"/>
  <c r="S64" i="31" s="1"/>
  <c r="R65" i="31"/>
  <c r="R66" i="31"/>
  <c r="S66" i="31" s="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S82" i="31" s="1"/>
  <c r="R83" i="31"/>
  <c r="S83" i="31" s="1"/>
  <c r="R84" i="31"/>
  <c r="R85" i="31"/>
  <c r="R86" i="31"/>
  <c r="R87" i="31"/>
  <c r="S87" i="31" s="1"/>
  <c r="R88" i="31"/>
  <c r="S88" i="31" s="1"/>
  <c r="R89" i="31"/>
  <c r="R90" i="31"/>
  <c r="R91" i="31"/>
  <c r="S91" i="31" s="1"/>
  <c r="R92" i="31"/>
  <c r="S92" i="31" s="1"/>
  <c r="R93" i="31"/>
  <c r="R94" i="31"/>
  <c r="R95" i="31"/>
  <c r="S95" i="31" s="1"/>
  <c r="R96" i="31"/>
  <c r="S96" i="31" s="1"/>
  <c r="R97" i="31"/>
  <c r="R98" i="31"/>
  <c r="S98" i="31" s="1"/>
  <c r="R99" i="31"/>
  <c r="S99" i="31" s="1"/>
  <c r="R100" i="31"/>
  <c r="S100" i="31" s="1"/>
  <c r="R101" i="31"/>
  <c r="R102" i="31"/>
  <c r="R103" i="31"/>
  <c r="S103" i="31" s="1"/>
  <c r="R104" i="31"/>
  <c r="S104" i="31" s="1"/>
  <c r="R105" i="31"/>
  <c r="R106" i="31"/>
  <c r="S106" i="31" s="1"/>
  <c r="R107" i="31"/>
  <c r="S107" i="31" s="1"/>
  <c r="R108" i="31"/>
  <c r="S108" i="31" s="1"/>
  <c r="R109" i="31"/>
  <c r="R110" i="31"/>
  <c r="R111" i="31"/>
  <c r="S111" i="31" s="1"/>
  <c r="R112" i="31"/>
  <c r="S112" i="31" s="1"/>
  <c r="R113" i="31"/>
  <c r="R114" i="31"/>
  <c r="R115" i="31"/>
  <c r="S115" i="31" s="1"/>
  <c r="R116" i="31"/>
  <c r="S116" i="31" s="1"/>
  <c r="R117" i="31"/>
  <c r="R118" i="31"/>
  <c r="S118" i="31" s="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R215" i="31"/>
  <c r="S215" i="31" s="1"/>
  <c r="R216" i="31"/>
  <c r="S216" i="31" s="1"/>
  <c r="R217" i="31"/>
  <c r="R218" i="31"/>
  <c r="R219" i="31"/>
  <c r="S219" i="31" s="1"/>
  <c r="R220" i="31"/>
  <c r="S220" i="31" s="1"/>
  <c r="R221" i="31"/>
  <c r="R222" i="31"/>
  <c r="R223" i="31"/>
  <c r="S223" i="31" s="1"/>
  <c r="R224" i="3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R434" i="31"/>
  <c r="S434" i="31" s="1"/>
  <c r="R435" i="31"/>
  <c r="R436" i="31"/>
  <c r="S436" i="31" s="1"/>
  <c r="R437" i="31"/>
  <c r="R438" i="31"/>
  <c r="S438" i="31" s="1"/>
  <c r="R439" i="31"/>
  <c r="S439" i="31" s="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R480" i="31"/>
  <c r="S480" i="31" s="1"/>
  <c r="R481" i="31"/>
  <c r="R482" i="31"/>
  <c r="S482" i="31" s="1"/>
  <c r="R483" i="31"/>
  <c r="S483" i="31" s="1"/>
  <c r="R484" i="31"/>
  <c r="S484" i="31" s="1"/>
  <c r="R485" i="31"/>
  <c r="R486" i="31"/>
  <c r="S486" i="31" s="1"/>
  <c r="R487" i="31"/>
  <c r="R488" i="31"/>
  <c r="S488" i="31" s="1"/>
  <c r="R489" i="31"/>
  <c r="R490" i="31"/>
  <c r="S490" i="31" s="1"/>
  <c r="R491" i="31"/>
  <c r="S491" i="31" s="1"/>
  <c r="R492" i="31"/>
  <c r="S492" i="31" s="1"/>
  <c r="R493" i="31"/>
  <c r="R494" i="31"/>
  <c r="S494" i="31" s="1"/>
  <c r="R495" i="31"/>
  <c r="R496" i="31"/>
  <c r="S496" i="31" s="1"/>
  <c r="R497" i="31"/>
  <c r="R498" i="31"/>
  <c r="S498" i="31" s="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D15" i="3"/>
  <c r="BE15" i="3"/>
  <c r="BF15" i="3"/>
  <c r="BG15" i="3"/>
  <c r="BG5" i="3" s="1"/>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E5" i="6" s="1"/>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0" i="31"/>
  <c r="S320" i="31"/>
  <c r="S306" i="31"/>
  <c r="S298" i="31"/>
  <c r="S282" i="31"/>
  <c r="S276" i="31"/>
  <c r="S266" i="31"/>
  <c r="S258" i="31"/>
  <c r="S256" i="31"/>
  <c r="S253" i="31"/>
  <c r="S249" i="31"/>
  <c r="S245" i="31"/>
  <c r="S241" i="31"/>
  <c r="S237" i="31"/>
  <c r="S233" i="31"/>
  <c r="S229" i="31"/>
  <c r="S225" i="31"/>
  <c r="S224" i="31"/>
  <c r="S222" i="31"/>
  <c r="S221" i="31"/>
  <c r="S218" i="31"/>
  <c r="S217" i="31"/>
  <c r="S214" i="31"/>
  <c r="S213" i="31"/>
  <c r="S209" i="31"/>
  <c r="S206" i="31"/>
  <c r="S205" i="31"/>
  <c r="S201" i="31"/>
  <c r="S198" i="31"/>
  <c r="S197" i="31"/>
  <c r="S194" i="31"/>
  <c r="S193" i="31"/>
  <c r="S190" i="31"/>
  <c r="S189" i="31"/>
  <c r="S186" i="31"/>
  <c r="S185" i="31"/>
  <c r="S184" i="31"/>
  <c r="S181" i="31"/>
  <c r="S178" i="31"/>
  <c r="S177" i="31"/>
  <c r="S173" i="31"/>
  <c r="S170" i="31"/>
  <c r="S169" i="31"/>
  <c r="S166" i="31"/>
  <c r="S165" i="31"/>
  <c r="S162" i="31"/>
  <c r="S161" i="31"/>
  <c r="S158" i="31"/>
  <c r="S157" i="31"/>
  <c r="S154" i="31"/>
  <c r="S153" i="31"/>
  <c r="S150" i="31"/>
  <c r="S149" i="31"/>
  <c r="S145" i="31"/>
  <c r="S142" i="31"/>
  <c r="S141" i="31"/>
  <c r="S137" i="31"/>
  <c r="S134" i="31"/>
  <c r="S133" i="31"/>
  <c r="S130" i="31"/>
  <c r="S129" i="31"/>
  <c r="S126" i="31"/>
  <c r="S125" i="31"/>
  <c r="S497" i="31"/>
  <c r="S495" i="31"/>
  <c r="S493" i="31"/>
  <c r="S489" i="31"/>
  <c r="S487" i="31"/>
  <c r="S485" i="31"/>
  <c r="S481" i="31"/>
  <c r="S479" i="31"/>
  <c r="S477" i="31"/>
  <c r="S473" i="31"/>
  <c r="S471" i="31"/>
  <c r="S469" i="31"/>
  <c r="S443" i="31"/>
  <c r="S441" i="31"/>
  <c r="S437" i="31"/>
  <c r="S435" i="31"/>
  <c r="S433" i="31"/>
  <c r="S122" i="31"/>
  <c r="S121" i="31"/>
  <c r="S117" i="31"/>
  <c r="S114" i="31"/>
  <c r="S113" i="31"/>
  <c r="S463" i="31"/>
  <c r="S455" i="31"/>
  <c r="S451" i="31"/>
  <c r="S53" i="31"/>
  <c r="S49" i="31"/>
  <c r="S45" i="31"/>
  <c r="S41" i="31"/>
  <c r="S37" i="31"/>
  <c r="S33" i="31"/>
  <c r="S77" i="31"/>
  <c r="S74" i="31"/>
  <c r="S73" i="31"/>
  <c r="S70" i="31"/>
  <c r="S69" i="31"/>
  <c r="S65" i="31"/>
  <c r="S62" i="31"/>
  <c r="S61" i="31"/>
  <c r="S57" i="31"/>
  <c r="S97" i="31"/>
  <c r="S94" i="31"/>
  <c r="S93" i="31"/>
  <c r="S90" i="31"/>
  <c r="S89" i="31"/>
  <c r="S86" i="31"/>
  <c r="S85" i="31"/>
  <c r="S84" i="31"/>
  <c r="S81" i="31"/>
  <c r="S78" i="31"/>
  <c r="S29" i="31"/>
  <c r="S101" i="31"/>
  <c r="S102" i="31"/>
  <c r="S105" i="31"/>
  <c r="S109" i="31"/>
  <c r="S110" i="31"/>
  <c r="S447"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B99" i="35"/>
  <c r="B97" i="35"/>
  <c r="B77" i="35"/>
  <c r="B75" i="35"/>
  <c r="J24" i="35" s="1"/>
  <c r="AC24" i="35" s="1"/>
  <c r="B73" i="35"/>
  <c r="J23" i="35" s="1"/>
  <c r="AC23" i="35" s="1"/>
  <c r="B57" i="35"/>
  <c r="B61" i="35"/>
  <c r="B59" i="35"/>
  <c r="H12" i="35" s="1"/>
  <c r="B131" i="34"/>
  <c r="B129" i="34"/>
  <c r="H46" i="34" s="1"/>
  <c r="U46" i="34" s="1"/>
  <c r="B127" i="34"/>
  <c r="H45" i="34" s="1"/>
  <c r="B99" i="34"/>
  <c r="J32" i="34" s="1"/>
  <c r="B97" i="34"/>
  <c r="B95" i="34"/>
  <c r="B93" i="34"/>
  <c r="B75" i="34"/>
  <c r="J14" i="34" s="1"/>
  <c r="B73" i="34"/>
  <c r="B71" i="34"/>
  <c r="J12" i="34" s="1"/>
  <c r="W12" i="34" s="1"/>
  <c r="B130" i="33"/>
  <c r="B128" i="33"/>
  <c r="F45" i="33" s="1"/>
  <c r="B126" i="33"/>
  <c r="B98" i="33"/>
  <c r="B96" i="33"/>
  <c r="B94" i="33"/>
  <c r="F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AC8" i="34" s="1"/>
  <c r="H8" i="34"/>
  <c r="U8" i="34" s="1"/>
  <c r="F8" i="34"/>
  <c r="AA8" i="34" s="1"/>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B126" i="21"/>
  <c r="J44" i="21" s="1"/>
  <c r="B98" i="21"/>
  <c r="H31" i="21"/>
  <c r="B96" i="21"/>
  <c r="B94" i="21"/>
  <c r="J29" i="21" s="1"/>
  <c r="AC29" i="21" s="1"/>
  <c r="B92" i="21"/>
  <c r="F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U9" i="39"/>
  <c r="W40" i="39"/>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AA36" i="34" s="1"/>
  <c r="J35" i="34"/>
  <c r="AC35" i="34" s="1"/>
  <c r="H39" i="33"/>
  <c r="AB39" i="33" s="1"/>
  <c r="AA26" i="33"/>
  <c r="W33" i="33"/>
  <c r="W39"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F19" i="34"/>
  <c r="S19" i="34" s="1"/>
  <c r="H17" i="34"/>
  <c r="U17" i="34" s="1"/>
  <c r="H15" i="34"/>
  <c r="AB15" i="34" s="1"/>
  <c r="J28" i="34"/>
  <c r="W28" i="34" s="1"/>
  <c r="F41" i="33"/>
  <c r="AA41"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W43" i="34" s="1"/>
  <c r="AB42" i="34"/>
  <c r="J40" i="34"/>
  <c r="W40" i="34" s="1"/>
  <c r="H38" i="34"/>
  <c r="AB38" i="34" s="1"/>
  <c r="J36" i="34"/>
  <c r="AC36" i="34" s="1"/>
  <c r="H37" i="34"/>
  <c r="U37" i="34" s="1"/>
  <c r="H25" i="34"/>
  <c r="AB25" i="34" s="1"/>
  <c r="J25" i="34"/>
  <c r="AC25"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S42" i="34"/>
  <c r="AC38" i="34"/>
  <c r="J37" i="34"/>
  <c r="AC37" i="34" s="1"/>
  <c r="J11" i="33"/>
  <c r="W11" i="33" s="1"/>
  <c r="J42" i="21"/>
  <c r="AC42" i="21"/>
  <c r="H42" i="21"/>
  <c r="U42" i="21"/>
  <c r="J44" i="34"/>
  <c r="W44" i="34" s="1"/>
  <c r="F44" i="34"/>
  <c r="S44" i="34" s="1"/>
  <c r="J10" i="35"/>
  <c r="AC10" i="35" s="1"/>
  <c r="J14" i="21"/>
  <c r="W14" i="21"/>
  <c r="F14" i="21"/>
  <c r="S14" i="21" s="1"/>
  <c r="H14" i="21"/>
  <c r="U14" i="21" s="1"/>
  <c r="H28" i="21"/>
  <c r="AB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J31" i="33"/>
  <c r="W31" i="33" s="1"/>
  <c r="H31" i="33"/>
  <c r="F31" i="33"/>
  <c r="H45" i="33"/>
  <c r="U45" i="33" s="1"/>
  <c r="J45" i="33"/>
  <c r="W45" i="33" s="1"/>
  <c r="F14" i="34"/>
  <c r="S14" i="34" s="1"/>
  <c r="H14" i="34"/>
  <c r="H30" i="34"/>
  <c r="U30" i="34" s="1"/>
  <c r="F30" i="34"/>
  <c r="S30" i="34" s="1"/>
  <c r="J30" i="34"/>
  <c r="F32" i="34"/>
  <c r="F46" i="34"/>
  <c r="S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7" i="34"/>
  <c r="U47" i="34" s="1"/>
  <c r="F47" i="34"/>
  <c r="S47" i="34" s="1"/>
  <c r="J47" i="34"/>
  <c r="AC47" i="34" s="1"/>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AA13" i="33"/>
  <c r="AC45" i="33"/>
  <c r="W44" i="33"/>
  <c r="U11" i="33"/>
  <c r="U19" i="21"/>
  <c r="AB38" i="21"/>
  <c r="F43" i="33"/>
  <c r="AA43" i="33" s="1"/>
  <c r="W16" i="35"/>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AZ128" i="3"/>
  <c r="G534" i="3"/>
  <c r="G530" i="3"/>
  <c r="G522" i="3"/>
  <c r="G516" i="3"/>
  <c r="G512" i="3"/>
  <c r="G506" i="3"/>
  <c r="G498" i="3"/>
  <c r="G494" i="3"/>
  <c r="G16"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AZ237" i="3"/>
  <c r="AZ245" i="3"/>
  <c r="AZ249" i="3"/>
  <c r="AZ257" i="3"/>
  <c r="BA379" i="3"/>
  <c r="AZ379" i="3" s="1"/>
  <c r="BL380" i="3"/>
  <c r="G381" i="3"/>
  <c r="BA383" i="3"/>
  <c r="AZ383" i="3" s="1"/>
  <c r="BL384" i="3"/>
  <c r="AZ384" i="3" s="1"/>
  <c r="G385" i="3"/>
  <c r="BA387" i="3"/>
  <c r="AZ387" i="3" s="1"/>
  <c r="BL388" i="3"/>
  <c r="G389" i="3"/>
  <c r="BA391" i="3"/>
  <c r="BL392" i="3"/>
  <c r="AZ392" i="3" s="1"/>
  <c r="G393" i="3"/>
  <c r="AZ283" i="3"/>
  <c r="BM5" i="3"/>
  <c r="BH5" i="3"/>
  <c r="BD5" i="3"/>
  <c r="AZ325" i="3"/>
  <c r="AC5" i="3"/>
  <c r="AZ506" i="3"/>
  <c r="AZ496" i="3"/>
  <c r="G548" i="3"/>
  <c r="G538" i="3"/>
  <c r="G520" i="3"/>
  <c r="G502" i="3"/>
  <c r="BS5" i="3"/>
  <c r="BP5" i="3"/>
  <c r="BK5" i="3"/>
  <c r="G17" i="3"/>
  <c r="BA17" i="3"/>
  <c r="BT5" i="3"/>
  <c r="AZ356" i="3"/>
  <c r="BA15" i="3"/>
  <c r="G509" i="3"/>
  <c r="BL493" i="3"/>
  <c r="AZ493" i="3" s="1"/>
  <c r="U36" i="40"/>
  <c r="F83" i="43"/>
  <c r="H85" i="43" s="1"/>
  <c r="F50" i="43"/>
  <c r="H54" i="43" s="1"/>
  <c r="F72" i="43"/>
  <c r="H75" i="43" s="1"/>
  <c r="U17" i="39"/>
  <c r="S14" i="35"/>
  <c r="U43" i="21"/>
  <c r="U35" i="21"/>
  <c r="AC35" i="21"/>
  <c r="AC11" i="39"/>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F23" i="39"/>
  <c r="S23" i="39" s="1"/>
  <c r="AA23" i="39"/>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12" i="3"/>
  <c r="AZ433" i="3"/>
  <c r="W12" i="33"/>
  <c r="AC12" i="33"/>
  <c r="AA32" i="36"/>
  <c r="S32" i="36"/>
  <c r="AZ437" i="3"/>
  <c r="U30" i="33"/>
  <c r="W28" i="37"/>
  <c r="S19" i="39"/>
  <c r="F12" i="33"/>
  <c r="H12" i="39"/>
  <c r="AB12" i="39"/>
  <c r="F39" i="40"/>
  <c r="AA39" i="40" s="1"/>
  <c r="BA14" i="3"/>
  <c r="AZ224"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U43" i="34"/>
  <c r="AC42" i="34"/>
  <c r="AA25" i="34"/>
  <c r="U28" i="34"/>
  <c r="U27" i="34"/>
  <c r="S13" i="34"/>
  <c r="H10" i="34"/>
  <c r="AB10" i="34" s="1"/>
  <c r="F11" i="34"/>
  <c r="S11" i="34" s="1"/>
  <c r="W42" i="33"/>
  <c r="AA35" i="33"/>
  <c r="S27" i="33"/>
  <c r="S32"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F34" i="67"/>
  <c r="F62" i="67" s="1"/>
  <c r="M20" i="67"/>
  <c r="F34" i="15"/>
  <c r="F62" i="15" s="1"/>
  <c r="BL17" i="3"/>
  <c r="AZ17" i="3"/>
  <c r="J56" i="9"/>
  <c r="J57" i="9" s="1"/>
  <c r="J59" i="9" s="1"/>
  <c r="J61" i="9" s="1"/>
  <c r="U29" i="34"/>
  <c r="E32" i="6"/>
  <c r="G1" i="68"/>
  <c r="E19" i="69"/>
  <c r="E19" i="68"/>
  <c r="E19" i="11"/>
  <c r="G22" i="68"/>
  <c r="C6" i="43"/>
  <c r="B19" i="53"/>
  <c r="B37" i="72" s="1"/>
  <c r="C7" i="39"/>
  <c r="C67" i="39" s="1"/>
  <c r="C7" i="35"/>
  <c r="C48" i="35" s="1"/>
  <c r="D48" i="35" s="1"/>
  <c r="C7" i="33"/>
  <c r="C7" i="21"/>
  <c r="C7" i="40"/>
  <c r="C63" i="40" s="1"/>
  <c r="M47" i="9"/>
  <c r="G23" i="43"/>
  <c r="C23" i="43" s="1"/>
  <c r="A4" i="51"/>
  <c r="B6" i="72" s="1"/>
  <c r="L20" i="6"/>
  <c r="K11" i="1"/>
  <c r="M11" i="1" s="1"/>
  <c r="O11" i="1" s="1"/>
  <c r="B9" i="1"/>
  <c r="E9" i="1" s="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A31" i="34"/>
  <c r="AA30" i="34"/>
  <c r="U25" i="34"/>
  <c r="AC29" i="34"/>
  <c r="W29" i="34"/>
  <c r="S32" i="34"/>
  <c r="AA32" i="34"/>
  <c r="AB30" i="34"/>
  <c r="S37" i="34"/>
  <c r="U38" i="34"/>
  <c r="AC40" i="34"/>
  <c r="S8" i="34"/>
  <c r="AB9" i="34"/>
  <c r="U9" i="34"/>
  <c r="U14" i="34"/>
  <c r="AB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S12" i="33"/>
  <c r="AA12" i="33"/>
  <c r="J32" i="39"/>
  <c r="AC32" i="39" s="1"/>
  <c r="H32" i="39"/>
  <c r="AB32" i="39" s="1"/>
  <c r="AA32" i="39"/>
  <c r="S32" i="39"/>
  <c r="AB21" i="39"/>
  <c r="AA21" i="39"/>
  <c r="S21" i="39"/>
  <c r="AC17" i="37"/>
  <c r="J19" i="37"/>
  <c r="W19" i="37" s="1"/>
  <c r="AA19" i="37"/>
  <c r="J23" i="37"/>
  <c r="AC23" i="37" s="1"/>
  <c r="G79" i="37"/>
  <c r="J10" i="37"/>
  <c r="W10" i="37" s="1"/>
  <c r="G63" i="37"/>
  <c r="H63" i="37" s="1"/>
  <c r="I63" i="37" s="1"/>
  <c r="H11" i="37"/>
  <c r="AB11" i="37" s="1"/>
  <c r="H11" i="34"/>
  <c r="U11" i="34" s="1"/>
  <c r="J10" i="34"/>
  <c r="AC10" i="34" s="1"/>
  <c r="AB41" i="33"/>
  <c r="U41" i="33"/>
  <c r="W35" i="33"/>
  <c r="AC35" i="33"/>
  <c r="J36" i="33"/>
  <c r="W36" i="33" s="1"/>
  <c r="H36" i="33"/>
  <c r="U36" i="33" s="1"/>
  <c r="S36" i="33"/>
  <c r="W32" i="33"/>
  <c r="U27" i="33"/>
  <c r="J27" i="33"/>
  <c r="AC27" i="33" s="1"/>
  <c r="U25" i="33"/>
  <c r="AB25" i="33"/>
  <c r="G87" i="33"/>
  <c r="H87" i="33"/>
  <c r="I87" i="33" s="1"/>
  <c r="J87" i="33" s="1"/>
  <c r="K87" i="33" s="1"/>
  <c r="L87" i="33" s="1"/>
  <c r="M87" i="33" s="1"/>
  <c r="J25" i="33"/>
  <c r="AB23" i="33"/>
  <c r="U23" i="33"/>
  <c r="F23" i="33"/>
  <c r="G85" i="33"/>
  <c r="H19" i="33"/>
  <c r="AB19" i="33" s="1"/>
  <c r="H17" i="33"/>
  <c r="U17" i="33" s="1"/>
  <c r="F17" i="33"/>
  <c r="S17" i="33" s="1"/>
  <c r="W17" i="33"/>
  <c r="AC17" i="33"/>
  <c r="AB15" i="21"/>
  <c r="J23" i="21"/>
  <c r="F85" i="21"/>
  <c r="G85" i="21" s="1"/>
  <c r="H23" i="21"/>
  <c r="U23" i="21" s="1"/>
  <c r="S13" i="21"/>
  <c r="AP7" i="1"/>
  <c r="AB45" i="21"/>
  <c r="AB9" i="21"/>
  <c r="U9" i="21"/>
  <c r="AA32" i="21"/>
  <c r="S32" i="21"/>
  <c r="W9" i="21"/>
  <c r="AB32" i="21"/>
  <c r="U32" i="21"/>
  <c r="U32" i="39"/>
  <c r="W23" i="37"/>
  <c r="J63" i="37"/>
  <c r="K63" i="37" s="1"/>
  <c r="L63" i="37" s="1"/>
  <c r="M63" i="37" s="1"/>
  <c r="J11" i="37"/>
  <c r="AC11" i="37"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4" i="68"/>
  <c r="E2" i="69"/>
  <c r="E10" i="76"/>
  <c r="B8" i="76"/>
  <c r="F5" i="73"/>
  <c r="B12" i="76"/>
  <c r="D6" i="73"/>
  <c r="B9" i="76"/>
  <c r="B7" i="76"/>
  <c r="E13" i="76"/>
  <c r="F3" i="73"/>
  <c r="E7" i="76"/>
  <c r="B10" i="76"/>
  <c r="E2" i="68"/>
  <c r="B13" i="76"/>
  <c r="F4" i="73"/>
  <c r="F20" i="31"/>
  <c r="E12" i="76"/>
  <c r="E9" i="76"/>
  <c r="B11" i="76"/>
  <c r="E11" i="76"/>
  <c r="E8" i="76"/>
  <c r="F7" i="73"/>
  <c r="AO13" i="1"/>
  <c r="F6" i="73"/>
  <c r="AC17" i="34" l="1"/>
  <c r="AC46" i="34"/>
  <c r="AB47" i="34"/>
  <c r="AA47" i="34"/>
  <c r="W47" i="34"/>
  <c r="F45" i="34"/>
  <c r="S45" i="34" s="1"/>
  <c r="U34" i="34"/>
  <c r="F86" i="34"/>
  <c r="G86" i="34" s="1"/>
  <c r="J23" i="34"/>
  <c r="F23" i="34"/>
  <c r="AA23" i="34" s="1"/>
  <c r="H23" i="34"/>
  <c r="U23" i="34" s="1"/>
  <c r="F78" i="34"/>
  <c r="G78" i="34" s="1"/>
  <c r="F15" i="34"/>
  <c r="AA15" i="34" s="1"/>
  <c r="J15" i="34"/>
  <c r="W15" i="34" s="1"/>
  <c r="W19" i="34"/>
  <c r="U19" i="34"/>
  <c r="AC44" i="34"/>
  <c r="AC43" i="34"/>
  <c r="AB41" i="34"/>
  <c r="U39" i="34"/>
  <c r="W41" i="34"/>
  <c r="W35" i="34"/>
  <c r="AB35" i="34"/>
  <c r="AC39" i="34"/>
  <c r="S36" i="34"/>
  <c r="AB36" i="34"/>
  <c r="AA19" i="34"/>
  <c r="U21" i="34"/>
  <c r="S21" i="34"/>
  <c r="S17" i="34"/>
  <c r="U15" i="34"/>
  <c r="W33" i="34"/>
  <c r="U33" i="34"/>
  <c r="AA33" i="34"/>
  <c r="AB8" i="34"/>
  <c r="U45" i="34"/>
  <c r="AB45" i="34"/>
  <c r="AA46" i="34"/>
  <c r="J45" i="34"/>
  <c r="S28" i="34"/>
  <c r="AA29" i="34"/>
  <c r="AC13" i="34"/>
  <c r="BC5" i="3"/>
  <c r="H5" i="3"/>
  <c r="BJ5" i="3"/>
  <c r="BF5" i="3"/>
  <c r="BN5" i="3"/>
  <c r="G29" i="6" s="1"/>
  <c r="BL15" i="3"/>
  <c r="AZ15" i="3" s="1"/>
  <c r="BE5" i="3"/>
  <c r="BO5" i="3"/>
  <c r="BR5" i="3"/>
  <c r="G28" i="6" s="1"/>
  <c r="G1" i="69"/>
  <c r="BA13" i="3"/>
  <c r="AZ13" i="3" s="1"/>
  <c r="G13" i="3"/>
  <c r="F31" i="12"/>
  <c r="D68" i="9"/>
  <c r="M18" i="15"/>
  <c r="M18" i="67"/>
  <c r="F30" i="11"/>
  <c r="C48" i="11" s="1"/>
  <c r="F30" i="69"/>
  <c r="F48" i="69" s="1"/>
  <c r="F54" i="9"/>
  <c r="F28" i="15"/>
  <c r="F32" i="67"/>
  <c r="F60" i="67" s="1"/>
  <c r="F28" i="67"/>
  <c r="D93" i="9"/>
  <c r="G22" i="69"/>
  <c r="G22" i="11"/>
  <c r="E1" i="73"/>
  <c r="G26" i="12"/>
  <c r="G1" i="67"/>
  <c r="G1" i="15"/>
  <c r="B6" i="1"/>
  <c r="E6" i="1" s="1"/>
  <c r="K1" i="12"/>
  <c r="K6" i="1"/>
  <c r="AP6" i="1" s="1"/>
  <c r="C36" i="69" s="1"/>
  <c r="BB5" i="3"/>
  <c r="E14" i="6" s="1"/>
  <c r="E63" i="39" s="1"/>
  <c r="BL13" i="3"/>
  <c r="F29" i="6"/>
  <c r="B57" i="43"/>
  <c r="B79" i="43"/>
  <c r="AA28" i="21"/>
  <c r="S28" i="21"/>
  <c r="AC44" i="21"/>
  <c r="W44" i="21"/>
  <c r="S29" i="33"/>
  <c r="AA29" i="33"/>
  <c r="AA45" i="33"/>
  <c r="S45" i="33"/>
  <c r="W14" i="34"/>
  <c r="AC14" i="34"/>
  <c r="W32" i="34"/>
  <c r="AC32" i="34"/>
  <c r="U12" i="35"/>
  <c r="AB12" i="35"/>
  <c r="AB36" i="35"/>
  <c r="U36" i="35"/>
  <c r="W45" i="21"/>
  <c r="AC45" i="21"/>
  <c r="AB26" i="37"/>
  <c r="U26" i="37"/>
  <c r="AA23" i="21"/>
  <c r="AA25" i="33"/>
  <c r="U19" i="33"/>
  <c r="D6" i="52"/>
  <c r="AA23" i="37"/>
  <c r="S17" i="37"/>
  <c r="W27" i="40"/>
  <c r="W15" i="21"/>
  <c r="S43" i="34"/>
  <c r="U32" i="37"/>
  <c r="AZ14" i="3"/>
  <c r="AZ334" i="3"/>
  <c r="AZ347" i="3"/>
  <c r="AA11" i="39"/>
  <c r="AZ523" i="3"/>
  <c r="AZ547" i="3"/>
  <c r="AZ571" i="3"/>
  <c r="AZ579" i="3"/>
  <c r="AB46" i="34"/>
  <c r="AB30" i="21"/>
  <c r="AA12" i="36"/>
  <c r="S40" i="21"/>
  <c r="U35" i="33"/>
  <c r="W31" i="37"/>
  <c r="AC9" i="34"/>
  <c r="W9" i="34"/>
  <c r="S9" i="40"/>
  <c r="AA9" i="40"/>
  <c r="AC31" i="40"/>
  <c r="W31" i="40"/>
  <c r="G551" i="3"/>
  <c r="BL550" i="3"/>
  <c r="G542" i="3"/>
  <c r="S42" i="39"/>
  <c r="AB33" i="40"/>
  <c r="AC31" i="33"/>
  <c r="AA36" i="39"/>
  <c r="AZ539" i="3"/>
  <c r="AZ529" i="3"/>
  <c r="AZ537" i="3"/>
  <c r="AZ518" i="3"/>
  <c r="AZ526" i="3"/>
  <c r="AZ546" i="3"/>
  <c r="AZ564" i="3"/>
  <c r="AZ580" i="3"/>
  <c r="AB45" i="33"/>
  <c r="S11" i="36"/>
  <c r="S14" i="37"/>
  <c r="H32" i="34"/>
  <c r="H29" i="33"/>
  <c r="F45" i="21"/>
  <c r="AA44" i="34"/>
  <c r="AA29" i="35"/>
  <c r="AB17" i="34"/>
  <c r="W36" i="34"/>
  <c r="S38" i="33"/>
  <c r="W8" i="34"/>
  <c r="S35" i="34"/>
  <c r="AC12" i="34"/>
  <c r="U33" i="33"/>
  <c r="W25" i="37"/>
  <c r="G585" i="3"/>
  <c r="BL587" i="3"/>
  <c r="AZ587" i="3" s="1"/>
  <c r="BL586" i="3"/>
  <c r="AZ586" i="3" s="1"/>
  <c r="B72" i="43"/>
  <c r="C15" i="39"/>
  <c r="B75" i="43"/>
  <c r="H23" i="35"/>
  <c r="J9" i="36"/>
  <c r="H24" i="36"/>
  <c r="J24" i="36"/>
  <c r="J39" i="37"/>
  <c r="F39" i="37"/>
  <c r="S39" i="37" s="1"/>
  <c r="G570" i="3"/>
  <c r="AA19" i="33"/>
  <c r="S39" i="40"/>
  <c r="AZ391" i="3"/>
  <c r="AZ364" i="3"/>
  <c r="AZ329" i="3"/>
  <c r="AZ306" i="3"/>
  <c r="AZ513" i="3"/>
  <c r="AZ502" i="3"/>
  <c r="F12" i="35"/>
  <c r="J12" i="35"/>
  <c r="AB30" i="37"/>
  <c r="U30" i="37"/>
  <c r="H44" i="39"/>
  <c r="J44" i="39"/>
  <c r="AA34" i="39"/>
  <c r="AA31" i="35"/>
  <c r="S31" i="35"/>
  <c r="AB36" i="33"/>
  <c r="W32" i="39"/>
  <c r="AA17" i="33"/>
  <c r="S37" i="21"/>
  <c r="AZ357" i="3"/>
  <c r="AZ322" i="3"/>
  <c r="AZ313" i="3"/>
  <c r="AZ394" i="3"/>
  <c r="S14" i="40"/>
  <c r="AA25" i="21"/>
  <c r="AC28" i="34"/>
  <c r="AZ531" i="3"/>
  <c r="AZ583" i="3"/>
  <c r="AZ568" i="3"/>
  <c r="AZ576" i="3"/>
  <c r="AA14" i="34"/>
  <c r="BL585" i="3"/>
  <c r="AZ585" i="3" s="1"/>
  <c r="H12" i="34"/>
  <c r="AB31" i="36"/>
  <c r="U31" i="36"/>
  <c r="H25" i="37"/>
  <c r="F25" i="37"/>
  <c r="U8" i="39"/>
  <c r="AB8" i="39"/>
  <c r="BL398" i="3"/>
  <c r="AZ398" i="3" s="1"/>
  <c r="G402" i="3"/>
  <c r="BL403" i="3"/>
  <c r="G405" i="3"/>
  <c r="G406" i="3"/>
  <c r="BA408" i="3"/>
  <c r="BA409" i="3"/>
  <c r="AZ409" i="3" s="1"/>
  <c r="BA411" i="3"/>
  <c r="BA420" i="3"/>
  <c r="BA421" i="3"/>
  <c r="BA423" i="3"/>
  <c r="AZ423" i="3" s="1"/>
  <c r="G429" i="3"/>
  <c r="G430" i="3"/>
  <c r="BL432" i="3"/>
  <c r="BL435" i="3"/>
  <c r="BL436" i="3"/>
  <c r="BA439" i="3"/>
  <c r="BA440" i="3"/>
  <c r="AZ440" i="3" s="1"/>
  <c r="BA443" i="3"/>
  <c r="AZ443" i="3" s="1"/>
  <c r="BL445" i="3"/>
  <c r="BL446" i="3"/>
  <c r="BA449" i="3"/>
  <c r="BL455" i="3"/>
  <c r="BA460" i="3"/>
  <c r="BA461" i="3"/>
  <c r="AZ461" i="3" s="1"/>
  <c r="BL465" i="3"/>
  <c r="BA473" i="3"/>
  <c r="AZ473" i="3" s="1"/>
  <c r="AZ228" i="3"/>
  <c r="AZ483" i="3"/>
  <c r="G574" i="3"/>
  <c r="BL16" i="3"/>
  <c r="AZ16" i="3" s="1"/>
  <c r="BA401" i="3"/>
  <c r="AZ401" i="3" s="1"/>
  <c r="BA403" i="3"/>
  <c r="AZ403" i="3" s="1"/>
  <c r="BA404" i="3"/>
  <c r="AZ404" i="3" s="1"/>
  <c r="BA405" i="3"/>
  <c r="AZ405" i="3" s="1"/>
  <c r="G409" i="3"/>
  <c r="BL410" i="3"/>
  <c r="G419" i="3"/>
  <c r="BL420" i="3"/>
  <c r="G423" i="3"/>
  <c r="AZ435" i="3"/>
  <c r="BA441" i="3"/>
  <c r="AZ441" i="3" s="1"/>
  <c r="AZ451" i="3"/>
  <c r="BL452" i="3"/>
  <c r="G455" i="3"/>
  <c r="AZ458" i="3"/>
  <c r="BA464" i="3"/>
  <c r="AZ464" i="3" s="1"/>
  <c r="BL470" i="3"/>
  <c r="AZ487" i="3"/>
  <c r="G587" i="3"/>
  <c r="BA551" i="3"/>
  <c r="AZ551" i="3" s="1"/>
  <c r="BA550" i="3"/>
  <c r="AZ550" i="3" s="1"/>
  <c r="BL548" i="3"/>
  <c r="AZ548" i="3" s="1"/>
  <c r="G399" i="3"/>
  <c r="BL400" i="3"/>
  <c r="AZ400" i="3" s="1"/>
  <c r="BL408" i="3"/>
  <c r="BL411" i="3"/>
  <c r="BL413" i="3"/>
  <c r="AZ413" i="3" s="1"/>
  <c r="G416" i="3"/>
  <c r="BL417" i="3"/>
  <c r="BL418" i="3"/>
  <c r="AZ418" i="3" s="1"/>
  <c r="BA424" i="3"/>
  <c r="BA425" i="3"/>
  <c r="BA426" i="3"/>
  <c r="BA427" i="3"/>
  <c r="AZ427" i="3" s="1"/>
  <c r="BL431" i="3"/>
  <c r="BL434" i="3"/>
  <c r="G437" i="3"/>
  <c r="BL438" i="3"/>
  <c r="BL439" i="3"/>
  <c r="BA442" i="3"/>
  <c r="G444" i="3"/>
  <c r="BL444" i="3"/>
  <c r="AZ444" i="3" s="1"/>
  <c r="BL449" i="3"/>
  <c r="BL450" i="3"/>
  <c r="BL453" i="3"/>
  <c r="BL454" i="3"/>
  <c r="AZ454" i="3" s="1"/>
  <c r="BA456" i="3"/>
  <c r="BA457" i="3"/>
  <c r="BA462" i="3"/>
  <c r="AZ462" i="3" s="1"/>
  <c r="G466" i="3"/>
  <c r="BL466" i="3"/>
  <c r="AZ466" i="3" s="1"/>
  <c r="G468"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L270" i="3"/>
  <c r="AZ270" i="3" s="1"/>
  <c r="BL287" i="3"/>
  <c r="BA122" i="3"/>
  <c r="AZ122"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3" i="3"/>
  <c r="BA256" i="3"/>
  <c r="AZ256" i="3" s="1"/>
  <c r="BL256" i="3"/>
  <c r="BA258" i="3"/>
  <c r="BL267" i="3"/>
  <c r="BA273" i="3"/>
  <c r="BL275" i="3"/>
  <c r="AZ275" i="3" s="1"/>
  <c r="BL285" i="3"/>
  <c r="BA291" i="3"/>
  <c r="BL295" i="3"/>
  <c r="BA298" i="3"/>
  <c r="AZ298" i="3" s="1"/>
  <c r="BL301" i="3"/>
  <c r="AZ301" i="3" s="1"/>
  <c r="BL302" i="3"/>
  <c r="BA114" i="3"/>
  <c r="BA125" i="3"/>
  <c r="AZ125" i="3" s="1"/>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BA230" i="3"/>
  <c r="AZ230" i="3" s="1"/>
  <c r="BL232" i="3"/>
  <c r="G249" i="3"/>
  <c r="BA251" i="3"/>
  <c r="BL251" i="3"/>
  <c r="BA254" i="3"/>
  <c r="AZ254" i="3" s="1"/>
  <c r="BL259" i="3"/>
  <c r="BA262" i="3"/>
  <c r="AZ262" i="3" s="1"/>
  <c r="G265" i="3"/>
  <c r="BL265" i="3"/>
  <c r="AZ265" i="3" s="1"/>
  <c r="G267" i="3"/>
  <c r="BL289" i="3"/>
  <c r="BA294" i="3"/>
  <c r="AZ294" i="3" s="1"/>
  <c r="BL123" i="3"/>
  <c r="AZ123" i="3" s="1"/>
  <c r="F34" i="71"/>
  <c r="F35" i="71" s="1"/>
  <c r="F36" i="71" s="1"/>
  <c r="V36" i="71" s="1"/>
  <c r="AB33" i="71"/>
  <c r="AB28"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G190" i="3"/>
  <c r="BL193" i="3"/>
  <c r="G194" i="3"/>
  <c r="BL194" i="3"/>
  <c r="AZ194" i="3" s="1"/>
  <c r="BA198" i="3"/>
  <c r="AZ198" i="3" s="1"/>
  <c r="BL205" i="3"/>
  <c r="G206" i="3"/>
  <c r="BL206" i="3"/>
  <c r="BA18" i="3"/>
  <c r="BL21" i="3"/>
  <c r="G23" i="3"/>
  <c r="AZ70" i="3"/>
  <c r="G73" i="3"/>
  <c r="BL264" i="3"/>
  <c r="BL266" i="3"/>
  <c r="BA268" i="3"/>
  <c r="BL273" i="3"/>
  <c r="BA277" i="3"/>
  <c r="AZ277" i="3" s="1"/>
  <c r="BL277" i="3"/>
  <c r="BA282" i="3"/>
  <c r="AZ282" i="3" s="1"/>
  <c r="BL282" i="3"/>
  <c r="BA284" i="3"/>
  <c r="AZ284" i="3" s="1"/>
  <c r="BL290" i="3"/>
  <c r="BL291" i="3"/>
  <c r="BL293" i="3"/>
  <c r="BL294" i="3"/>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A201" i="3"/>
  <c r="AZ201" i="3" s="1"/>
  <c r="AA18" i="36"/>
  <c r="S18" i="36"/>
  <c r="T72" i="71"/>
  <c r="C71" i="71"/>
  <c r="D72" i="71"/>
  <c r="U76" i="71"/>
  <c r="E75" i="71"/>
  <c r="E74" i="71" s="1"/>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L198" i="3"/>
  <c r="G204" i="3"/>
  <c r="BL23" i="3"/>
  <c r="G24" i="3"/>
  <c r="G48" i="3"/>
  <c r="G63" i="3"/>
  <c r="G71" i="3"/>
  <c r="BA77" i="3"/>
  <c r="BA193" i="3"/>
  <c r="BA196" i="3"/>
  <c r="AZ196" i="3" s="1"/>
  <c r="G203" i="3"/>
  <c r="BA205" i="3"/>
  <c r="AZ205" i="3" s="1"/>
  <c r="BL20" i="3"/>
  <c r="BA21" i="3"/>
  <c r="AZ21" i="3" s="1"/>
  <c r="BA25" i="3"/>
  <c r="BA26" i="3"/>
  <c r="G28" i="3"/>
  <c r="BL28" i="3"/>
  <c r="BA29" i="3"/>
  <c r="BA36" i="3"/>
  <c r="BL38" i="3"/>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BL71" i="3"/>
  <c r="BL72" i="3"/>
  <c r="AZ72" i="3" s="1"/>
  <c r="G74" i="3"/>
  <c r="G75" i="3"/>
  <c r="BL75" i="3"/>
  <c r="BL91" i="3"/>
  <c r="BL100" i="3"/>
  <c r="BL105" i="3"/>
  <c r="AZ105" i="3" s="1"/>
  <c r="BL107" i="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BA78" i="3"/>
  <c r="BA80" i="3"/>
  <c r="G84" i="3"/>
  <c r="BL84" i="3"/>
  <c r="AZ84" i="3" s="1"/>
  <c r="BA89" i="3"/>
  <c r="BL92" i="3"/>
  <c r="BL94" i="3"/>
  <c r="AZ94" i="3" s="1"/>
  <c r="BL99" i="3"/>
  <c r="BA101" i="3"/>
  <c r="BA102" i="3"/>
  <c r="AZ102" i="3" s="1"/>
  <c r="BL110" i="3"/>
  <c r="BL111" i="3"/>
  <c r="AA21" i="33"/>
  <c r="S21" i="33"/>
  <c r="AA21" i="37"/>
  <c r="S21" i="37"/>
  <c r="P27" i="6"/>
  <c r="Y27" i="71"/>
  <c r="Z27" i="71" s="1"/>
  <c r="AB32" i="71"/>
  <c r="AA34" i="71"/>
  <c r="AA30" i="71"/>
  <c r="AA37" i="71"/>
  <c r="C51" i="71"/>
  <c r="D56" i="71"/>
  <c r="T56" i="71"/>
  <c r="C60" i="71"/>
  <c r="D59" i="71"/>
  <c r="N67" i="71"/>
  <c r="B66" i="71"/>
  <c r="F66" i="71"/>
  <c r="Q67" i="71"/>
  <c r="T80" i="71"/>
  <c r="C79" i="71"/>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AZ71" i="3" s="1"/>
  <c r="BL77" i="3"/>
  <c r="BL81" i="3"/>
  <c r="BA82" i="3"/>
  <c r="AZ82" i="3" s="1"/>
  <c r="BL83" i="3"/>
  <c r="G88" i="3"/>
  <c r="BA90" i="3"/>
  <c r="BA100" i="3"/>
  <c r="AZ100" i="3" s="1"/>
  <c r="AZ103" i="3"/>
  <c r="G109" i="3"/>
  <c r="BA111" i="3"/>
  <c r="AZ111" i="3" s="1"/>
  <c r="F40" i="68"/>
  <c r="C21" i="68"/>
  <c r="AC29" i="39"/>
  <c r="W29" i="39"/>
  <c r="E28" i="71"/>
  <c r="AA27" i="71"/>
  <c r="AA28" i="71"/>
  <c r="C38" i="71"/>
  <c r="B39" i="71"/>
  <c r="B40" i="71" s="1"/>
  <c r="S40" i="71" s="1"/>
  <c r="X26" i="71"/>
  <c r="Y29" i="71"/>
  <c r="Z29" i="71" s="1"/>
  <c r="C31" i="71"/>
  <c r="Y30" i="71"/>
  <c r="Z30" i="71" s="1"/>
  <c r="X25" i="71"/>
  <c r="AA35" i="71"/>
  <c r="AA38" i="71"/>
  <c r="AA39" i="71"/>
  <c r="D84" i="71"/>
  <c r="C83" i="71"/>
  <c r="F27" i="71"/>
  <c r="F26" i="71" s="1"/>
  <c r="AB27" i="71"/>
  <c r="AB26" i="7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M28" i="15"/>
  <c r="J15" i="15"/>
  <c r="M6" i="67"/>
  <c r="F13" i="67"/>
  <c r="F36" i="15"/>
  <c r="F6" i="15"/>
  <c r="F37" i="15"/>
  <c r="J15" i="67"/>
  <c r="F7" i="67"/>
  <c r="L47" i="67"/>
  <c r="F42" i="67"/>
  <c r="M24" i="15"/>
  <c r="M28" i="67"/>
  <c r="M22" i="15"/>
  <c r="D9" i="68"/>
  <c r="M8" i="15"/>
  <c r="D7" i="73"/>
  <c r="F36" i="67"/>
  <c r="D3" i="73"/>
  <c r="F26" i="15"/>
  <c r="F9" i="67"/>
  <c r="M9" i="67"/>
  <c r="F8" i="67"/>
  <c r="M22" i="67"/>
  <c r="F9" i="15"/>
  <c r="M26" i="15"/>
  <c r="F42" i="15"/>
  <c r="L48" i="67"/>
  <c r="F40" i="67"/>
  <c r="L47" i="15"/>
  <c r="D4" i="73"/>
  <c r="F6" i="67"/>
  <c r="F16" i="15"/>
  <c r="M24" i="67"/>
  <c r="L48" i="15"/>
  <c r="M6" i="15"/>
  <c r="F43" i="15"/>
  <c r="F26" i="67"/>
  <c r="M26" i="67"/>
  <c r="C36" i="68"/>
  <c r="M29" i="15"/>
  <c r="M29" i="67"/>
  <c r="F40" i="15"/>
  <c r="F7" i="15"/>
  <c r="F8" i="15"/>
  <c r="C76" i="15"/>
  <c r="F16" i="67"/>
  <c r="M23" i="15"/>
  <c r="F37" i="67"/>
  <c r="F13" i="15"/>
  <c r="M8" i="67"/>
  <c r="D5" i="73"/>
  <c r="M9" i="15"/>
  <c r="F43" i="67"/>
  <c r="F38" i="15"/>
  <c r="F38" i="67"/>
  <c r="M23" i="67"/>
  <c r="C76" i="67"/>
  <c r="AB23" i="34" l="1"/>
  <c r="AA45" i="34"/>
  <c r="AC23" i="34"/>
  <c r="W23" i="34"/>
  <c r="S23" i="34"/>
  <c r="AC15" i="34"/>
  <c r="W45" i="34"/>
  <c r="AC45" i="34"/>
  <c r="E11" i="6"/>
  <c r="E60" i="39" s="1"/>
  <c r="G30" i="6"/>
  <c r="G31" i="6" s="1"/>
  <c r="E28" i="6"/>
  <c r="K14" i="1" s="1"/>
  <c r="M14" i="1" s="1"/>
  <c r="E13" i="6"/>
  <c r="E62" i="39" s="1"/>
  <c r="E15" i="6"/>
  <c r="E64" i="39" s="1"/>
  <c r="E12" i="6"/>
  <c r="E57" i="40" s="1"/>
  <c r="E10" i="6"/>
  <c r="E8" i="6"/>
  <c r="F27" i="6" s="1"/>
  <c r="F31" i="6" s="1"/>
  <c r="F26" i="43"/>
  <c r="E26" i="43"/>
  <c r="J26" i="43"/>
  <c r="F71" i="15"/>
  <c r="C6" i="15"/>
  <c r="C32" i="15" s="1"/>
  <c r="C27" i="15"/>
  <c r="F65" i="15"/>
  <c r="F64" i="15"/>
  <c r="F68" i="15"/>
  <c r="F66" i="15"/>
  <c r="F51" i="15"/>
  <c r="L59" i="15"/>
  <c r="Q74" i="15" s="1"/>
  <c r="N59" i="15"/>
  <c r="L58" i="15"/>
  <c r="Q60" i="15" s="1"/>
  <c r="M59" i="15"/>
  <c r="M7" i="15"/>
  <c r="J6" i="15" s="1"/>
  <c r="J18" i="15" s="1"/>
  <c r="F50" i="15"/>
  <c r="J57" i="15"/>
  <c r="J55" i="15" s="1"/>
  <c r="J58" i="15" s="1"/>
  <c r="Q50" i="15" s="1"/>
  <c r="I54" i="15"/>
  <c r="J53" i="15"/>
  <c r="L56" i="15" s="1"/>
  <c r="Q71" i="15"/>
  <c r="F65" i="67"/>
  <c r="F66" i="67"/>
  <c r="F51" i="67"/>
  <c r="F68" i="67"/>
  <c r="L56" i="67"/>
  <c r="I54" i="67"/>
  <c r="J53" i="67"/>
  <c r="F1" i="67" s="1"/>
  <c r="J57" i="67"/>
  <c r="J55" i="67" s="1"/>
  <c r="J58" i="67" s="1"/>
  <c r="Q50" i="67" s="1"/>
  <c r="M6" i="1"/>
  <c r="Q16" i="1"/>
  <c r="F27" i="69" s="1"/>
  <c r="C47" i="69" s="1"/>
  <c r="D45" i="69" s="1"/>
  <c r="H16" i="1"/>
  <c r="N94" i="46"/>
  <c r="N370" i="46"/>
  <c r="G26" i="43"/>
  <c r="E59" i="40"/>
  <c r="C27" i="67"/>
  <c r="L59" i="67"/>
  <c r="Q61" i="67" s="1"/>
  <c r="L58" i="67"/>
  <c r="Q60" i="67" s="1"/>
  <c r="M59" i="67"/>
  <c r="N59" i="67"/>
  <c r="M7" i="67"/>
  <c r="J6" i="67" s="1"/>
  <c r="J18" i="67" s="1"/>
  <c r="F50" i="67"/>
  <c r="Q71" i="67"/>
  <c r="C6" i="67"/>
  <c r="C32" i="67" s="1"/>
  <c r="F31" i="67"/>
  <c r="F64" i="67"/>
  <c r="F71" i="67"/>
  <c r="G5" i="3"/>
  <c r="B3" i="3" s="1"/>
  <c r="E517" i="3" s="1"/>
  <c r="C78" i="71"/>
  <c r="D78" i="71" s="1"/>
  <c r="D79" i="71"/>
  <c r="N65" i="71"/>
  <c r="N66" i="71"/>
  <c r="AZ101" i="3"/>
  <c r="AZ28" i="3"/>
  <c r="AZ38" i="3"/>
  <c r="AZ271" i="3"/>
  <c r="AZ297" i="3"/>
  <c r="AZ251" i="3"/>
  <c r="AZ353" i="3"/>
  <c r="AZ460" i="3"/>
  <c r="AZ411" i="3"/>
  <c r="AB44" i="39"/>
  <c r="U44" i="39"/>
  <c r="AC39" i="37"/>
  <c r="W39" i="37"/>
  <c r="U23" i="35"/>
  <c r="AB23" i="35"/>
  <c r="G16" i="1"/>
  <c r="F10" i="39" s="1"/>
  <c r="AA10" i="39" s="1"/>
  <c r="D31" i="71"/>
  <c r="C32" i="71"/>
  <c r="D38" i="71"/>
  <c r="C39" i="71"/>
  <c r="AZ63" i="3"/>
  <c r="AZ57" i="3"/>
  <c r="AZ75" i="3"/>
  <c r="AZ53" i="3"/>
  <c r="AZ77" i="3"/>
  <c r="AZ223" i="3"/>
  <c r="AZ273" i="3"/>
  <c r="AZ457" i="3"/>
  <c r="AZ425" i="3"/>
  <c r="AC24" i="36"/>
  <c r="W24" i="36"/>
  <c r="AA45" i="21"/>
  <c r="S45" i="21"/>
  <c r="O65" i="71"/>
  <c r="D66" i="71"/>
  <c r="O66" i="71"/>
  <c r="C36" i="71"/>
  <c r="D35" i="71"/>
  <c r="C86" i="71"/>
  <c r="D86" i="71" s="1"/>
  <c r="D87" i="71"/>
  <c r="C82" i="71"/>
  <c r="D82" i="71" s="1"/>
  <c r="D83" i="71"/>
  <c r="C52" i="71"/>
  <c r="D51" i="71"/>
  <c r="AZ29" i="3"/>
  <c r="AZ25" i="3"/>
  <c r="AZ121" i="3"/>
  <c r="AZ274" i="3"/>
  <c r="C70" i="71"/>
  <c r="D70" i="71" s="1"/>
  <c r="D71" i="71"/>
  <c r="AZ291" i="3"/>
  <c r="AZ421" i="3"/>
  <c r="AZ408" i="3"/>
  <c r="AA25" i="37"/>
  <c r="S25" i="37"/>
  <c r="U12" i="34"/>
  <c r="AB12" i="34"/>
  <c r="AB24" i="36"/>
  <c r="U24" i="36"/>
  <c r="AB29" i="33"/>
  <c r="U29" i="33"/>
  <c r="C44" i="71"/>
  <c r="D43" i="71"/>
  <c r="D60" i="71"/>
  <c r="T60" i="71"/>
  <c r="T28" i="71"/>
  <c r="D28" i="71"/>
  <c r="U28" i="71" s="1"/>
  <c r="C27" i="71"/>
  <c r="AZ39" i="3"/>
  <c r="U25" i="37"/>
  <c r="AB25" i="37"/>
  <c r="AC44" i="39"/>
  <c r="W44" i="39"/>
  <c r="W12" i="35"/>
  <c r="AC12" i="35"/>
  <c r="AC9" i="36"/>
  <c r="W9" i="36"/>
  <c r="U32" i="34"/>
  <c r="AB32" i="34"/>
  <c r="J7" i="37"/>
  <c r="K1" i="73"/>
  <c r="AA26" i="37"/>
  <c r="S26" i="37"/>
  <c r="BA5" i="3"/>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C9" i="69"/>
  <c r="C9" i="68"/>
  <c r="E72" i="43"/>
  <c r="B70" i="43" s="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F41" i="67"/>
  <c r="C16" i="67"/>
  <c r="C16" i="15"/>
  <c r="G1" i="73"/>
  <c r="E56" i="40" l="1"/>
  <c r="E58" i="40"/>
  <c r="E51" i="40"/>
  <c r="E94" i="3"/>
  <c r="E219" i="3"/>
  <c r="E28" i="3"/>
  <c r="C49" i="67"/>
  <c r="E56" i="39"/>
  <c r="E65" i="39" s="1"/>
  <c r="E27" i="6"/>
  <c r="K26" i="6" s="1"/>
  <c r="M26" i="6" s="1"/>
  <c r="I26" i="6" s="1"/>
  <c r="S26" i="6" s="1"/>
  <c r="K16" i="1"/>
  <c r="E413" i="3"/>
  <c r="E60" i="40"/>
  <c r="E16" i="6"/>
  <c r="E171" i="3"/>
  <c r="E511" i="3"/>
  <c r="E535" i="3"/>
  <c r="E183" i="3"/>
  <c r="E496" i="3"/>
  <c r="E329" i="3"/>
  <c r="E247" i="3"/>
  <c r="E476" i="3"/>
  <c r="E574" i="3"/>
  <c r="E381" i="3"/>
  <c r="E275" i="3"/>
  <c r="E569" i="3"/>
  <c r="E265" i="3"/>
  <c r="E139" i="3"/>
  <c r="O6" i="1"/>
  <c r="Q73" i="15"/>
  <c r="D26" i="43"/>
  <c r="C25" i="43" s="1"/>
  <c r="C33" i="43" s="1"/>
  <c r="Q52" i="15"/>
  <c r="F27" i="11"/>
  <c r="C29" i="11" s="1"/>
  <c r="D27" i="11" s="1"/>
  <c r="J5" i="15"/>
  <c r="J24" i="15" s="1"/>
  <c r="F45" i="69"/>
  <c r="Q61" i="15"/>
  <c r="Q52" i="67"/>
  <c r="F1" i="15"/>
  <c r="C29" i="69"/>
  <c r="D27" i="69" s="1"/>
  <c r="C49" i="15"/>
  <c r="F28" i="12"/>
  <c r="C29" i="12" s="1"/>
  <c r="D28" i="12" s="1"/>
  <c r="S10" i="39"/>
  <c r="F10" i="40"/>
  <c r="S10" i="40" s="1"/>
  <c r="P6" i="1"/>
  <c r="C13" i="12" s="1"/>
  <c r="E263" i="3"/>
  <c r="E273" i="3"/>
  <c r="E586" i="3"/>
  <c r="E457" i="3"/>
  <c r="E236" i="3"/>
  <c r="E529" i="3"/>
  <c r="E376" i="3"/>
  <c r="E369" i="3"/>
  <c r="E570" i="3"/>
  <c r="E368" i="3"/>
  <c r="E44" i="3"/>
  <c r="E407" i="3"/>
  <c r="E298" i="3"/>
  <c r="E386" i="3"/>
  <c r="E174" i="3"/>
  <c r="E148" i="3"/>
  <c r="E278" i="3"/>
  <c r="AJ6" i="3"/>
  <c r="E345" i="3"/>
  <c r="E406" i="3"/>
  <c r="E538" i="3"/>
  <c r="E107" i="3"/>
  <c r="E518" i="3"/>
  <c r="E480" i="3"/>
  <c r="E262" i="3"/>
  <c r="E291" i="3"/>
  <c r="E542" i="3"/>
  <c r="E325" i="3"/>
  <c r="E356" i="3"/>
  <c r="E409" i="3"/>
  <c r="E246" i="3"/>
  <c r="E335" i="3"/>
  <c r="E217" i="3"/>
  <c r="Z6" i="3"/>
  <c r="E545" i="3"/>
  <c r="E555" i="3"/>
  <c r="E279" i="3"/>
  <c r="E260" i="3"/>
  <c r="E404" i="3"/>
  <c r="E159" i="3"/>
  <c r="E196" i="3"/>
  <c r="E354" i="3"/>
  <c r="E372" i="3"/>
  <c r="E405" i="3"/>
  <c r="H10" i="39"/>
  <c r="U10" i="39" s="1"/>
  <c r="E118" i="3"/>
  <c r="E487" i="3"/>
  <c r="E296" i="3"/>
  <c r="E200" i="3"/>
  <c r="E385" i="3"/>
  <c r="E191" i="3"/>
  <c r="E445" i="3"/>
  <c r="E69" i="3"/>
  <c r="E387" i="3"/>
  <c r="E514" i="3"/>
  <c r="E431" i="3"/>
  <c r="E322" i="3"/>
  <c r="E109" i="3"/>
  <c r="E211" i="3"/>
  <c r="E489" i="3"/>
  <c r="E400" i="3"/>
  <c r="E327" i="3"/>
  <c r="E227" i="3"/>
  <c r="E454" i="3"/>
  <c r="K6" i="3"/>
  <c r="E77" i="3"/>
  <c r="E134" i="3"/>
  <c r="E185" i="3"/>
  <c r="E533" i="3"/>
  <c r="E305" i="3"/>
  <c r="E210" i="3"/>
  <c r="E477" i="3"/>
  <c r="E549" i="3"/>
  <c r="E72" i="3"/>
  <c r="E573" i="3"/>
  <c r="E453" i="3"/>
  <c r="E245" i="3"/>
  <c r="E114" i="3"/>
  <c r="E559" i="3"/>
  <c r="N6" i="3"/>
  <c r="E316" i="3"/>
  <c r="E443" i="3"/>
  <c r="E394" i="3"/>
  <c r="E424" i="3"/>
  <c r="E156" i="3"/>
  <c r="E17" i="3"/>
  <c r="E506" i="3"/>
  <c r="E153" i="3"/>
  <c r="E546" i="3"/>
  <c r="E257" i="3"/>
  <c r="E306" i="3"/>
  <c r="E488" i="3"/>
  <c r="E47" i="3"/>
  <c r="E57" i="3"/>
  <c r="E155" i="3"/>
  <c r="E50" i="3"/>
  <c r="E137" i="3"/>
  <c r="E202" i="3"/>
  <c r="E486" i="3"/>
  <c r="E370" i="3"/>
  <c r="E104" i="3"/>
  <c r="E140" i="3"/>
  <c r="AL6" i="3"/>
  <c r="E84" i="3"/>
  <c r="E152" i="3"/>
  <c r="H10" i="40"/>
  <c r="AB10" i="40" s="1"/>
  <c r="J10" i="40"/>
  <c r="AC10" i="40" s="1"/>
  <c r="E142" i="3"/>
  <c r="E240" i="3"/>
  <c r="E483" i="3"/>
  <c r="E132" i="3"/>
  <c r="E100" i="3"/>
  <c r="AI6" i="3"/>
  <c r="E135" i="3"/>
  <c r="E172" i="3"/>
  <c r="E189" i="3"/>
  <c r="AB6" i="3"/>
  <c r="E311" i="3"/>
  <c r="E579" i="3"/>
  <c r="E268" i="3"/>
  <c r="E572" i="3"/>
  <c r="E182" i="3"/>
  <c r="E531" i="3"/>
  <c r="E485" i="3"/>
  <c r="E204" i="3"/>
  <c r="E74" i="3"/>
  <c r="E468" i="3"/>
  <c r="E133" i="3"/>
  <c r="E347" i="3"/>
  <c r="E91" i="3"/>
  <c r="E216" i="3"/>
  <c r="E270" i="3"/>
  <c r="E343" i="3"/>
  <c r="E186" i="3"/>
  <c r="E414" i="3"/>
  <c r="E567" i="3"/>
  <c r="E433" i="3"/>
  <c r="E519" i="3"/>
  <c r="E253" i="3"/>
  <c r="E61" i="3"/>
  <c r="E130" i="3"/>
  <c r="E358" i="3"/>
  <c r="E282" i="3"/>
  <c r="E295" i="3"/>
  <c r="P6" i="3"/>
  <c r="E274" i="3"/>
  <c r="E437" i="3"/>
  <c r="AA6" i="3"/>
  <c r="E213" i="3"/>
  <c r="S6" i="3"/>
  <c r="E501" i="3"/>
  <c r="E367" i="3"/>
  <c r="E54" i="3"/>
  <c r="E461" i="3"/>
  <c r="E179" i="3"/>
  <c r="E436" i="3"/>
  <c r="E416" i="3"/>
  <c r="E566" i="3"/>
  <c r="E289" i="3"/>
  <c r="E79" i="3"/>
  <c r="E25" i="3"/>
  <c r="E564" i="3"/>
  <c r="E35" i="3"/>
  <c r="E470" i="3"/>
  <c r="E287" i="3"/>
  <c r="E198" i="3"/>
  <c r="E371" i="3"/>
  <c r="E539" i="3"/>
  <c r="E417" i="3"/>
  <c r="E349" i="3"/>
  <c r="E425" i="3"/>
  <c r="E160" i="3"/>
  <c r="E310" i="3"/>
  <c r="E144" i="3"/>
  <c r="E68" i="3"/>
  <c r="E309" i="3"/>
  <c r="E332" i="3"/>
  <c r="E482" i="3"/>
  <c r="E235" i="3"/>
  <c r="E251" i="3"/>
  <c r="E308" i="3"/>
  <c r="E173" i="3"/>
  <c r="E469" i="3"/>
  <c r="E556"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575" i="3"/>
  <c r="E95" i="3"/>
  <c r="E76" i="3"/>
  <c r="E467" i="3"/>
  <c r="E267" i="3"/>
  <c r="E23" i="3"/>
  <c r="E184" i="3"/>
  <c r="E63" i="3"/>
  <c r="E21" i="3"/>
  <c r="E391" i="3"/>
  <c r="E18" i="3"/>
  <c r="E522" i="3"/>
  <c r="AF6" i="3"/>
  <c r="E22" i="3"/>
  <c r="E534" i="3"/>
  <c r="E512" i="3"/>
  <c r="E497"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E292" i="3"/>
  <c r="E103" i="3"/>
  <c r="E67" i="3"/>
  <c r="E283" i="3"/>
  <c r="E75" i="3"/>
  <c r="E34" i="3"/>
  <c r="E197" i="3"/>
  <c r="E360" i="3"/>
  <c r="E41" i="3"/>
  <c r="E190" i="3"/>
  <c r="E80" i="3"/>
  <c r="E116" i="3"/>
  <c r="E507" i="3"/>
  <c r="E419" i="3"/>
  <c r="E226" i="3"/>
  <c r="E540" i="3"/>
  <c r="E194" i="3"/>
  <c r="E36" i="3"/>
  <c r="E20" i="3"/>
  <c r="E165" i="3"/>
  <c r="E348" i="3"/>
  <c r="E222" i="3"/>
  <c r="E110" i="3"/>
  <c r="E323" i="3"/>
  <c r="E266" i="3"/>
  <c r="E462" i="3"/>
  <c r="E195" i="3"/>
  <c r="E307" i="3"/>
  <c r="E157" i="3"/>
  <c r="W6" i="3"/>
  <c r="E357" i="3"/>
  <c r="U6" i="3"/>
  <c r="E71" i="3"/>
  <c r="E29" i="3"/>
  <c r="E426" i="3"/>
  <c r="E97" i="3"/>
  <c r="E418" i="3"/>
  <c r="E237" i="3"/>
  <c r="E221" i="3"/>
  <c r="AN6" i="3"/>
  <c r="E238" i="3"/>
  <c r="E330" i="3"/>
  <c r="E344" i="3"/>
  <c r="E73" i="3"/>
  <c r="E32" i="3"/>
  <c r="E576" i="3"/>
  <c r="E558"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449" i="3"/>
  <c r="E59" i="3"/>
  <c r="E300" i="3"/>
  <c r="E233" i="3"/>
  <c r="E494" i="3"/>
  <c r="E129" i="3"/>
  <c r="E102" i="3"/>
  <c r="T6"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53" i="3"/>
  <c r="O6" i="3"/>
  <c r="E390" i="3"/>
  <c r="E338" i="3"/>
  <c r="E565" i="3"/>
  <c r="E254" i="3"/>
  <c r="E353" i="3"/>
  <c r="E128" i="3"/>
  <c r="Q6" i="3"/>
  <c r="AE6" i="3"/>
  <c r="E256" i="3"/>
  <c r="I6" i="3"/>
  <c r="AG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J10" i="39"/>
  <c r="W10" i="39" s="1"/>
  <c r="E378" i="3"/>
  <c r="E248" i="3"/>
  <c r="E131" i="3"/>
  <c r="AY6" i="3"/>
  <c r="AY188" i="3" s="1"/>
  <c r="E242" i="3"/>
  <c r="E119" i="3"/>
  <c r="X6" i="3"/>
  <c r="E423" i="3"/>
  <c r="E161" i="3"/>
  <c r="E563" i="3"/>
  <c r="E215" i="3"/>
  <c r="M6" i="3"/>
  <c r="E201" i="3"/>
  <c r="E509" i="3"/>
  <c r="E526" i="3"/>
  <c r="E377" i="3"/>
  <c r="E70" i="3"/>
  <c r="E557" i="3"/>
  <c r="AO6" i="3"/>
  <c r="E89" i="3"/>
  <c r="E214" i="3"/>
  <c r="E465" i="3"/>
  <c r="AK6" i="3"/>
  <c r="E495" i="3"/>
  <c r="E361" i="3"/>
  <c r="E439" i="3"/>
  <c r="E410" i="3"/>
  <c r="E441" i="3"/>
  <c r="E447" i="3"/>
  <c r="E585" i="3"/>
  <c r="E351" i="3"/>
  <c r="E562" i="3"/>
  <c r="E99" i="3"/>
  <c r="E293" i="3"/>
  <c r="E550" i="3"/>
  <c r="E320" i="3"/>
  <c r="E396" i="3"/>
  <c r="E125" i="3"/>
  <c r="E88" i="3"/>
  <c r="E164" i="3"/>
  <c r="E55" i="3"/>
  <c r="E120" i="3"/>
  <c r="E402" i="3"/>
  <c r="E169" i="3"/>
  <c r="E359" i="3"/>
  <c r="AM6" i="3"/>
  <c r="E379" i="3"/>
  <c r="E288" i="3"/>
  <c r="E98" i="3"/>
  <c r="E259" i="3"/>
  <c r="E19" i="3"/>
  <c r="E51" i="3"/>
  <c r="E101" i="3"/>
  <c r="E52" i="3"/>
  <c r="E43" i="3"/>
  <c r="E498" i="3"/>
  <c r="E223" i="3"/>
  <c r="E78" i="3"/>
  <c r="E408" i="3"/>
  <c r="E86" i="3"/>
  <c r="E264" i="3"/>
  <c r="E64" i="3"/>
  <c r="E466" i="3"/>
  <c r="E212" i="3"/>
  <c r="E13" i="3"/>
  <c r="E451" i="3"/>
  <c r="E456" i="3"/>
  <c r="E525" i="3"/>
  <c r="E205" i="3"/>
  <c r="E113" i="3"/>
  <c r="E206" i="3"/>
  <c r="E383" i="3"/>
  <c r="E96" i="3"/>
  <c r="E42" i="3"/>
  <c r="E281" i="3"/>
  <c r="E513" i="3"/>
  <c r="E81" i="3"/>
  <c r="E355" i="3"/>
  <c r="E33" i="3"/>
  <c r="E492" i="3"/>
  <c r="E249" i="3"/>
  <c r="E46" i="3"/>
  <c r="E484" i="3"/>
  <c r="E544" i="3"/>
  <c r="E241" i="3"/>
  <c r="E37" i="3"/>
  <c r="E554" i="3"/>
  <c r="E442" i="3"/>
  <c r="E536" i="3"/>
  <c r="E389" i="3"/>
  <c r="E258" i="3"/>
  <c r="E479" i="3"/>
  <c r="E255" i="3"/>
  <c r="E499" i="3"/>
  <c r="Q74" i="67"/>
  <c r="Q73" i="67"/>
  <c r="M17" i="67"/>
  <c r="J5" i="67"/>
  <c r="J24" i="67" s="1"/>
  <c r="E363" i="3"/>
  <c r="E192" i="3"/>
  <c r="E56" i="3"/>
  <c r="E435" i="3"/>
  <c r="I3" i="6"/>
  <c r="E541" i="3"/>
  <c r="R6" i="3"/>
  <c r="E199" i="3"/>
  <c r="E510" i="3"/>
  <c r="D44" i="71"/>
  <c r="T44" i="71"/>
  <c r="T32" i="71"/>
  <c r="D32" i="71"/>
  <c r="T36" i="71"/>
  <c r="D36" i="71"/>
  <c r="C26" i="71"/>
  <c r="D26" i="71" s="1"/>
  <c r="D27" i="71"/>
  <c r="C40" i="71"/>
  <c r="D39" i="71"/>
  <c r="E491" i="3"/>
  <c r="AP6" i="3"/>
  <c r="E430" i="3"/>
  <c r="E502" i="3"/>
  <c r="E286" i="3"/>
  <c r="T52" i="71"/>
  <c r="D52"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O14" i="1"/>
  <c r="M16" i="1"/>
  <c r="D3" i="21"/>
  <c r="E6" i="6"/>
  <c r="D37" i="11"/>
  <c r="D14" i="12"/>
  <c r="M18" i="9"/>
  <c r="B118" i="9" s="1"/>
  <c r="B1" i="74" s="1"/>
  <c r="D3" i="34"/>
  <c r="D19" i="11"/>
  <c r="C19" i="11" s="1"/>
  <c r="L18" i="9"/>
  <c r="I21"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7" i="68"/>
  <c r="M27" i="67"/>
  <c r="M27" i="15"/>
  <c r="AE6" i="1"/>
  <c r="F45" i="68" l="1"/>
  <c r="R50" i="34"/>
  <c r="C48" i="67"/>
  <c r="C60" i="67" s="1"/>
  <c r="I53" i="34"/>
  <c r="J53" i="34" s="1"/>
  <c r="E31" i="6"/>
  <c r="K22" i="6"/>
  <c r="K25" i="6"/>
  <c r="AY79" i="3"/>
  <c r="AY114" i="3"/>
  <c r="AY148" i="3"/>
  <c r="AY539" i="3"/>
  <c r="AY140" i="3"/>
  <c r="AY329" i="3"/>
  <c r="AY178" i="3"/>
  <c r="AY395" i="3"/>
  <c r="K19" i="6"/>
  <c r="S6" i="1" s="1"/>
  <c r="AQ6" i="1" s="1"/>
  <c r="K23" i="6"/>
  <c r="M23" i="6" s="1"/>
  <c r="I23" i="6" s="1"/>
  <c r="S23" i="6" s="1"/>
  <c r="AY583" i="3"/>
  <c r="AY35" i="3"/>
  <c r="BN6" i="3"/>
  <c r="AY165" i="3"/>
  <c r="AY143" i="3"/>
  <c r="AY205" i="3"/>
  <c r="AY438" i="3"/>
  <c r="AY495" i="3"/>
  <c r="AY371" i="3"/>
  <c r="K24" i="6"/>
  <c r="M24" i="6" s="1"/>
  <c r="I24" i="6" s="1"/>
  <c r="S24" i="6" s="1"/>
  <c r="K20" i="6"/>
  <c r="M20" i="6" s="1"/>
  <c r="I20" i="6" s="1"/>
  <c r="S20" i="6" s="1"/>
  <c r="AY566" i="3"/>
  <c r="AY320" i="3"/>
  <c r="AY431" i="3"/>
  <c r="AY469" i="3"/>
  <c r="AY65" i="3"/>
  <c r="AY350" i="3"/>
  <c r="AY244" i="3"/>
  <c r="AY392" i="3"/>
  <c r="AY209" i="3"/>
  <c r="AY451" i="3"/>
  <c r="AY39" i="3"/>
  <c r="AY306" i="3"/>
  <c r="AY499" i="3"/>
  <c r="AY373" i="3"/>
  <c r="AY150" i="3"/>
  <c r="AY457" i="3"/>
  <c r="BE6" i="3"/>
  <c r="AY155" i="3"/>
  <c r="C47" i="11"/>
  <c r="D45" i="11" s="1"/>
  <c r="O16" i="1"/>
  <c r="AY521" i="3"/>
  <c r="AY164" i="3"/>
  <c r="AY315" i="3"/>
  <c r="BP6" i="3"/>
  <c r="AY305" i="3"/>
  <c r="AY432" i="3"/>
  <c r="AY102" i="3"/>
  <c r="AY203" i="3"/>
  <c r="AY461" i="3"/>
  <c r="AY32" i="3"/>
  <c r="AY323" i="3"/>
  <c r="AY38" i="3"/>
  <c r="AY314" i="3"/>
  <c r="AY78" i="3"/>
  <c r="AY407" i="3"/>
  <c r="AY369" i="3"/>
  <c r="AY96" i="3"/>
  <c r="AY324" i="3"/>
  <c r="AY227" i="3"/>
  <c r="AY573" i="3"/>
  <c r="AY31" i="3"/>
  <c r="AY516" i="3"/>
  <c r="AY57" i="3"/>
  <c r="AY36" i="3"/>
  <c r="AY199" i="3"/>
  <c r="AY546" i="3"/>
  <c r="AY491" i="3"/>
  <c r="AY145" i="3"/>
  <c r="AY219" i="3"/>
  <c r="AY185" i="3"/>
  <c r="AY533" i="3"/>
  <c r="AY260" i="3"/>
  <c r="AY284" i="3"/>
  <c r="AY236" i="3"/>
  <c r="AY176" i="3"/>
  <c r="AY307" i="3"/>
  <c r="AY107" i="3"/>
  <c r="AY265" i="3"/>
  <c r="AY538" i="3"/>
  <c r="AY113" i="3"/>
  <c r="AY208" i="3"/>
  <c r="AY482" i="3"/>
  <c r="AY548" i="3"/>
  <c r="AY352" i="3"/>
  <c r="BC6" i="3"/>
  <c r="AY224" i="3"/>
  <c r="AY512" i="3"/>
  <c r="AY232" i="3"/>
  <c r="AY570" i="3"/>
  <c r="AY468" i="3"/>
  <c r="AY282" i="3"/>
  <c r="AY552" i="3"/>
  <c r="AY121" i="3"/>
  <c r="AY173" i="3"/>
  <c r="AY343" i="3"/>
  <c r="AY112" i="3"/>
  <c r="AY467" i="3"/>
  <c r="AY222" i="3"/>
  <c r="AY562" i="3"/>
  <c r="AY237" i="3"/>
  <c r="AY581" i="3"/>
  <c r="AY353" i="3"/>
  <c r="AY73" i="3"/>
  <c r="AY263" i="3"/>
  <c r="AY60" i="3"/>
  <c r="AY401" i="3"/>
  <c r="AY529" i="3"/>
  <c r="AY160" i="3"/>
  <c r="AY276" i="3"/>
  <c r="AY386" i="3"/>
  <c r="AY568" i="3"/>
  <c r="AY301" i="3"/>
  <c r="AY402" i="3"/>
  <c r="AY153" i="3"/>
  <c r="AY288" i="3"/>
  <c r="AY347" i="3"/>
  <c r="AY537" i="3"/>
  <c r="AY385" i="3"/>
  <c r="AY429" i="3"/>
  <c r="AY256" i="3"/>
  <c r="AY560" i="3"/>
  <c r="AY285" i="3"/>
  <c r="BR6" i="3"/>
  <c r="AY484" i="3"/>
  <c r="AY169" i="3"/>
  <c r="AY536" i="3"/>
  <c r="AY29" i="3"/>
  <c r="AY193" i="3"/>
  <c r="AY229" i="3"/>
  <c r="AY577" i="3"/>
  <c r="AY356" i="3"/>
  <c r="AY254" i="3"/>
  <c r="AY535" i="3"/>
  <c r="AY171" i="3"/>
  <c r="AY411" i="3"/>
  <c r="AY388" i="3"/>
  <c r="BJ6" i="3"/>
  <c r="AY283" i="3"/>
  <c r="AY76" i="3"/>
  <c r="AY463" i="3"/>
  <c r="AY441" i="3"/>
  <c r="AY50" i="3"/>
  <c r="C48" i="15"/>
  <c r="C66" i="15" s="1"/>
  <c r="C29" i="68"/>
  <c r="D27" i="68" s="1"/>
  <c r="C47" i="68"/>
  <c r="D45" i="68" s="1"/>
  <c r="AA10" i="40"/>
  <c r="AC10" i="39"/>
  <c r="AB10" i="39"/>
  <c r="AY87"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37" i="3"/>
  <c r="AY137" i="3"/>
  <c r="AY266" i="3"/>
  <c r="AY345" i="3"/>
  <c r="AY312" i="3"/>
  <c r="AY453" i="3"/>
  <c r="AY423" i="3"/>
  <c r="AY14" i="3"/>
  <c r="AY509" i="3"/>
  <c r="BA6" i="3"/>
  <c r="AY46" i="3"/>
  <c r="AY167" i="3"/>
  <c r="AY264" i="3"/>
  <c r="AY362" i="3"/>
  <c r="AY466" i="3"/>
  <c r="AY517" i="3"/>
  <c r="AY91" i="3"/>
  <c r="AY27" i="3"/>
  <c r="AY119" i="3"/>
  <c r="AY66" i="3"/>
  <c r="AY124" i="3"/>
  <c r="AY281" i="3"/>
  <c r="AY268" i="3"/>
  <c r="AY335" i="3"/>
  <c r="AY289" i="3"/>
  <c r="AY252" i="3"/>
  <c r="AY460" i="3"/>
  <c r="AY300" i="3"/>
  <c r="AY372" i="3"/>
  <c r="AY452" i="3"/>
  <c r="AY569" i="3"/>
  <c r="AY92" i="3"/>
  <c r="AY44" i="3"/>
  <c r="AY154" i="3"/>
  <c r="AY299" i="3"/>
  <c r="AY262" i="3"/>
  <c r="AY374" i="3"/>
  <c r="AY109" i="3"/>
  <c r="AY197" i="3"/>
  <c r="AY274" i="3"/>
  <c r="AY333" i="3"/>
  <c r="AY475" i="3"/>
  <c r="AY398" i="3"/>
  <c r="AY561" i="3"/>
  <c r="BG6" i="3"/>
  <c r="AY75" i="3"/>
  <c r="AY425" i="3"/>
  <c r="AY311" i="3"/>
  <c r="AY555" i="3"/>
  <c r="AY182" i="3"/>
  <c r="AY302" i="3"/>
  <c r="BS6" i="3"/>
  <c r="AY130" i="3"/>
  <c r="AY340" i="3"/>
  <c r="AY525" i="3"/>
  <c r="AY508" i="3"/>
  <c r="AY81" i="3"/>
  <c r="AY220" i="3"/>
  <c r="AY116" i="3"/>
  <c r="AY478" i="3"/>
  <c r="AY100" i="3"/>
  <c r="AY162" i="3"/>
  <c r="AY270" i="3"/>
  <c r="AY88" i="3"/>
  <c r="AY275" i="3"/>
  <c r="AY483" i="3"/>
  <c r="AY572" i="3"/>
  <c r="AY514" i="3"/>
  <c r="AY80" i="3"/>
  <c r="AY129" i="3"/>
  <c r="AY380" i="3"/>
  <c r="AY328" i="3"/>
  <c r="AY442" i="3"/>
  <c r="AY579" i="3"/>
  <c r="AY565" i="3"/>
  <c r="AY99" i="3"/>
  <c r="AY187" i="3"/>
  <c r="AY280" i="3"/>
  <c r="AY331" i="3"/>
  <c r="AY437" i="3"/>
  <c r="AY587" i="3"/>
  <c r="AY179" i="3"/>
  <c r="AY273" i="3"/>
  <c r="AY367" i="3"/>
  <c r="AY490" i="3"/>
  <c r="AY550" i="3"/>
  <c r="AY498" i="3"/>
  <c r="AY298" i="3"/>
  <c r="AY321" i="3"/>
  <c r="AY418" i="3"/>
  <c r="AY575" i="3"/>
  <c r="AY110" i="3"/>
  <c r="AY296" i="3"/>
  <c r="AY330" i="3"/>
  <c r="AY528" i="3"/>
  <c r="AY175" i="3"/>
  <c r="AY375" i="3"/>
  <c r="AY413" i="3"/>
  <c r="AY174" i="3"/>
  <c r="AY396" i="3"/>
  <c r="AY479" i="3"/>
  <c r="AY505" i="3"/>
  <c r="AY545" i="3"/>
  <c r="AY19" i="3"/>
  <c r="W10" i="40"/>
  <c r="U10" i="40"/>
  <c r="AY443" i="3"/>
  <c r="AY240" i="3"/>
  <c r="AY200" i="3"/>
  <c r="AY500" i="3"/>
  <c r="AY359" i="3"/>
  <c r="AY151" i="3"/>
  <c r="AY551" i="3"/>
  <c r="AY434" i="3"/>
  <c r="AY361" i="3"/>
  <c r="AY64" i="3"/>
  <c r="AY474" i="3"/>
  <c r="AY136" i="3"/>
  <c r="AY13" i="3"/>
  <c r="AY216" i="3"/>
  <c r="AY30" i="3"/>
  <c r="AY564" i="3"/>
  <c r="AY492" i="3"/>
  <c r="AY235" i="3"/>
  <c r="AY504" i="3"/>
  <c r="AY416" i="3"/>
  <c r="AY354" i="3"/>
  <c r="AY277" i="3"/>
  <c r="AY70" i="3"/>
  <c r="AY405" i="3"/>
  <c r="AY376" i="3"/>
  <c r="AY127" i="3"/>
  <c r="AY94" i="3"/>
  <c r="AY502" i="3"/>
  <c r="AY410" i="3"/>
  <c r="AY487" i="3"/>
  <c r="AY223" i="3"/>
  <c r="AY189" i="3"/>
  <c r="AY582" i="3"/>
  <c r="AY419" i="3"/>
  <c r="AY341" i="3"/>
  <c r="AY72" i="3"/>
  <c r="AY286" i="3"/>
  <c r="AY52" i="3"/>
  <c r="AY557" i="3"/>
  <c r="AY497" i="3"/>
  <c r="AY132" i="3"/>
  <c r="AY556" i="3"/>
  <c r="AY422" i="3"/>
  <c r="AY393" i="3"/>
  <c r="AY93" i="3"/>
  <c r="AY117" i="3"/>
  <c r="AY53" i="3"/>
  <c r="AY404" i="3"/>
  <c r="AY444" i="3"/>
  <c r="AY18" i="3"/>
  <c r="AY534" i="3"/>
  <c r="AY430" i="3"/>
  <c r="AY316" i="3"/>
  <c r="AY242" i="3"/>
  <c r="AY202" i="3"/>
  <c r="AY360" i="3"/>
  <c r="AY230" i="3"/>
  <c r="AY125" i="3"/>
  <c r="AY190" i="3"/>
  <c r="AY77" i="3"/>
  <c r="AY549" i="3"/>
  <c r="AY310" i="3"/>
  <c r="AY245" i="3"/>
  <c r="AY473" i="3"/>
  <c r="AY123" i="3"/>
  <c r="AY67" i="3"/>
  <c r="AY297" i="3"/>
  <c r="AY42" i="3"/>
  <c r="AY23" i="3"/>
  <c r="BT6" i="3"/>
  <c r="AY477" i="3"/>
  <c r="AY257" i="3"/>
  <c r="AY71" i="3"/>
  <c r="AY408" i="3"/>
  <c r="AY394" i="3"/>
  <c r="AY62" i="3"/>
  <c r="AY522" i="3"/>
  <c r="AY445" i="3"/>
  <c r="AY250" i="3"/>
  <c r="AY567" i="3"/>
  <c r="AY339" i="3"/>
  <c r="AY22" i="3"/>
  <c r="AY421" i="3"/>
  <c r="AY233" i="3"/>
  <c r="AY563" i="3"/>
  <c r="AY399" i="3"/>
  <c r="AY304" i="3"/>
  <c r="AY122" i="3"/>
  <c r="AY511" i="3"/>
  <c r="AY459" i="3"/>
  <c r="AY213" i="3"/>
  <c r="AY159" i="3"/>
  <c r="AY86" i="3"/>
  <c r="AY424" i="3"/>
  <c r="AY221" i="3"/>
  <c r="AY156" i="3"/>
  <c r="AY531" i="3"/>
  <c r="D3" i="6"/>
  <c r="D22" i="6" s="1"/>
  <c r="AY426" i="3"/>
  <c r="AY313" i="3"/>
  <c r="AY251" i="3"/>
  <c r="AY194" i="3"/>
  <c r="AY584" i="3"/>
  <c r="AY406" i="3"/>
  <c r="AY215" i="3"/>
  <c r="AY368" i="3"/>
  <c r="AY291" i="3"/>
  <c r="AY84" i="3"/>
  <c r="AY326" i="3"/>
  <c r="AY455" i="3"/>
  <c r="AY191" i="3"/>
  <c r="AY559" i="3"/>
  <c r="AY454" i="3"/>
  <c r="AY279" i="3"/>
  <c r="AY389" i="3"/>
  <c r="AY126" i="3"/>
  <c r="AY89" i="3"/>
  <c r="AY355" i="3"/>
  <c r="AY387" i="3"/>
  <c r="AY501" i="3"/>
  <c r="AY585" i="3"/>
  <c r="AY462" i="3"/>
  <c r="AY317" i="3"/>
  <c r="AY295" i="3"/>
  <c r="AY56" i="3"/>
  <c r="AY357" i="3"/>
  <c r="AY247" i="3"/>
  <c r="AY149" i="3"/>
  <c r="AY206" i="3"/>
  <c r="AY97" i="3"/>
  <c r="AY513" i="3"/>
  <c r="AY327" i="3"/>
  <c r="AY106" i="3"/>
  <c r="AY318" i="3"/>
  <c r="AY183" i="3"/>
  <c r="AY366" i="3"/>
  <c r="AY58" i="3"/>
  <c r="AY59" i="3"/>
  <c r="AY51" i="3"/>
  <c r="H6"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C6" i="3"/>
  <c r="D116" i="43"/>
  <c r="F25" i="12"/>
  <c r="C26" i="12" s="1"/>
  <c r="D25" i="12" s="1"/>
  <c r="T40" i="71"/>
  <c r="D40" i="71"/>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C34" i="43"/>
  <c r="E34" i="43" s="1"/>
  <c r="E33" i="43"/>
  <c r="S11" i="1"/>
  <c r="E11" i="70" s="1"/>
  <c r="M22" i="6"/>
  <c r="I22" i="6" s="1"/>
  <c r="S22" i="6" s="1"/>
  <c r="S9" i="1"/>
  <c r="AQ8" i="1"/>
  <c r="T8" i="1"/>
  <c r="AR8" i="1"/>
  <c r="S10" i="1"/>
  <c r="E10" i="70" s="1"/>
  <c r="M25" i="6"/>
  <c r="I25" i="6" s="1"/>
  <c r="S25" i="6" s="1"/>
  <c r="S12" i="1"/>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F41" i="15"/>
  <c r="C17" i="67"/>
  <c r="C17" i="15"/>
  <c r="C14" i="67"/>
  <c r="C66" i="67" l="1"/>
  <c r="I54" i="34"/>
  <c r="J54" i="34" s="1"/>
  <c r="S7" i="1"/>
  <c r="E7" i="70" s="1"/>
  <c r="M19" i="6"/>
  <c r="K27" i="6"/>
  <c r="T6" i="1"/>
  <c r="AR6" i="1"/>
  <c r="E6" i="70"/>
  <c r="E61" i="40"/>
  <c r="D8" i="6"/>
  <c r="C18" i="4"/>
  <c r="C4" i="52" s="1"/>
  <c r="B45" i="72" s="1"/>
  <c r="D15" i="6"/>
  <c r="D19" i="6"/>
  <c r="D25" i="6"/>
  <c r="H26" i="6"/>
  <c r="D14" i="6"/>
  <c r="D11" i="6"/>
  <c r="L19" i="9"/>
  <c r="D20" i="6"/>
  <c r="D12" i="6"/>
  <c r="D10" i="6"/>
  <c r="D24" i="6"/>
  <c r="D28" i="6"/>
  <c r="D5" i="6"/>
  <c r="H24" i="6"/>
  <c r="D9" i="6"/>
  <c r="D26" i="6"/>
  <c r="D21" i="6"/>
  <c r="D13" i="6"/>
  <c r="D23" i="6"/>
  <c r="D29" i="6"/>
  <c r="D6" i="6"/>
  <c r="M19" i="9"/>
  <c r="C118" i="9" s="1"/>
  <c r="B2" i="74" s="1"/>
  <c r="C60" i="15"/>
  <c r="F69" i="15"/>
  <c r="H21" i="6"/>
  <c r="R21" i="6" s="1"/>
  <c r="R8" i="1" s="1"/>
  <c r="H22" i="6"/>
  <c r="R22" i="6" s="1"/>
  <c r="R9" i="1" s="1"/>
  <c r="H25" i="6"/>
  <c r="R25" i="6" s="1"/>
  <c r="R12" i="1" s="1"/>
  <c r="E6" i="3"/>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34" i="68"/>
  <c r="D16" i="6" l="1"/>
  <c r="A10" i="51"/>
  <c r="B9" i="72" s="1"/>
  <c r="R24" i="6"/>
  <c r="R11" i="1" s="1"/>
  <c r="R20" i="6"/>
  <c r="R7" i="1" s="1"/>
  <c r="D27" i="6"/>
  <c r="D30" i="6"/>
  <c r="B3" i="43"/>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D31" i="6" l="1"/>
  <c r="I5" i="6" s="1"/>
  <c r="C7" i="68"/>
  <c r="C5"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I6" i="6" l="1"/>
  <c r="C23" i="68"/>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F35" i="67"/>
  <c r="F35"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D2" i="21"/>
  <c r="C57"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5" i="9"/>
  <c r="D2" i="33"/>
  <c r="C56" i="68"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 i="36"/>
  <c r="D2" i="34"/>
  <c r="D2" i="37"/>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9" i="1"/>
  <c r="AO8" i="1"/>
  <c r="C19" i="9"/>
  <c r="AO7" i="1"/>
  <c r="AO11"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6" i="71"/>
  <c r="C5" i="71"/>
  <c r="D5" i="71" s="1"/>
  <c r="M24" i="43" s="1"/>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26" i="31"/>
  <c r="S26" i="31" s="1"/>
  <c r="R25" i="31"/>
  <c r="S25" i="31" s="1"/>
  <c r="E14" i="74"/>
  <c r="F14" i="74"/>
  <c r="B5" i="74"/>
  <c r="D5" i="74" s="1"/>
  <c r="S22" i="31" l="1"/>
  <c r="B6" i="74"/>
  <c r="D6" i="74" s="1"/>
  <c r="D118" i="9"/>
  <c r="D119" i="9" s="1"/>
  <c r="D5" i="52" s="1"/>
  <c r="B49" i="72" s="1"/>
  <c r="F118" i="9"/>
  <c r="G118" i="9" s="1"/>
  <c r="G4" i="52" s="1"/>
  <c r="B52" i="72" s="1"/>
  <c r="H118" i="9"/>
  <c r="C104" i="9" s="1"/>
  <c r="R22" i="31" l="1"/>
  <c r="B20" i="31"/>
  <c r="B21" i="31" s="1"/>
  <c r="H4" i="52"/>
  <c r="F4" i="52"/>
  <c r="B51" i="72" s="1"/>
  <c r="D4" i="52"/>
  <c r="B47" i="72" s="1"/>
  <c r="H119" i="9"/>
  <c r="H5" i="52" s="1"/>
  <c r="F119" i="9"/>
  <c r="F5" i="52" s="1"/>
  <c r="B53" i="72" s="1"/>
  <c r="H101" i="9"/>
  <c r="I118" i="9"/>
  <c r="C105" i="9" l="1"/>
  <c r="E118" i="9"/>
  <c r="E4" i="52" s="1"/>
  <c r="B48" i="72" s="1"/>
  <c r="H102" i="9"/>
  <c r="I4" i="52"/>
  <c r="D45" i="9"/>
  <c r="D5" i="53"/>
  <c r="M48" i="9"/>
  <c r="H107" i="9"/>
  <c r="D122" i="9" l="1"/>
  <c r="M49" i="9"/>
  <c r="H108" i="9"/>
  <c r="D13" i="53"/>
  <c r="C5" i="74"/>
  <c r="D7" i="53"/>
  <c r="B21" i="72" s="1"/>
  <c r="D6" i="53"/>
  <c r="B22" i="72" s="1"/>
  <c r="B20" i="72"/>
  <c r="D52" i="9"/>
  <c r="C78" i="9"/>
  <c r="C73" i="9" s="1"/>
  <c r="C93" i="9"/>
  <c r="C86" i="9" s="1"/>
  <c r="D53" i="9"/>
  <c r="D55" i="9"/>
  <c r="M53" i="9" s="1"/>
  <c r="C72" i="9"/>
  <c r="C85" i="9"/>
  <c r="C64" i="9"/>
  <c r="C63" i="9" s="1"/>
  <c r="C67" i="9" s="1"/>
  <c r="C95" i="9" l="1"/>
  <c r="C96" i="9" s="1"/>
  <c r="E96" i="9" s="1"/>
  <c r="E97" i="9" s="1"/>
  <c r="C79" i="9"/>
  <c r="C80" i="9" s="1"/>
  <c r="E80" i="9" s="1"/>
  <c r="E81" i="9" s="1"/>
  <c r="D59" i="9"/>
  <c r="M55" i="9" s="1"/>
  <c r="C68" i="9"/>
  <c r="D54" i="9" s="1"/>
  <c r="D14" i="53"/>
  <c r="B32" i="72" s="1"/>
  <c r="B30" i="72"/>
  <c r="D15" i="53"/>
  <c r="B31" i="72" s="1"/>
  <c r="C6" i="74"/>
  <c r="L64" i="9"/>
  <c r="M64" i="9" s="1"/>
  <c r="L66" i="9"/>
  <c r="M66" i="9" s="1"/>
  <c r="L63" i="9"/>
  <c r="M63" i="9" s="1"/>
  <c r="L65" i="9"/>
  <c r="M65" i="9" s="1"/>
  <c r="L68" i="9"/>
  <c r="M68" i="9" s="1"/>
  <c r="L67" i="9"/>
  <c r="M67" i="9" s="1"/>
  <c r="D8" i="52"/>
  <c r="D123" i="9"/>
  <c r="D9" i="52" s="1"/>
  <c r="C97" i="9" l="1"/>
  <c r="D58" i="9" s="1"/>
  <c r="D56" i="9" s="1"/>
  <c r="M54" i="9" s="1"/>
  <c r="N57" i="9" s="1"/>
  <c r="P57" i="9" s="1"/>
  <c r="M69" i="9"/>
  <c r="N69"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<sst xmlns="http://schemas.openxmlformats.org/spreadsheetml/2006/main" count="9379" uniqueCount="3786">
  <si>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</si>
  <si>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</si>
  <si>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</si>
  <si>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</si>
  <si>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</si>
  <si>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</si>
  <si>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</si>
  <si>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</si>
  <si>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</si>
  <si>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</si>
  <si>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</si>
  <si>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</si>
  <si>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</si>
  <si>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</si>
  <si>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</si>
  <si>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</si>
  <si>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</si>
  <si>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</si>
  <si>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</si>
  <si>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</si>
  <si>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</si>
  <si>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</si>
  <si>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</si>
  <si>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</si>
  <si>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</si>
  <si>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</si>
  <si>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</si>
  <si>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</si>
  <si>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</si>
  <si>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</si>
  <si>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</si>
  <si>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</si>
  <si>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</si>
  <si>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</si>
  <si>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</si>
  <si>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</si>
  <si>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</si>
  <si>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</si>
  <si>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</si>
  <si>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</si>
  <si>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</si>
  <si>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</si>
  <si>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</si>
  <si>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</si>
  <si>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</si>
  <si>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</si>
  <si>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</si>
  <si>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</si>
  <si>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</si>
  <si>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</si>
  <si>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</si>
  <si>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</si>
  <si>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</si>
  <si>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</si>
  <si>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</si>
  <si>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</si>
  <si>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</si>
  <si>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</si>
  <si>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</si>
  <si>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</si>
  <si>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</si>
  <si>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</si>
  <si>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</si>
  <si>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</si>
  <si>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</si>
  <si>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</si>
  <si>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</si>
  <si>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</si>
  <si>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</si>
  <si>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</si>
  <si>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</si>
  <si>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</si>
  <si>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</si>
  <si>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</si>
  <si>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</si>
  <si>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</si>
  <si>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</si>
  <si>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</si>
  <si>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</si>
  <si>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</si>
  <si>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</si>
  <si>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</si>
  <si>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</si>
  <si>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</si>
  <si>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</si>
  <si>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</si>
  <si>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</si>
  <si>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</si>
  <si>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</si>
  <si>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</si>
  <si>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</si>
  <si>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</si>
  <si>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</si>
  <si>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</si>
  <si>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</si>
  <si>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</si>
  <si>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</si>
  <si>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</si>
  <si>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</si>
  <si>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</si>
  <si>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</si>
  <si>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</si>
  <si>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</si>
  <si>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</si>
  <si>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</si>
  <si>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</si>
  <si>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</si>
  <si>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</si>
  <si>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</si>
  <si>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</si>
  <si>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</si>
  <si>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</si>
  <si>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</si>
  <si>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</si>
  <si>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</si>
  <si>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</si>
  <si>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</si>
  <si>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</si>
  <si>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</si>
  <si>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</si>
  <si>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</si>
  <si>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</si>
  <si>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</si>
  <si>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</si>
  <si>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</si>
  <si>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</si>
  <si>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</si>
  <si>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</si>
  <si>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</si>
  <si>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</si>
  <si>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</si>
  <si>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</si>
  <si>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</si>
  <si>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</si>
  <si>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</si>
  <si>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</si>
  <si>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</si>
  <si>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</si>
  <si>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</si>
  <si>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</si>
  <si>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</si>
  <si>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</si>
  <si>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</si>
  <si>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</si>
  <si>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</si>
  <si>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</si>
  <si>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</si>
  <si>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</si>
  <si>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</si>
  <si>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</si>
  <si>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</si>
  <si>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</si>
  <si>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</si>
  <si>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</si>
  <si>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</si>
  <si>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</si>
  <si>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</si>
  <si>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</si>
  <si>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</si>
  <si>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</si>
  <si>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</si>
  <si>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</si>
  <si>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</si>
  <si>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</si>
  <si>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</si>
  <si>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</si>
  <si>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</si>
  <si>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</si>
  <si>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</si>
  <si>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</si>
  <si>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</si>
  <si>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</si>
  <si>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</si>
  <si>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</si>
  <si>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</si>
  <si>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</si>
  <si>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</si>
  <si>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</si>
  <si>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</si>
  <si>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</si>
  <si>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</si>
  <si>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</si>
  <si>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</si>
  <si>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</si>
  <si>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</si>
  <si>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</si>
  <si>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</si>
  <si>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</si>
  <si>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</si>
  <si>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</si>
  <si>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</si>
  <si>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</si>
  <si>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</si>
  <si>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</si>
  <si>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</si>
  <si>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</si>
  <si>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</si>
  <si>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</si>
  <si>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</si>
  <si>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</si>
  <si>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</si>
  <si>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</si>
  <si>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</si>
  <si>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</si>
  <si>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</si>
  <si>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</si>
  <si>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</si>
  <si>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</si>
  <si>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</si>
  <si>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</si>
  <si>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</si>
  <si>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</si>
  <si>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</si>
  <si>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</si>
  <si>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</si>
  <si>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</si>
  <si>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</si>
  <si>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</si>
  <si>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</si>
  <si>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</si>
  <si>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</si>
  <si>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</si>
  <si>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</si>
  <si>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</si>
  <si>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</si>
  <si>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</si>
  <si>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</si>
  <si>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</si>
  <si>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</si>
  <si>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</si>
  <si>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</si>
  <si>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</si>
  <si>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</si>
  <si>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</si>
  <si>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</si>
  <si>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</si>
  <si>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</si>
  <si>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</si>
  <si>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</si>
  <si>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</si>
  <si>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</si>
  <si>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</si>
  <si>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</si>
  <si>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</si>
  <si>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</si>
  <si>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</si>
  <si>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</si>
  <si>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</si>
  <si>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</si>
  <si>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</si>
  <si>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</si>
  <si>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</si>
  <si>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</si>
  <si>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</si>
  <si>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</si>
  <si>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</si>
  <si>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</si>
  <si>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</si>
  <si>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</si>
  <si>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</si>
  <si>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</si>
  <si>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</si>
  <si>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</si>
  <si>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</si>
  <si>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</si>
  <si>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</si>
  <si>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</si>
  <si>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</si>
  <si>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</si>
  <si>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</si>
  <si>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</si>
  <si>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</si>
  <si>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</si>
  <si>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</si>
  <si>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</si>
  <si>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</si>
  <si>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</si>
  <si>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</si>
  <si>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</si>
  <si>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</si>
  <si>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</si>
  <si>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</si>
  <si>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</si>
  <si>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</si>
  <si>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</si>
  <si>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</si>
  <si>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</si>
  <si>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</si>
  <si>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</si>
  <si>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</si>
  <si>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</si>
  <si>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</si>
  <si>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</si>
  <si>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</si>
  <si>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</si>
  <si>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</si>
  <si>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</si>
  <si>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</si>
  <si>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</si>
  <si>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</si>
  <si>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</si>
  <si>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</si>
  <si>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</si>
  <si>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</si>
  <si>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</si>
  <si>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</si>
  <si>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</si>
  <si>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</si>
  <si>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</si>
  <si>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</si>
  <si>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</si>
  <si>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</si>
  <si>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</si>
  <si>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</si>
  <si>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</si>
  <si>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</si>
  <si>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</si>
  <si>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</si>
  <si>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</si>
  <si>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</si>
  <si>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</si>
  <si>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</si>
  <si>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</si>
  <si>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</si>
  <si>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</si>
  <si>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</si>
  <si>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</si>
  <si>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</si>
  <si>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</si>
  <si>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</si>
  <si>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</si>
  <si>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</si>
  <si>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</si>
  <si>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</si>
  <si>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</si>
  <si>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</si>
  <si>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</si>
  <si>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</si>
  <si>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</si>
  <si>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</si>
  <si>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</si>
  <si>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</si>
  <si>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</si>
  <si>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</si>
  <si>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</si>
  <si>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</si>
  <si>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</si>
  <si>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</si>
  <si>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</si>
  <si>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</si>
  <si>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</si>
  <si>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</si>
  <si>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</si>
  <si>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</si>
  <si>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</si>
  <si>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</si>
  <si>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</si>
  <si>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</si>
  <si>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</si>
  <si>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</si>
  <si>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</si>
  <si>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</si>
  <si>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</si>
  <si>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</si>
  <si>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</si>
  <si>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</si>
  <si>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</si>
  <si>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</si>
  <si>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</si>
  <si>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</si>
  <si>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</si>
  <si>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</si>
  <si>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</si>
  <si>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</si>
  <si>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</si>
  <si>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</si>
  <si>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</si>
  <si>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</si>
  <si>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</si>
  <si>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</si>
  <si>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</si>
  <si>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</si>
  <si>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</si>
  <si>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</si>
  <si>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</si>
  <si>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</si>
  <si>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</si>
  <si>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</si>
  <si>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</si>
  <si>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</si>
  <si>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</si>
  <si>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</si>
  <si>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</si>
  <si>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</si>
  <si>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</si>
  <si>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</si>
  <si>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</si>
  <si>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</si>
  <si>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</si>
  <si>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</si>
  <si>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</si>
  <si>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</si>
  <si>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</si>
  <si>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</si>
  <si>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</si>
  <si>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</si>
  <si>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</si>
  <si>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</si>
  <si>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</si>
  <si>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</si>
  <si>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</si>
  <si>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</si>
  <si>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</si>
  <si>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</si>
  <si>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</si>
  <si>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</si>
  <si>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</si>
  <si>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</si>
  <si>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</si>
  <si>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</si>
  <si>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</si>
  <si>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</si>
  <si>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</si>
  <si>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</si>
  <si>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</si>
  <si>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</si>
  <si>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</si>
  <si>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</si>
  <si>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</si>
  <si>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</si>
  <si>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</si>
  <si>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</si>
  <si>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</si>
  <si>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</si>
  <si>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</si>
  <si>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</si>
  <si>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</si>
  <si>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</si>
  <si>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</si>
  <si>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</si>
  <si>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</si>
  <si>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</si>
  <si>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</si>
  <si>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</si>
  <si>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</si>
  <si>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</si>
  <si>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</si>
  <si>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</si>
  <si>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</si>
  <si>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</si>
  <si>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</si>
  <si>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</si>
  <si>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</si>
  <si>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</si>
  <si>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</si>
  <si>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</si>
  <si>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</si>
  <si>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</si>
  <si>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</si>
  <si>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</si>
  <si>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</si>
  <si>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</si>
  <si>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</si>
  <si>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</si>
  <si>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</si>
  <si>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</si>
  <si>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</si>
  <si>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</si>
  <si>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</si>
  <si>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</si>
  <si>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</si>
  <si>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</si>
  <si>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</si>
  <si>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</si>
  <si>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</si>
  <si>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</si>
  <si>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</si>
  <si>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</si>
  <si>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</si>
  <si>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</si>
  <si>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</si>
  <si>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</si>
  <si>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</si>
  <si>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</si>
  <si>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</si>
  <si>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</si>
  <si>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</si>
  <si>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</si>
  <si>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</si>
  <si>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</si>
  <si>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</si>
  <si>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</si>
  <si>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</si>
  <si>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</si>
  <si>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</si>
  <si>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</si>
  <si>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</si>
  <si>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</si>
  <si>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</si>
  <si>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</si>
  <si>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</si>
  <si>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</si>
  <si>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</si>
  <si>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</si>
  <si>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</si>
  <si>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</si>
  <si>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</si>
  <si>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</si>
  <si>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</si>
  <si>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</si>
  <si>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</si>
  <si>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</si>
  <si>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</si>
  <si>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</si>
  <si>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</si>
  <si>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</si>
  <si>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</si>
  <si>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</si>
  <si>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</si>
  <si>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</si>
  <si>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</si>
  <si>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</si>
  <si>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</si>
  <si>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</si>
  <si>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</si>
  <si>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</si>
  <si>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</si>
  <si>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</si>
  <si>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</si>
  <si>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</si>
  <si>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</si>
  <si>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</si>
  <si>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</si>
  <si>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</si>
  <si>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</si>
  <si>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</si>
  <si>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</si>
  <si>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</si>
  <si>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</si>
  <si>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</si>
  <si>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</si>
  <si>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</si>
  <si>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</si>
  <si>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</si>
  <si>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</si>
  <si>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</si>
  <si>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</si>
  <si>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</si>
  <si>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</si>
  <si>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</si>
  <si>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</si>
  <si>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</si>
  <si>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</si>
  <si>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</si>
  <si>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</si>
  <si>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</si>
  <si>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</si>
  <si>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</si>
  <si>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</si>
  <si>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</si>
  <si>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</si>
  <si>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</si>
  <si>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</si>
  <si>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</si>
  <si>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</si>
  <si>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</si>
  <si>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</si>
  <si>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</si>
  <si>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</si>
  <si>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</si>
  <si>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</si>
  <si>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</si>
  <si>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</si>
  <si>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</si>
  <si>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</si>
  <si>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</si>
  <si>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</si>
  <si>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</si>
  <si>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</si>
  <si>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</si>
  <si>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</si>
  <si>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</si>
  <si>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</si>
  <si>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</si>
  <si>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</si>
  <si>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</si>
  <si>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</si>
  <si>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</si>
  <si>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</si>
  <si>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</si>
  <si>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</si>
  <si>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</si>
  <si>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</si>
  <si>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</si>
  <si>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</si>
  <si>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</si>
  <si>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</si>
  <si>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</si>
  <si>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</si>
  <si>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</si>
  <si>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</si>
  <si>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</si>
  <si>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</si>
  <si>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</si>
  <si>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</si>
  <si>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</si>
  <si>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</si>
  <si>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</si>
  <si>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</si>
  <si>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</si>
  <si>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</si>
  <si>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</si>
  <si>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</si>
  <si>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</si>
  <si>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</si>
  <si>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</si>
  <si>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</si>
  <si>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</si>
  <si>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</si>
  <si>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</si>
  <si>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</si>
  <si>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</si>
  <si>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</si>
  <si>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</si>
  <si>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</si>
  <si>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</si>
  <si>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</si>
  <si>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</si>
  <si>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</si>
  <si>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</si>
  <si>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</si>
  <si>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</si>
  <si>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</si>
  <si>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</si>
  <si>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</si>
  <si>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</si>
  <si>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</si>
  <si>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</si>
  <si>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</si>
  <si>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</si>
  <si>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</si>
  <si>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</si>
  <si>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</si>
  <si>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</si>
  <si>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</si>
  <si>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</si>
  <si>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</si>
  <si>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</si>
  <si>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</si>
  <si>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</si>
  <si>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</si>
  <si>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</si>
  <si>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</si>
  <si>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</si>
  <si>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</si>
  <si>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</si>
  <si>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</si>
  <si>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</si>
  <si>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</si>
  <si>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</si>
  <si>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</si>
  <si>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</si>
  <si>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</si>
  <si>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</si>
  <si>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</si>
  <si>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</si>
  <si>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</si>
  <si>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</si>
  <si>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</si>
  <si>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</si>
  <si>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</si>
  <si>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</si>
  <si>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</si>
  <si>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</si>
  <si>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</si>
  <si>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</si>
  <si>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</si>
  <si>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</si>
  <si>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</si>
  <si>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</si>
  <si>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</si>
  <si>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</si>
  <si>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</si>
  <si>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</si>
  <si>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</si>
  <si>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</si>
  <si>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</si>
  <si>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</si>
  <si>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</si>
  <si>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</si>
  <si>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</si>
  <si>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</si>
  <si>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</si>
  <si>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</si>
  <si>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</si>
  <si>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</si>
  <si>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</si>
  <si>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</si>
  <si>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</si>
  <si>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</si>
  <si>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</si>
  <si>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</si>
  <si>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</si>
  <si>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</si>
  <si>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</si>
  <si>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</si>
  <si>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</si>
  <si>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</si>
  <si>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</si>
  <si>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</si>
  <si>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</si>
  <si>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</si>
  <si>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</si>
  <si>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</si>
  <si>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</si>
  <si>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</si>
  <si>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</si>
  <si>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</si>
  <si>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</si>
  <si>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</si>
  <si>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</si>
  <si>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</si>
  <si>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</si>
  <si>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</si>
  <si>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</si>
  <si>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</si>
  <si>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</si>
  <si>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</si>
  <si>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</si>
  <si>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</si>
  <si>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</si>
  <si>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</si>
  <si>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</si>
  <si>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</si>
  <si>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</si>
  <si>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</si>
  <si>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</si>
  <si>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</si>
  <si>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</si>
  <si>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</si>
  <si>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</si>
  <si>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</si>
  <si>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</si>
  <si>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</si>
  <si>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</si>
  <si>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</si>
  <si>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</si>
  <si>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</si>
  <si>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</si>
  <si>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</si>
  <si>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</si>
  <si>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</si>
  <si>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</si>
  <si>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</si>
  <si>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</si>
  <si>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</si>
  <si>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</si>
  <si>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</si>
  <si>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</si>
  <si>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</si>
  <si>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</si>
  <si>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</si>
  <si>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</si>
  <si>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</si>
  <si>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</si>
  <si>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</si>
  <si>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</si>
  <si>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</si>
  <si>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</si>
  <si>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</si>
  <si>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</si>
  <si>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</si>
  <si>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</si>
  <si>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</si>
  <si>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</si>
  <si>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</si>
  <si>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</si>
  <si>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</si>
  <si>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</si>
  <si>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</si>
  <si>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</si>
  <si>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</si>
  <si>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</si>
  <si>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</si>
  <si>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</si>
  <si>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</si>
  <si>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</si>
  <si>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</si>
  <si>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</si>
  <si>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</si>
  <si>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</si>
  <si>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</si>
  <si>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</si>
  <si>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</si>
  <si>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</si>
  <si>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</si>
  <si>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</si>
  <si>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</si>
  <si>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</si>
  <si>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</si>
  <si>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</si>
  <si>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</si>
  <si>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</si>
  <si>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</si>
  <si>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</si>
  <si>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</si>
  <si>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</si>
  <si>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</si>
  <si>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</si>
  <si>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</si>
  <si>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</si>
  <si>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</si>
  <si>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</si>
  <si>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</si>
  <si>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</si>
  <si>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</si>
  <si>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</si>
  <si>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</si>
  <si>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</si>
  <si>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</si>
  <si>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</si>
  <si>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</si>
  <si>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</si>
  <si>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</si>
  <si>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</si>
  <si>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</si>
  <si>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</si>
  <si>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</si>
  <si>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</si>
  <si>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</si>
  <si>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</si>
  <si>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</si>
  <si>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</si>
  <si>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</si>
  <si>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</si>
  <si>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</si>
  <si>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</si>
  <si>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</si>
  <si>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</si>
  <si>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</si>
  <si>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</si>
  <si>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</si>
  <si>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</si>
  <si>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</si>
  <si>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</si>
  <si>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</si>
  <si>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</si>
  <si>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</si>
  <si>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</si>
  <si>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</si>
  <si>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</si>
  <si>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</si>
  <si>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</si>
  <si>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</si>
  <si>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</si>
  <si>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</si>
  <si>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</si>
  <si>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</si>
  <si>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</si>
  <si>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</si>
  <si>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</si>
  <si>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</si>
  <si>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</si>
  <si>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</si>
  <si>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</si>
  <si>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</si>
  <si>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</si>
  <si>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</si>
  <si>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</si>
  <si>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</si>
  <si>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</si>
  <si>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</si>
  <si>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</si>
  <si>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</si>
  <si>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</si>
  <si>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</si>
  <si>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</si>
  <si>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</si>
  <si>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</si>
  <si>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</si>
  <si>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</si>
  <si>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</si>
  <si>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</si>
  <si>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</si>
  <si>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</si>
  <si>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</si>
  <si>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</si>
  <si>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</si>
  <si>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</si>
  <si>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</si>
  <si>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</si>
  <si>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</si>
  <si>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</si>
  <si>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</si>
  <si>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</si>
  <si>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</si>
  <si>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</si>
  <si>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</si>
  <si>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</si>
  <si>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</si>
  <si>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</si>
  <si>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</si>
  <si>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</si>
  <si>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</si>
  <si>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</si>
  <si>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</si>
  <si>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</si>
  <si>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</si>
  <si>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</si>
  <si>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</si>
  <si>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</si>
  <si>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</si>
  <si>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</si>
  <si>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</si>
  <si>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</si>
  <si>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</si>
  <si>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</si>
  <si>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</si>
  <si>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</si>
  <si>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</si>
  <si>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</si>
  <si>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</si>
  <si>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</si>
  <si>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</si>
  <si>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</si>
  <si>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</si>
  <si>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</si>
  <si>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</si>
  <si>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</si>
  <si>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</si>
  <si>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</si>
  <si>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</si>
  <si>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</si>
  <si>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</si>
  <si>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</si>
  <si>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</si>
  <si>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</si>
  <si>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</si>
  <si>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</si>
  <si>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</si>
  <si>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</si>
  <si>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</si>
  <si>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</si>
  <si>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</si>
  <si>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</si>
  <si>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</si>
  <si>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</si>
  <si>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</si>
  <si>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</si>
  <si>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</si>
  <si>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</si>
  <si>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</si>
  <si>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</si>
  <si>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</si>
  <si>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</si>
  <si>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</si>
  <si>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</si>
  <si>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</si>
  <si>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</si>
  <si>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</si>
  <si>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</si>
  <si>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</si>
  <si>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</si>
  <si>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</si>
  <si>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</si>
  <si>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</si>
  <si>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</si>
  <si>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</si>
  <si>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</si>
  <si>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</si>
  <si>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</si>
  <si>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</si>
  <si>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</si>
  <si>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</si>
  <si>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</si>
  <si>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</si>
  <si>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</si>
  <si>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</si>
  <si>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</si>
  <si>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</si>
  <si>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</si>
  <si>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</si>
  <si>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</si>
  <si>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</si>
  <si>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</si>
  <si>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</si>
  <si>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</si>
  <si>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</si>
  <si>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</si>
  <si>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</si>
  <si>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</si>
  <si>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</si>
  <si>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</si>
  <si>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</si>
  <si>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</si>
  <si>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</si>
  <si>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</si>
  <si>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</si>
  <si>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</si>
  <si>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</si>
  <si>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</si>
  <si>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</si>
  <si>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</si>
  <si>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</si>
  <si>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</si>
  <si>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</si>
  <si>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</si>
  <si>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</si>
  <si>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</si>
  <si>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</si>
  <si>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</si>
  <si>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</si>
  <si>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</si>
  <si>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</si>
  <si>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</si>
  <si>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</si>
  <si>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</si>
  <si>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</si>
  <si>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</si>
  <si>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</si>
  <si>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</si>
  <si>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</si>
  <si>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</si>
  <si>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</si>
  <si>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</si>
  <si>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</si>
  <si>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</si>
  <si>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</si>
  <si>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</si>
  <si>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</si>
  <si>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</si>
  <si>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</si>
  <si>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</si>
  <si>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</si>
  <si>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</si>
  <si>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</si>
  <si>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</si>
  <si>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</si>
  <si>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</si>
  <si>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</si>
  <si>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</si>
  <si>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</si>
  <si>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</si>
  <si>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</si>
  <si>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</si>
  <si>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</si>
  <si>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</si>
  <si>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</si>
  <si>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</si>
  <si>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</si>
  <si>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</si>
  <si>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</si>
  <si>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</si>
  <si>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</si>
  <si>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</si>
  <si>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</si>
  <si>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</si>
  <si>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</si>
  <si>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</si>
  <si>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</si>
  <si>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</si>
  <si>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</si>
  <si>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</si>
  <si>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</si>
  <si>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</si>
  <si>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</si>
  <si>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</si>
  <si>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</si>
  <si>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</si>
  <si>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</si>
  <si>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</si>
  <si>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</si>
  <si>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</si>
  <si>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</si>
  <si>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</si>
  <si>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</si>
  <si>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</si>
  <si>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</si>
  <si>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</si>
  <si>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</si>
  <si>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</si>
  <si>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</si>
  <si>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</si>
  <si>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</si>
  <si>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</si>
  <si>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</si>
  <si>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</si>
  <si>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</si>
  <si>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</si>
  <si>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</si>
  <si>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</si>
  <si>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</si>
  <si>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</si>
  <si>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</si>
  <si>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</si>
  <si>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</si>
  <si>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</si>
  <si>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</si>
  <si>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</si>
  <si>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</si>
  <si>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</si>
  <si>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</si>
  <si>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</si>
  <si>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</si>
  <si>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</si>
  <si>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</si>
  <si>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</si>
  <si>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</si>
  <si>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</si>
  <si>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</si>
  <si>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</si>
  <si>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</si>
  <si>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</si>
  <si>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</si>
  <si>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</si>
  <si>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</si>
  <si>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</si>
  <si>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</si>
  <si>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</si>
  <si>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</si>
  <si>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</si>
  <si>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</si>
  <si>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</si>
  <si>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</si>
  <si>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</si>
  <si>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</si>
  <si>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</si>
  <si>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</si>
  <si>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</si>
  <si>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</si>
  <si>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</si>
  <si>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</si>
  <si>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</si>
  <si>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</si>
  <si>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</si>
  <si>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</si>
  <si>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</si>
  <si>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</si>
  <si>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</si>
  <si>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</si>
  <si>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</si>
  <si>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</si>
  <si>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</si>
  <si>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</si>
  <si>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</si>
  <si>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</si>
  <si>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</si>
  <si>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</si>
  <si>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</si>
  <si>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</si>
  <si>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</si>
  <si>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</si>
  <si>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</si>
  <si>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</si>
  <si>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</si>
  <si>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</si>
  <si>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</si>
  <si>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</si>
  <si>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</si>
  <si>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</si>
  <si>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</si>
  <si>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</si>
  <si>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</si>
  <si>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</si>
  <si>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</si>
  <si>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</si>
  <si>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</si>
  <si>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</si>
  <si>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</si>
  <si>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</si>
  <si>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</si>
  <si>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</si>
  <si>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</si>
  <si>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</si>
  <si>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</si>
  <si>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</si>
  <si>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</si>
  <si>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</si>
  <si>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</si>
  <si>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</si>
  <si>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</si>
  <si>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</si>
  <si>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</si>
  <si>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</si>
  <si>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</si>
  <si>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</si>
  <si>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</si>
  <si>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</si>
  <si>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</si>
  <si>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</si>
  <si>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</si>
  <si>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</si>
  <si>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</si>
  <si>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</si>
  <si>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</si>
  <si>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</si>
  <si>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</si>
  <si>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</si>
  <si>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</si>
  <si>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</si>
  <si>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</si>
  <si>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</si>
  <si>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</si>
  <si>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</si>
  <si>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</si>
  <si>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</si>
  <si>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</si>
  <si>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</si>
  <si>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</si>
  <si>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</si>
  <si>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</si>
  <si>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</si>
  <si>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</si>
  <si>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</si>
  <si>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</si>
  <si>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</si>
  <si>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</si>
  <si>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</si>
  <si>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</si>
  <si>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</si>
  <si>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</si>
  <si>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</si>
  <si>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</si>
  <si>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</si>
  <si>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</si>
  <si>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</si>
  <si>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</si>
  <si>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</si>
  <si>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</si>
  <si>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</si>
  <si>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</si>
  <si>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</si>
  <si>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</si>
  <si>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</si>
  <si>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</si>
  <si>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</si>
  <si>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</si>
  <si>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</si>
  <si>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</si>
  <si>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</si>
  <si>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</si>
  <si>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</si>
  <si>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</si>
  <si>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</si>
  <si>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</si>
  <si>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</si>
  <si>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</si>
  <si>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</si>
  <si>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</si>
  <si>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</si>
  <si>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</si>
  <si>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</si>
  <si>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</si>
  <si>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</si>
  <si>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</si>
  <si>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</si>
  <si>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</si>
  <si>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</si>
  <si>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</si>
  <si>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</si>
  <si>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</si>
  <si>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</si>
  <si>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</si>
  <si>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</si>
  <si>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</si>
  <si>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</si>
  <si>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</si>
  <si>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</si>
  <si>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</si>
  <si>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</si>
  <si>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</si>
  <si>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</si>
  <si>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</si>
  <si>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</si>
  <si>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</si>
  <si>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</si>
  <si>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</si>
  <si>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</si>
  <si>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</si>
  <si>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</si>
  <si>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</si>
  <si>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</si>
  <si>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</si>
  <si>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</si>
  <si>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</si>
  <si>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</si>
  <si>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</si>
  <si>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</si>
  <si>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</si>
  <si>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</si>
  <si>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</si>
  <si>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</si>
  <si>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</si>
  <si>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</si>
  <si>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</si>
  <si>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</si>
  <si>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</si>
  <si>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</si>
  <si>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</si>
  <si>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</si>
  <si>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</si>
  <si>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</si>
  <si>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</si>
  <si>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</si>
  <si>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</si>
  <si>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</si>
  <si>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</si>
  <si>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</si>
  <si>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</si>
  <si>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</si>
  <si>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</si>
  <si>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</si>
  <si>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</si>
  <si>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</si>
  <si>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</si>
  <si>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</si>
  <si>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</si>
  <si>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</si>
  <si>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</si>
  <si>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</si>
  <si>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</si>
  <si>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</si>
  <si>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</si>
  <si>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</si>
  <si>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</si>
  <si>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</si>
  <si>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</si>
  <si>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</si>
  <si>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</si>
  <si>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</si>
  <si>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</si>
  <si>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</si>
  <si>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</si>
  <si>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</si>
  <si>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</si>
  <si>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</si>
  <si>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</si>
  <si>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</si>
  <si>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</si>
  <si>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</si>
  <si>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</si>
  <si>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</si>
  <si>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</si>
  <si>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</si>
  <si>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</si>
  <si>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</si>
  <si>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</si>
  <si>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</si>
  <si>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</si>
  <si>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</si>
  <si>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</si>
  <si>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</si>
  <si>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</si>
  <si>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</si>
  <si>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</si>
  <si>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</si>
  <si>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</si>
  <si>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</si>
  <si>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</si>
  <si>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</si>
  <si>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</si>
  <si>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</si>
  <si>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</si>
  <si>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</si>
  <si>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</si>
  <si>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</si>
  <si>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</si>
  <si>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</si>
  <si>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</si>
  <si>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</si>
  <si>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</si>
  <si>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</si>
  <si>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</si>
  <si>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</si>
  <si>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</si>
  <si>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</si>
  <si>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</si>
  <si>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</si>
  <si>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</si>
  <si>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</si>
  <si>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</si>
  <si>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</si>
  <si>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</si>
  <si>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</si>
  <si>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</si>
  <si>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</si>
  <si>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</si>
  <si>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</si>
  <si>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</si>
  <si>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</si>
  <si>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</si>
  <si>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</si>
  <si>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</si>
  <si>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</si>
  <si>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</si>
  <si>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</si>
  <si>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</si>
  <si>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</si>
  <si>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</si>
  <si>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</si>
  <si>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</si>
  <si>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</si>
  <si>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</si>
  <si>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</si>
  <si>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</si>
  <si>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</si>
  <si>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</si>
  <si>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</si>
  <si>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</si>
  <si>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</si>
  <si>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</si>
  <si>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</si>
  <si>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</si>
  <si>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</si>
  <si>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</si>
  <si>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</si>
  <si>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</si>
  <si>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</si>
  <si>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</si>
  <si>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</si>
  <si>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</si>
  <si>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</si>
  <si>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</si>
  <si>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</si>
  <si>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</si>
  <si>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</si>
  <si>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</si>
  <si>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</si>
  <si>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</si>
  <si>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</si>
  <si>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</si>
  <si>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</si>
  <si>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</si>
  <si>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</si>
  <si>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</si>
  <si>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</si>
  <si>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</si>
  <si>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</si>
  <si>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</si>
  <si>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</si>
  <si>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</si>
  <si>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</si>
  <si>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</si>
  <si>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</si>
  <si>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</si>
  <si>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</si>
  <si>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</si>
  <si>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</si>
  <si>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</si>
  <si>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</si>
  <si>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</si>
  <si>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</si>
  <si>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</si>
  <si>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</si>
  <si>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</si>
  <si>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</si>
  <si>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</si>
  <si>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</si>
  <si>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</si>
  <si>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</si>
  <si>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</si>
  <si>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</si>
  <si>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</si>
  <si>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</si>
  <si>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</si>
  <si>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</si>
  <si>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</si>
  <si>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</si>
  <si>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</si>
  <si>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</si>
  <si>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</si>
  <si>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</si>
  <si>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</si>
  <si>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</si>
  <si>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</si>
  <si>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</si>
  <si>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</si>
  <si>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</si>
  <si>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</si>
  <si>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</si>
  <si>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</si>
  <si>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</si>
  <si>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</si>
  <si>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</si>
  <si>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</si>
  <si>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</si>
  <si>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</si>
  <si>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</si>
  <si>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</si>
  <si>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</si>
  <si>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</si>
  <si>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</si>
  <si>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</si>
  <si>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</si>
  <si>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</si>
  <si>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</si>
  <si>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</si>
  <si>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</si>
  <si>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</si>
  <si>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</si>
  <si>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</si>
  <si>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</si>
  <si>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</si>
  <si>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</si>
  <si>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</si>
  <si>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</si>
  <si>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</si>
  <si>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</si>
  <si>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</si>
  <si>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</si>
  <si>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</si>
  <si>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</si>
  <si>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</si>
  <si>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</si>
  <si>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</si>
  <si>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</si>
  <si>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</si>
  <si>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</si>
  <si>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</si>
  <si>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</si>
  <si>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</si>
  <si>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</si>
  <si>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</si>
  <si>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</si>
  <si>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</si>
  <si>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</si>
  <si>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</si>
  <si>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</si>
  <si>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</si>
  <si>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</si>
  <si>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</si>
  <si>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</si>
  <si>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</si>
  <si>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</si>
  <si>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</si>
  <si>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</si>
  <si>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</si>
  <si>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</si>
  <si>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</si>
  <si>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</si>
  <si>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</si>
  <si>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</si>
  <si>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</si>
  <si>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</si>
  <si>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</si>
  <si>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</si>
  <si>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</si>
  <si>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</si>
  <si>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</si>
  <si>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</si>
  <si>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</si>
  <si>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</si>
  <si>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</si>
  <si>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</si>
  <si>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</si>
  <si>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</si>
  <si>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</si>
  <si>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</si>
  <si>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</si>
  <si>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</si>
  <si>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</si>
  <si>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</si>
  <si>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</si>
  <si>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</si>
  <si>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</si>
  <si>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</si>
  <si>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</si>
  <si>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</si>
  <si>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</si>
  <si>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</si>
  <si>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</si>
  <si>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</si>
  <si>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</si>
  <si>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</si>
  <si>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</si>
  <si>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</si>
  <si>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</si>
  <si>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</si>
  <si>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</si>
  <si>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</si>
  <si>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</si>
  <si>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</si>
  <si>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</si>
  <si>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</si>
  <si>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</si>
  <si>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</si>
  <si>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</si>
  <si>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</si>
  <si>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</si>
  <si>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</si>
  <si>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</si>
  <si>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</si>
  <si>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</si>
  <si>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</si>
  <si>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</si>
  <si>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</si>
  <si>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</si>
  <si>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</si>
  <si>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</si>
  <si>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</si>
  <si>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</si>
  <si>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</si>
  <si>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</si>
  <si>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</si>
  <si>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</si>
  <si>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</si>
  <si>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</si>
  <si>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</si>
  <si>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</si>
  <si>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</si>
  <si>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</si>
  <si>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</si>
  <si>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</si>
  <si>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</si>
  <si>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</si>
  <si>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</si>
  <si>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</si>
  <si>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</si>
  <si>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</si>
  <si>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</si>
  <si>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</si>
  <si>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</si>
  <si>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</si>
  <si>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</si>
  <si>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</si>
  <si>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</si>
  <si>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</si>
  <si>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</si>
  <si>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</si>
  <si>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</si>
  <si>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</si>
  <si>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</si>
  <si>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</si>
  <si>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</si>
  <si>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</si>
  <si>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</si>
  <si>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</si>
  <si>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</si>
  <si>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</si>
  <si>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</si>
  <si>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</si>
  <si>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</si>
  <si>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</si>
  <si>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</si>
  <si>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</si>
  <si>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</si>
  <si>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</si>
  <si>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</si>
  <si>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</si>
  <si>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</si>
  <si>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</si>
  <si>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</si>
  <si>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</si>
  <si>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</si>
  <si>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</si>
  <si>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</si>
  <si>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</si>
  <si>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</si>
  <si>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</si>
  <si>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</si>
  <si>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</si>
  <si>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</si>
  <si>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</si>
  <si>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</si>
  <si>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</si>
  <si>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</si>
  <si>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</si>
  <si>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</si>
  <si>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</si>
  <si>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</si>
  <si>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</si>
  <si>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</si>
  <si>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</si>
  <si>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</si>
  <si>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</si>
  <si>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</si>
  <si>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</si>
  <si>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</si>
  <si>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</si>
  <si>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</si>
  <si>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</si>
  <si>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</si>
  <si>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</si>
  <si>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</si>
  <si>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</si>
  <si>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</si>
  <si>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</si>
  <si>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</si>
  <si>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</si>
  <si>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</si>
  <si>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</si>
  <si>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</si>
  <si>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</si>
  <si>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</si>
  <si>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</si>
  <si>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</si>
  <si>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</si>
  <si>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</si>
  <si>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</si>
  <si>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</si>
  <si>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</si>
  <si>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</si>
  <si>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</si>
  <si>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</si>
  <si>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</si>
  <si>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</si>
  <si>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</si>
  <si>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</si>
  <si>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</si>
  <si>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</si>
  <si>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</si>
  <si>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</si>
  <si>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</si>
  <si>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</si>
  <si>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</si>
  <si>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</si>
  <si>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</si>
  <si>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</si>
  <si>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</si>
  <si>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</si>
  <si>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</si>
  <si>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</si>
  <si>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</si>
  <si>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</si>
  <si>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</si>
  <si>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</si>
  <si>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</si>
  <si>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</si>
  <si>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</si>
  <si>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</si>
  <si>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</si>
  <si>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</si>
  <si>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</si>
  <si>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</si>
  <si>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</si>
  <si>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</si>
  <si>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</si>
  <si>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</si>
  <si>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</si>
  <si>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</si>
  <si>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</si>
  <si>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</si>
  <si>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</si>
  <si>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</si>
  <si>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</si>
  <si>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</si>
  <si>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</si>
  <si>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</si>
  <si>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</si>
  <si>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</si>
  <si>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</si>
  <si>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</si>
  <si>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</si>
  <si>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</si>
  <si>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</si>
  <si>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</si>
  <si>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</si>
  <si>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</si>
  <si>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</si>
  <si>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</si>
  <si>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</si>
  <si>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</si>
  <si>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</si>
  <si>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</si>
  <si>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</si>
  <si>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</si>
  <si>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</si>
  <si>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</si>
  <si>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</si>
  <si>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</si>
  <si>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</si>
  <si>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</si>
  <si>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</si>
  <si>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</si>
  <si>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</si>
  <si>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</si>
  <si>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</si>
  <si>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</si>
  <si>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</si>
  <si>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</si>
  <si>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</si>
  <si>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</si>
  <si>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</si>
  <si>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</si>
  <si>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</si>
  <si>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</si>
  <si>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</si>
  <si>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</si>
  <si>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</si>
  <si>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</si>
  <si>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</si>
  <si>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</si>
  <si>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</si>
  <si>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</si>
  <si>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</si>
  <si>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</si>
  <si>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</si>
  <si>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</si>
  <si>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</si>
  <si>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</si>
  <si>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</si>
  <si>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</si>
  <si>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</si>
  <si>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</si>
  <si>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</si>
  <si>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</si>
  <si>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</si>
  <si>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</si>
  <si>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</si>
  <si>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</si>
  <si>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</si>
  <si>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</si>
  <si>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</si>
  <si>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</si>
  <si>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</si>
  <si>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</si>
  <si>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</si>
  <si>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</si>
  <si>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</si>
  <si>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</si>
  <si>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</si>
  <si>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</si>
  <si>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</si>
  <si>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</si>
  <si>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</si>
  <si>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</si>
  <si>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</si>
  <si>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</si>
  <si>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</si>
  <si>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</si>
  <si>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</si>
  <si>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</si>
  <si>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</si>
  <si>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</si>
  <si>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</si>
  <si>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</si>
  <si>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</si>
  <si>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</si>
  <si>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</si>
  <si>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</si>
  <si>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</si>
  <si>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</si>
  <si>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</si>
  <si>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</si>
  <si>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</si>
  <si>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</si>
  <si>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</si>
  <si>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</si>
  <si>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</si>
  <si>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</si>
  <si>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</si>
  <si>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</si>
  <si>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</si>
  <si>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</si>
  <si>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</si>
  <si>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</si>
  <si>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</si>
  <si>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</si>
  <si>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</si>
  <si>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</si>
  <si>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</si>
  <si>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</si>
  <si>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</si>
  <si>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</si>
  <si>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</si>
  <si>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</si>
  <si>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</si>
  <si>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</si>
  <si>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</si>
  <si>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</si>
  <si>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</si>
  <si>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</si>
  <si>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</si>
  <si>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</si>
  <si>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</si>
  <si>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</si>
  <si>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</si>
  <si>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</si>
  <si>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</si>
  <si>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</si>
  <si>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</si>
  <si>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</si>
  <si>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</si>
  <si>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</si>
  <si>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</si>
  <si>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</si>
  <si>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</si>
  <si>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</si>
  <si>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</si>
  <si>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</si>
  <si>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</si>
  <si>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</si>
  <si>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</si>
  <si>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</si>
  <si>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</si>
  <si>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</si>
  <si>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</si>
  <si>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</si>
  <si>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</si>
  <si>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</si>
  <si>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</si>
  <si>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</si>
  <si>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</si>
  <si>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</si>
  <si>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</si>
  <si>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</si>
  <si>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</si>
  <si>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</si>
  <si>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</si>
  <si>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</si>
  <si>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</si>
  <si>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</si>
  <si>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</si>
  <si>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</si>
  <si>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</si>
  <si>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</si>
  <si>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</si>
  <si>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</si>
  <si>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</si>
  <si>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</si>
  <si>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</si>
  <si>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</si>
  <si>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</si>
  <si>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</si>
  <si>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</si>
  <si>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</si>
  <si>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</si>
  <si>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</si>
  <si>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</si>
  <si>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</si>
  <si>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</si>
  <si>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</si>
  <si>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</si>
  <si>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</si>
  <si>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</si>
  <si>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</si>
  <si>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</si>
  <si>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</si>
  <si>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</si>
  <si>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</si>
  <si>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</si>
  <si>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</si>
  <si>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</si>
  <si>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</si>
  <si>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</si>
  <si>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</si>
  <si>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</si>
  <si>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</si>
  <si>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</si>
  <si>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</si>
  <si>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</si>
  <si>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</si>
  <si>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</si>
  <si>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</si>
  <si>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</si>
  <si>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</si>
  <si>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</si>
  <si>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</si>
  <si>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</si>
  <si>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</si>
  <si>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</si>
  <si>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</si>
  <si>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</si>
  <si>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</si>
  <si>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</si>
  <si>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</si>
  <si>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</si>
  <si>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</si>
  <si>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</si>
  <si>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</si>
  <si>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</si>
  <si>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</si>
  <si>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</si>
  <si>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</si>
  <si>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</si>
  <si>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</si>
  <si>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</si>
  <si>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</si>
  <si>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</si>
  <si>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</si>
  <si>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</si>
  <si>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</si>
  <si>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</si>
  <si>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</si>
  <si>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</si>
  <si>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</si>
  <si>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</si>
  <si>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</si>
  <si>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</si>
  <si>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</si>
  <si>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</si>
  <si>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</si>
  <si>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</si>
  <si>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</si>
  <si>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</si>
  <si>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</si>
  <si>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</si>
  <si>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</si>
  <si>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</si>
  <si>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</si>
  <si>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</si>
  <si>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</si>
  <si>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</si>
  <si>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</si>
  <si>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</si>
  <si>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</si>
  <si>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</si>
  <si>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</si>
  <si>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</si>
  <si>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</si>
  <si>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</si>
  <si>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</si>
  <si>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</si>
  <si>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</si>
  <si>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</si>
  <si>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</si>
  <si>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</si>
  <si>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</si>
  <si>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</si>
  <si>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</si>
  <si>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</si>
  <si>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</si>
  <si>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</si>
  <si>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</si>
  <si>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</si>
  <si>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</si>
  <si>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</si>
  <si>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</si>
  <si>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</si>
  <si>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</si>
  <si>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</si>
  <si>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</si>
  <si>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</si>
  <si>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</si>
  <si>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</si>
  <si>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</si>
  <si>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</si>
  <si>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</si>
  <si>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</si>
  <si>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</si>
  <si>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</si>
  <si>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</si>
  <si>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</si>
  <si>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</si>
  <si>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</si>
  <si>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</si>
  <si>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</si>
  <si>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</si>
  <si>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</si>
  <si>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</si>
  <si>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</si>
  <si>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</si>
  <si>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</si>
  <si>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</si>
  <si>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</si>
  <si>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</si>
  <si>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</si>
  <si>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</si>
  <si>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</si>
  <si>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</si>
  <si>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</si>
  <si>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</si>
  <si>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</si>
  <si>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</si>
  <si>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</si>
  <si>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</si>
  <si>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</si>
  <si>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</si>
  <si>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</si>
  <si>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</si>
  <si>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</si>
  <si>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</si>
  <si>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</si>
  <si>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</si>
  <si>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</si>
  <si>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</si>
  <si>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</si>
  <si>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</si>
  <si>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</si>
  <si>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</si>
  <si>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</si>
  <si>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</si>
  <si>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</si>
  <si>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</si>
  <si>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</si>
  <si>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</si>
  <si>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</si>
  <si>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</si>
  <si>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</si>
  <si>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</si>
  <si>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</si>
  <si>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</si>
  <si>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</si>
  <si>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</si>
  <si>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</si>
  <si>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</si>
  <si>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</si>
  <si>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</si>
  <si>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</si>
  <si>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</si>
  <si>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</si>
  <si>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</si>
  <si>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</si>
  <si>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</si>
  <si>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</si>
  <si>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</si>
  <si>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</si>
  <si>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</si>
  <si>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</si>
  <si>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</si>
  <si>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</si>
  <si>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</si>
  <si>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</si>
  <si>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</si>
  <si>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</si>
  <si>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</si>
  <si>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</si>
  <si>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</si>
  <si>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</si>
  <si>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</si>
  <si>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</si>
  <si>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</si>
  <si>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</si>
  <si>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</si>
  <si>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</si>
  <si>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</si>
  <si>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</si>
  <si>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</si>
  <si>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</si>
  <si>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</si>
  <si>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</si>
  <si>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</si>
  <si>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</si>
  <si>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</si>
  <si>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</si>
  <si>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</si>
  <si>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</si>
  <si>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</si>
  <si>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</si>
  <si>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</si>
  <si>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</si>
  <si>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</si>
  <si>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</si>
  <si>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</si>
  <si>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</si>
  <si>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</si>
  <si>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</si>
  <si>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</si>
  <si>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</si>
  <si>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</si>
  <si>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</si>
  <si>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</si>
  <si>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</si>
  <si>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</si>
  <si>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</si>
  <si>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</si>
  <si>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</si>
  <si>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</si>
  <si>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</si>
  <si>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</si>
  <si>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</si>
  <si>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</si>
  <si>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</si>
  <si>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</si>
  <si>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</si>
  <si>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</si>
  <si>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</si>
  <si>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</si>
  <si>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</si>
  <si>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</si>
  <si>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</si>
  <si>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</si>
  <si>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</si>
  <si>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</si>
  <si>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</si>
  <si>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</si>
  <si>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</si>
  <si>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</si>
  <si>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</si>
  <si>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</si>
  <si>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</si>
  <si>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</si>
  <si>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</si>
  <si>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</si>
  <si>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</si>
  <si>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</si>
  <si>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</si>
  <si>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</si>
  <si>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</si>
  <si>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</si>
  <si>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</si>
  <si>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</si>
  <si>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</si>
  <si>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</si>
  <si>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</si>
  <si>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</si>
  <si>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</si>
  <si>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</si>
  <si>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</si>
  <si>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</si>
  <si>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</si>
  <si>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</si>
  <si>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</si>
  <si>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</si>
  <si>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</si>
  <si>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</si>
  <si>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</si>
  <si>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</si>
  <si>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</si>
  <si>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</si>
  <si>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</si>
  <si>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</si>
  <si>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</si>
  <si>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</si>
  <si>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</si>
  <si>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</si>
  <si>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</si>
  <si>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</si>
  <si>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</si>
  <si>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</si>
  <si>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</si>
  <si>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</si>
  <si>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</si>
  <si>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</si>
  <si>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</si>
  <si>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</si>
  <si>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</si>
  <si>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</si>
  <si>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</si>
  <si>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</si>
  <si>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</si>
  <si>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</si>
  <si>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</si>
  <si>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</si>
  <si>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</si>
  <si>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</si>
  <si>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</si>
  <si>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</si>
  <si>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</si>
  <si>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</si>
  <si>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</si>
  <si>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</si>
  <si>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</si>
  <si>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</si>
  <si>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</si>
  <si>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</si>
  <si>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</si>
  <si>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</si>
  <si>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</si>
  <si>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</si>
  <si>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</si>
  <si>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</si>
  <si>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</si>
  <si>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</si>
  <si>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</si>
  <si>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</si>
  <si>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</si>
  <si>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</si>
  <si>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</si>
  <si>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</si>
  <si>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</si>
  <si>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</si>
  <si>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</si>
  <si>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</si>
  <si>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</si>
  <si>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</si>
  <si>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</si>
  <si>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</si>
  <si>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</si>
  <si>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</si>
  <si>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</si>
  <si>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</si>
  <si>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</si>
  <si>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</si>
  <si>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</si>
  <si>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</si>
  <si>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</si>
  <si>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</si>
  <si>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</si>
  <si>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</si>
  <si>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</si>
  <si>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</si>
  <si>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</si>
  <si>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</si>
  <si>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</si>
  <si>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</si>
  <si>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</si>
  <si>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</si>
  <si>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</si>
  <si>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</si>
  <si>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</si>
  <si>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</si>
  <si>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</si>
  <si>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</si>
  <si>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</si>
  <si>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</si>
  <si>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</si>
  <si>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</si>
  <si>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</si>
  <si>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</si>
  <si>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</si>
  <si>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</si>
  <si>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</si>
  <si>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</si>
  <si>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</si>
  <si>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</si>
  <si>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</si>
  <si>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</si>
  <si>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</si>
  <si>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</si>
  <si>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</si>
  <si>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</si>
  <si>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</si>
  <si>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</si>
  <si>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</si>
  <si>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</si>
  <si>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</si>
  <si>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</si>
  <si>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</si>
  <si>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</si>
  <si>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</si>
  <si>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</si>
  <si>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</si>
  <si>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</si>
  <si>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</si>
  <si>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</si>
  <si>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</si>
  <si>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</si>
  <si>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</si>
  <si>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</si>
  <si>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</si>
  <si>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</si>
  <si>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</si>
  <si>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</si>
  <si>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</si>
  <si>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</si>
  <si>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</si>
  <si>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</si>
  <si>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</si>
  <si>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</si>
  <si>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</si>
  <si>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</si>
  <si>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</si>
  <si>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</si>
  <si>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</si>
  <si>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</si>
  <si>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</si>
  <si>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</si>
  <si>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</si>
  <si>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</si>
  <si>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</si>
  <si>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</si>
  <si>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</si>
  <si>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</si>
  <si>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</si>
  <si>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</si>
  <si>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</si>
  <si>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</si>
  <si>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</si>
  <si>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</si>
  <si>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</si>
  <si>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</si>
  <si>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</si>
  <si>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</si>
  <si>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</si>
  <si>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</si>
  <si>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</si>
  <si>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</si>
  <si>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</si>
  <si>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</si>
  <si>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</si>
  <si>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</si>
  <si>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</si>
  <si>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</si>
  <si>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</si>
  <si>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</si>
  <si>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</si>
  <si>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</si>
  <si>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</si>
  <si>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</si>
  <si>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</si>
  <si>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</si>
  <si>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</si>
  <si>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</si>
  <si>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</si>
  <si>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</si>
  <si>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</si>
  <si>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</si>
  <si>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</si>
  <si>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</si>
  <si>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</si>
  <si>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</si>
  <si>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</si>
  <si>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</si>
  <si>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</si>
  <si>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</si>
  <si>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</si>
  <si>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</si>
  <si>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</si>
  <si>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</si>
  <si>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</si>
  <si>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</si>
  <si>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</si>
  <si>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</si>
  <si>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</si>
  <si>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</si>
  <si>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</si>
  <si>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</si>
  <si>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</si>
  <si>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</si>
  <si>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</si>
  <si>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</si>
  <si>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</si>
  <si>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</si>
  <si>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</si>
  <si>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</si>
  <si>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</si>
  <si>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</si>
  <si>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</si>
  <si>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</si>
  <si>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</si>
  <si>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</si>
  <si>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</si>
  <si>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</si>
  <si>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</si>
  <si>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</si>
  <si>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</si>
  <si>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</si>
  <si>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</si>
  <si>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</si>
  <si>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</si>
  <si>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</si>
  <si>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</si>
  <si>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</si>
  <si>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</si>
  <si>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</si>
  <si>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</si>
  <si>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</si>
  <si>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</si>
  <si>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</si>
  <si>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</si>
  <si>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</si>
  <si>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</si>
  <si>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</si>
  <si>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</si>
  <si>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</si>
  <si>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</si>
  <si>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</si>
  <si>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</si>
  <si>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</si>
  <si>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</si>
  <si>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</si>
  <si>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</si>
  <si>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</si>
  <si>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</si>
  <si>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</si>
  <si>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</si>
  <si>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</si>
  <si>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</si>
  <si>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</si>
  <si>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</si>
  <si>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</si>
  <si>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</si>
  <si>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</si>
  <si>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</si>
  <si>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</si>
  <si>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</si>
  <si>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</si>
  <si>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</si>
  <si>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</si>
  <si>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</si>
  <si>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</si>
  <si>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</si>
  <si>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</si>
  <si>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</si>
  <si>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</si>
  <si>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</si>
  <si>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</si>
  <si>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</si>
  <si>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</si>
  <si>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</si>
  <si>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</si>
  <si>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</si>
  <si>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</si>
  <si>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</si>
  <si>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</si>
  <si>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</si>
  <si>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</si>
  <si>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</si>
  <si>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</si>
  <si>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</si>
  <si>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</si>
  <si>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</si>
  <si>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</si>
  <si>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</si>
  <si>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</si>
  <si>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</si>
  <si>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</si>
  <si>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</si>
  <si>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</si>
  <si>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</si>
  <si>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</si>
  <si>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</si>
  <si>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</si>
  <si>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</si>
  <si>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</si>
  <si>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</si>
  <si>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</si>
  <si>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</si>
  <si>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</si>
  <si>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</si>
  <si>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</si>
  <si>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</si>
  <si>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</si>
  <si>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</si>
  <si>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</si>
  <si>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</si>
  <si>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</si>
  <si>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</si>
  <si>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</si>
  <si>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</si>
  <si>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</si>
  <si>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</si>
  <si>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</si>
  <si>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</si>
  <si>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</si>
  <si>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</si>
  <si>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</si>
  <si>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</si>
  <si>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</si>
  <si>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</si>
  <si>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</si>
  <si>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</si>
  <si>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</si>
  <si>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</si>
  <si>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</si>
  <si>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</si>
  <si>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</si>
  <si>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</si>
  <si>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</si>
  <si>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</si>
  <si>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</si>
  <si>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</si>
  <si>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</si>
  <si>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</si>
  <si>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</si>
  <si>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</si>
  <si>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</si>
  <si>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</si>
  <si>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</si>
  <si>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</si>
  <si>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</si>
  <si>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</si>
  <si>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</si>
  <si>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</si>
  <si>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</si>
  <si>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</si>
  <si>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</si>
  <si>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</si>
  <si>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</si>
  <si>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</si>
  <si>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</si>
  <si>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</si>
  <si>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</si>
  <si>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</si>
  <si>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</si>
  <si>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</si>
  <si>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</si>
  <si>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</si>
  <si>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</si>
  <si>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</si>
  <si>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</si>
  <si>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</si>
  <si>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</si>
  <si>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</si>
  <si>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</si>
  <si>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</si>
  <si>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</si>
  <si>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</si>
  <si>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</si>
  <si>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</si>
  <si>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</si>
  <si>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</si>
  <si>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</si>
  <si>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</si>
  <si>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</si>
  <si>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</si>
  <si>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</si>
  <si>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</si>
  <si>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</si>
  <si>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</si>
  <si>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</si>
  <si>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</si>
  <si>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</si>
  <si>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</si>
  <si>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</si>
  <si>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</si>
  <si>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</si>
  <si>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</si>
  <si>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</si>
  <si>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</si>
  <si>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</si>
  <si>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</si>
  <si>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</si>
  <si>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</si>
  <si>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</si>
  <si>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</si>
  <si>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</si>
  <si>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</si>
  <si>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</si>
  <si>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</si>
  <si>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</si>
  <si>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</si>
  <si>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</si>
  <si>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</si>
  <si>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</si>
  <si>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</si>
  <si>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</si>
  <si>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</si>
  <si>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</si>
  <si>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</si>
  <si>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</si>
  <si>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</si>
  <si>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</si>
  <si>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</si>
  <si>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</si>
  <si>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</si>
  <si>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</si>
  <si>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</si>
  <si>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</si>
  <si>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</si>
  <si>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</si>
  <si>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</si>
  <si>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</si>
  <si>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</si>
  <si>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</si>
  <si>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</si>
  <si>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</si>
  <si>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</si>
  <si>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</si>
  <si>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</si>
  <si>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</si>
  <si>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</si>
  <si>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</si>
  <si>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</si>
  <si>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</si>
  <si>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</si>
  <si>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</si>
  <si>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</si>
  <si>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</si>
  <si>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</si>
  <si>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</si>
  <si>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</si>
  <si>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</si>
  <si>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</si>
  <si>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</si>
  <si>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</si>
  <si>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</si>
  <si>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</si>
  <si>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</si>
  <si>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</si>
  <si>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</si>
  <si>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</si>
  <si>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</si>
  <si>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</si>
  <si>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</si>
  <si>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</si>
  <si>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</si>
  <si>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</si>
  <si>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</si>
  <si>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</si>
  <si>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</si>
  <si>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</si>
  <si>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</si>
  <si>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</si>
  <si>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</si>
  <si>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</si>
  <si>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</si>
  <si>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</si>
  <si>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</si>
  <si>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</si>
  <si>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</si>
  <si>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</si>
  <si>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</si>
  <si>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</si>
  <si>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</si>
  <si>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</si>
  <si>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</si>
  <si>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</si>
  <si>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</si>
  <si>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</si>
  <si>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</si>
  <si>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</si>
  <si>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</si>
  <si>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</si>
  <si>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</si>
  <si>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</si>
  <si>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</si>
  <si>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</si>
  <si>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</si>
  <si>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</si>
  <si>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</si>
  <si>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</si>
  <si>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</si>
  <si>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</si>
  <si>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</si>
  <si>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</si>
  <si>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</si>
  <si>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</si>
  <si>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</si>
  <si>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</si>
  <si>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</si>
  <si>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</si>
  <si>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</si>
  <si>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</si>
  <si>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</si>
  <si>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</si>
  <si>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</si>
  <si>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</si>
  <si>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</si>
  <si>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</si>
  <si>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</si>
  <si>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</si>
  <si>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</si>
  <si>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</si>
  <si>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</si>
  <si>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</si>
  <si>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</si>
  <si>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</si>
  <si>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</si>
  <si>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</si>
  <si>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</si>
  <si>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</si>
  <si>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</si>
  <si>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</si>
  <si>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</si>
  <si>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</si>
  <si>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</si>
  <si>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</si>
  <si>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</si>
  <si>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</si>
  <si>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</si>
  <si>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</si>
  <si>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</si>
  <si>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</si>
  <si>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</si>
  <si>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</si>
  <si>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</si>
  <si>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</si>
  <si>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</si>
  <si>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</si>
  <si>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</si>
  <si>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</si>
  <si>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</si>
  <si>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</si>
  <si>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</si>
  <si>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</si>
  <si>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</si>
  <si>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</si>
  <si>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</si>
  <si>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</si>
  <si>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</si>
  <si>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</si>
  <si>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</si>
  <si>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</si>
  <si>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</si>
  <si>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</si>
  <si>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</si>
  <si>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</si>
  <si>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</si>
  <si>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</si>
  <si>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</si>
  <si>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</si>
  <si>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</si>
  <si>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</si>
  <si>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</si>
  <si>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</si>
  <si>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</si>
  <si>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</si>
  <si>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</si>
  <si>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</si>
  <si>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</si>
  <si>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</si>
  <si>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</si>
  <si>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</si>
  <si>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</si>
  <si>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</si>
  <si>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</si>
  <si>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</si>
  <si>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</si>
  <si>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</si>
  <si>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</si>
  <si>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</si>
  <si>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</si>
  <si>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</si>
  <si>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</si>
  <si>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</si>
  <si>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</si>
  <si>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</si>
  <si>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</si>
  <si>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</si>
  <si>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</si>
  <si>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</si>
  <si>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</si>
  <si>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</si>
  <si>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</si>
  <si>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</si>
  <si>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</si>
  <si>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</si>
  <si>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</si>
  <si>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</si>
  <si>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</si>
  <si>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</si>
  <si>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</si>
  <si>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</si>
  <si>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</si>
  <si>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</si>
  <si>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</si>
  <si>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</si>
  <si>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</si>
  <si>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</si>
  <si>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</si>
  <si>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</si>
  <si>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</si>
  <si>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</si>
  <si>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</si>
  <si>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</si>
  <si>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</si>
  <si>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</si>
  <si>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</si>
  <si>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</si>
  <si>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</si>
  <si>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</si>
  <si>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</si>
  <si>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</si>
  <si>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</si>
  <si>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</si>
  <si>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</si>
  <si>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</si>
  <si>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</si>
  <si>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</si>
  <si>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</si>
  <si>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</si>
  <si>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</si>
  <si>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</si>
  <si>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</si>
  <si>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</si>
  <si>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</si>
  <si>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</si>
  <si>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</si>
  <si>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</si>
  <si>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</si>
  <si>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</si>
  <si>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</si>
  <si>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</si>
  <si>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</si>
  <si>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</si>
  <si>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</si>
  <si>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</si>
  <si>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</si>
  <si>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</si>
  <si>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</si>
  <si>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</si>
  <si>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</si>
  <si>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</si>
  <si>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</si>
  <si>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</si>
  <si>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</si>
  <si>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</si>
  <si>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</si>
  <si>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</si>
  <si>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</si>
  <si>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</si>
  <si>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</si>
  <si>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</si>
  <si>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</si>
  <si>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</si>
  <si>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</si>
  <si>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</si>
  <si>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</si>
  <si>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</si>
  <si>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</si>
  <si>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</si>
  <si>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</si>
  <si>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</si>
  <si>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</si>
  <si>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</si>
  <si>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</si>
  <si>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</si>
  <si>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</si>
  <si>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</si>
  <si>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</si>
  <si>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</si>
  <si>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</si>
  <si>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</si>
  <si>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</si>
  <si>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</si>
  <si>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</si>
  <si>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</si>
  <si>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</si>
  <si>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</si>
  <si>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</si>
  <si>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</si>
  <si>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</si>
  <si>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</si>
  <si>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</si>
  <si>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</si>
  <si>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</si>
  <si>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</si>
  <si>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</si>
  <si>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</si>
  <si>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</si>
  <si>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</si>
  <si>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</si>
  <si>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</si>
  <si>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</si>
  <si>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</si>
  <si>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</si>
  <si>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</si>
  <si>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</si>
  <si>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</si>
  <si>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</si>
  <si>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</si>
  <si>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</si>
  <si>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</si>
  <si>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</si>
  <si>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</si>
  <si>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</si>
  <si>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</si>
  <si>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</si>
  <si>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</si>
  <si>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</si>
  <si>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</si>
  <si>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</si>
  <si>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</si>
  <si>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</si>
  <si>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</si>
  <si>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</si>
  <si>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</si>
  <si>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</si>
  <si>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</si>
  <si>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</si>
  <si>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</si>
  <si>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</si>
  <si>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</si>
  <si>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</si>
  <si>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</si>
  <si>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</si>
  <si>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</si>
  <si>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</si>
  <si>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</si>
  <si>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</si>
  <si>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</si>
  <si>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</si>
  <si>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</si>
  <si>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</si>
  <si>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</si>
  <si>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</si>
  <si>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</si>
  <si>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</si>
  <si>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</si>
  <si>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</si>
  <si>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</si>
  <si>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</si>
  <si>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</si>
  <si>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</si>
  <si>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</si>
  <si>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</si>
  <si>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</si>
  <si>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</si>
  <si>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</si>
  <si>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</si>
  <si>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</si>
  <si>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</si>
  <si>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</si>
  <si>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</si>
  <si>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</si>
  <si>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</si>
  <si>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</si>
  <si>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</si>
  <si>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</si>
  <si>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</si>
  <si>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</si>
  <si>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</si>
  <si>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</si>
  <si>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</si>
  <si>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</si>
  <si>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</si>
  <si>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</si>
  <si>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</si>
  <si>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</si>
  <si>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</si>
  <si>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</si>
  <si>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</si>
  <si>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</si>
  <si>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</si>
  <si>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</si>
  <si>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</si>
  <si>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</si>
  <si>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</si>
  <si>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</si>
  <si>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</si>
  <si>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</si>
  <si>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</si>
  <si>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</si>
  <si>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</si>
  <si>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</si>
  <si>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</si>
  <si>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</si>
  <si>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</si>
  <si>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</si>
  <si>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</si>
  <si>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</si>
  <si>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</si>
  <si>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</si>
  <si>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</si>
  <si>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</si>
  <si>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</si>
  <si>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</si>
  <si>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</si>
  <si>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</si>
  <si>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</si>
  <si>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</si>
  <si>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</si>
  <si>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</si>
  <si>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</si>
  <si>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</si>
  <si>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</si>
  <si>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</si>
  <si>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</si>
  <si>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</si>
  <si>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</si>
  <si>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</si>
  <si>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</si>
  <si>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</si>
  <si>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</si>
  <si>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</si>
  <si>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</si>
  <si>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</si>
  <si>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</si>
  <si>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</si>
  <si>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</si>
  <si>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</si>
  <si>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</si>
  <si>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</si>
  <si>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</si>
  <si>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</si>
  <si>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</si>
  <si>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</si>
  <si>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</si>
  <si>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</si>
  <si>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</si>
  <si>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</si>
  <si>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</si>
  <si>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</si>
  <si>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</si>
  <si>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</si>
  <si>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</si>
  <si>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</si>
  <si>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</si>
  <si>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</si>
  <si>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</si>
  <si>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</si>
  <si>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</si>
  <si>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</si>
  <si>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</si>
  <si>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</si>
  <si>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</si>
  <si>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</si>
  <si>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</si>
  <si>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</si>
  <si>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</si>
  <si>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</si>
  <si>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</si>
  <si>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</si>
  <si>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</si>
  <si>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</si>
  <si>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</si>
  <si>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</si>
  <si>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</si>
  <si>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</si>
  <si>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</si>
  <si>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</si>
  <si>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</si>
  <si>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</si>
  <si>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</si>
  <si>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</si>
  <si>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</si>
  <si>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</si>
  <si>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</si>
  <si>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</si>
  <si>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</si>
  <si>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</si>
  <si>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</si>
  <si>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</si>
  <si>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</si>
  <si>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</si>
  <si>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</si>
  <si>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</si>
  <si>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</si>
  <si>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</si>
  <si>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</si>
  <si>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</si>
  <si>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</si>
  <si>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</si>
  <si>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</si>
  <si>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</si>
  <si>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</si>
  <si>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</si>
  <si>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</si>
  <si>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</si>
  <si>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</si>
  <si>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</si>
  <si>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</si>
  <si>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</si>
  <si>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</si>
  <si>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</si>
  <si>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</si>
  <si>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</si>
  <si>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</si>
  <si>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</si>
  <si>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</si>
  <si>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</si>
  <si>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</si>
  <si>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</si>
  <si>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</si>
  <si>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</si>
  <si>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</si>
  <si>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</si>
  <si>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</si>
  <si>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</si>
  <si>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</si>
  <si>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</si>
  <si>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</si>
  <si>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</si>
  <si>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</si>
  <si>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</si>
  <si>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</si>
  <si>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</si>
  <si>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</si>
  <si>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</si>
  <si>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</si>
  <si>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</si>
  <si>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</si>
  <si>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</si>
  <si>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</si>
  <si>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</si>
  <si>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</si>
  <si>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</si>
  <si>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</si>
  <si>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</si>
  <si>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</si>
  <si>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</si>
  <si>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</si>
  <si>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</si>
  <si>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</si>
  <si>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</si>
  <si>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</si>
  <si>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</si>
  <si>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</si>
  <si>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</si>
  <si>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</si>
  <si>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</si>
  <si>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</si>
  <si>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</si>
  <si>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</si>
  <si>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</si>
  <si>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</si>
  <si>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</si>
  <si>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</si>
  <si>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</si>
  <si>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</si>
  <si>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</si>
  <si>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</si>
  <si>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</si>
  <si>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</si>
  <si>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</si>
  <si>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</si>
  <si>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</si>
  <si>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</si>
  <si>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</si>
  <si>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</si>
  <si>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</si>
  <si>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</si>
  <si>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</si>
  <si>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</si>
  <si>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</si>
  <si>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</si>
  <si>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</si>
  <si>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</si>
  <si>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</si>
  <si>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</si>
  <si>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</si>
  <si>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</si>
  <si>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</si>
  <si>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</si>
  <si>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</si>
  <si>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</si>
  <si>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</si>
  <si>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</si>
  <si>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</si>
  <si>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</si>
  <si>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</si>
  <si>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</si>
  <si>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</si>
  <si>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</si>
  <si>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</si>
  <si>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</si>
  <si>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</si>
  <si>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</si>
  <si>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</si>
  <si>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</si>
  <si>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</si>
  <si>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</si>
  <si>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</si>
  <si>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</si>
  <si>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</si>
  <si>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</si>
  <si>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</si>
  <si>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</si>
  <si>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</si>
  <si>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</si>
  <si>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</si>
  <si>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</si>
  <si>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</si>
  <si>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</si>
  <si>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</si>
  <si>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</si>
  <si>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</si>
  <si>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</si>
  <si>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</si>
  <si>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</si>
  <si>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</si>
  <si>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</si>
  <si>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</si>
  <si>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</si>
  <si>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</si>
  <si>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</si>
  <si>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</si>
  <si>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</si>
  <si>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</si>
  <si>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</si>
  <si>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</si>
  <si>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</si>
  <si>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</si>
  <si>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</si>
  <si>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</si>
  <si>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</si>
  <si>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</si>
  <si>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</si>
  <si>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</si>
  <si>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</si>
  <si>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</si>
  <si>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</si>
  <si>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</si>
  <si>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</si>
  <si>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</si>
  <si>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</si>
  <si>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</si>
  <si>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</si>
  <si>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</si>
  <si>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</si>
  <si>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</si>
  <si>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</si>
  <si>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</si>
  <si>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</si>
  <si>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</si>
  <si>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</si>
  <si>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</si>
  <si>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</si>
  <si>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</si>
  <si>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</si>
  <si>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</si>
  <si>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</si>
  <si>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</si>
  <si>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</si>
  <si>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</si>
  <si>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</si>
  <si>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</si>
  <si>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</si>
  <si>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</si>
  <si>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</si>
  <si>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</si>
  <si>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</si>
  <si>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</si>
  <si>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</si>
  <si>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</si>
  <si>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</si>
  <si>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</si>
  <si>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</si>
  <si>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</si>
  <si>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</si>
  <si>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</si>
  <si>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</si>
  <si>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</si>
  <si>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</si>
  <si>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</si>
  <si>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</si>
  <si>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</si>
  <si>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</si>
  <si>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</si>
  <si>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</si>
  <si>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</si>
  <si>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</si>
  <si>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</si>
  <si>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</si>
  <si>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</si>
  <si>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</si>
  <si>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</si>
  <si>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</si>
  <si>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</si>
  <si>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</si>
  <si>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</si>
  <si>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</si>
  <si>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</si>
  <si>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</si>
  <si>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</si>
  <si>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</si>
  <si>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</si>
  <si>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</si>
  <si>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</si>
  <si>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</si>
  <si>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</si>
  <si>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</si>
  <si>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</si>
  <si>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</si>
  <si>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</si>
  <si>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</si>
  <si>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</si>
  <si>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</si>
  <si>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</si>
  <si>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</si>
  <si>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</si>
  <si>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</si>
  <si>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</si>
  <si>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</si>
  <si>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</si>
  <si>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</si>
  <si>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</si>
  <si>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</si>
  <si>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</si>
  <si>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</si>
  <si>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</si>
  <si>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</si>
  <si>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</si>
  <si>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</si>
  <si>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</si>
  <si>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</si>
  <si>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</si>
  <si>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</si>
  <si>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</si>
  <si>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</si>
  <si>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</si>
  <si>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</si>
  <si>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</si>
  <si>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</si>
  <si>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</si>
  <si>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</si>
  <si>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</si>
  <si>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</si>
  <si>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</si>
  <si>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</si>
  <si>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</si>
  <si>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</si>
  <si>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</si>
  <si>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</si>
  <si>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</si>
  <si>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</si>
  <si>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</si>
  <si>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</si>
  <si>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</si>
  <si>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</si>
  <si>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</si>
  <si>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</si>
  <si>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</si>
  <si>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</si>
  <si>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</si>
  <si>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</si>
  <si>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</si>
  <si>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</si>
  <si>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</si>
  <si>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</si>
  <si>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</si>
  <si>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</si>
  <si>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</si>
  <si>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</si>
  <si>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</si>
  <si>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</si>
  <si>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</si>
  <si>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</si>
  <si>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</si>
  <si>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</si>
  <si>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</si>
  <si>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</si>
  <si>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</si>
  <si>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</si>
  <si>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</si>
  <si>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</si>
  <si>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</si>
  <si>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</si>
  <si>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</si>
  <si>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</si>
  <si>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</si>
  <si>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</si>
  <si>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</si>
  <si>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</si>
  <si>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</si>
  <si>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</si>
  <si>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</si>
  <si>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</si>
  <si>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</si>
  <si>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</si>
  <si>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是</t>
  </si>
  <si>
    <t>地上</t>
  </si>
  <si>
    <t>地下</t>
  </si>
  <si>
    <t>成新度</t>
  </si>
  <si>
    <t>收益法</t>
  </si>
  <si>
    <t>押一</t>
  </si>
  <si>
    <t>钢混</t>
  </si>
  <si>
    <t>非生产用房</t>
  </si>
  <si>
    <t>自定义容积率</t>
  </si>
  <si>
    <t>不临65条商业街</t>
  </si>
  <si>
    <t>与级别开发程度一致</t>
  </si>
  <si>
    <t>未包含在土地购买价格中</t>
  </si>
  <si>
    <t>全部缴纳</t>
  </si>
  <si>
    <t>已包含在土地取得成本中</t>
  </si>
  <si>
    <t>成本法</t>
  </si>
  <si>
    <t>总价</t>
  </si>
  <si>
    <t>成本比率</t>
  </si>
  <si>
    <t>较好</t>
  </si>
  <si>
    <t>好</t>
  </si>
  <si>
    <t>京（2024）朝不动产权第0057255号</t>
  </si>
  <si>
    <t>京（2024）朝不动产权第0057256号</t>
  </si>
  <si>
    <t>京（2024）朝不动产权第0057257号</t>
  </si>
  <si>
    <t>京（2024）朝不动产权第0057258号</t>
  </si>
  <si>
    <t>京（2024）朝不动产权第0057259号</t>
  </si>
  <si>
    <t>京（2024）朝不动产权第0057260号</t>
  </si>
  <si>
    <t>京（2024）朝不动产权第0057261号</t>
  </si>
  <si>
    <t>京（2024）朝不动产权第0057262号</t>
  </si>
  <si>
    <t>京（2024）朝不动产权第0057263号</t>
  </si>
  <si>
    <t>京（2024）朝不动产权第0057264号</t>
  </si>
  <si>
    <t>京（2024）朝不动产权第0057265号</t>
  </si>
  <si>
    <t>京（2024）朝不动产权第0057266号</t>
    <phoneticPr fontId="134" type="noConversion"/>
  </si>
  <si>
    <t>京（2024）朝不动产权第0057267号</t>
  </si>
  <si>
    <t>京（2024）朝不动产权第0057268号</t>
  </si>
  <si>
    <t>京（2024）朝不动产权第0057269号</t>
  </si>
  <si>
    <t>京（2024）朝不动产权第0057270号</t>
  </si>
  <si>
    <t>京（2024）朝不动产权第0057271号</t>
  </si>
  <si>
    <t>京（2024）朝不动产权第0057272号</t>
  </si>
  <si>
    <t>京（2024）朝不动产权第0057273号</t>
  </si>
  <si>
    <t>京（2024）朝不动产权第0057274号</t>
  </si>
  <si>
    <t>京（2024）朝不动产权第0057275号</t>
  </si>
  <si>
    <t>京（2024）朝不动产权第0057276号</t>
  </si>
  <si>
    <t>京（2024）朝不动产权第0057277号</t>
  </si>
  <si>
    <t>京（2024）朝不动产权第0057279号</t>
  </si>
  <si>
    <t>京（2024）朝不动产权第0057280号</t>
  </si>
  <si>
    <t>京（2024）朝不动产权第0057281号</t>
  </si>
  <si>
    <t>京（2024）朝不动产权第0057282号</t>
  </si>
  <si>
    <t>序号</t>
    <phoneticPr fontId="134" type="noConversion"/>
  </si>
  <si>
    <t>所在楼层</t>
    <phoneticPr fontId="134" type="noConversion"/>
  </si>
  <si>
    <t>建筑面积</t>
    <phoneticPr fontId="134" type="noConversion"/>
  </si>
  <si>
    <t>不动产权证证号</t>
    <phoneticPr fontId="134" type="noConversion"/>
  </si>
  <si>
    <t>朝阳区曙光西里甲5号院22号楼5层501</t>
    <phoneticPr fontId="134" type="noConversion"/>
  </si>
  <si>
    <t>朝阳区曙光西里甲5号院22号楼15层1501</t>
    <phoneticPr fontId="134" type="noConversion"/>
  </si>
  <si>
    <t>朝阳区曙光西里甲5号院22号楼1层101</t>
    <phoneticPr fontId="134" type="noConversion"/>
  </si>
  <si>
    <t>朝阳区曙光西里甲5号院22号楼14层1401</t>
    <phoneticPr fontId="134" type="noConversion"/>
  </si>
  <si>
    <t>朝阳区曙光西里甲5号院22号楼2层201</t>
    <phoneticPr fontId="134" type="noConversion"/>
  </si>
  <si>
    <t>朝阳区曙光西里甲5号院22号楼18层1801</t>
    <phoneticPr fontId="134" type="noConversion"/>
  </si>
  <si>
    <t>朝阳区曙光西里甲5号院22号楼9层901</t>
    <phoneticPr fontId="134" type="noConversion"/>
  </si>
  <si>
    <t>朝阳区曙光西里甲5号院22号楼3层301</t>
    <phoneticPr fontId="134" type="noConversion"/>
  </si>
  <si>
    <t>朝阳区曙光西里甲5号院22号楼-2层-201</t>
    <phoneticPr fontId="134" type="noConversion"/>
  </si>
  <si>
    <t>地下仓储</t>
    <phoneticPr fontId="134" type="noConversion"/>
  </si>
  <si>
    <t>朝阳区曙光西里甲5号院22号楼-3层-301</t>
    <phoneticPr fontId="134" type="noConversion"/>
  </si>
  <si>
    <t>朝阳区曙光西里甲5号院22号楼4层401</t>
    <phoneticPr fontId="134" type="noConversion"/>
  </si>
  <si>
    <t>朝阳区曙光西里甲5号院22号楼6层601</t>
    <phoneticPr fontId="134" type="noConversion"/>
  </si>
  <si>
    <t>朝阳区曙光西里甲5号院22号楼-3层-303</t>
    <phoneticPr fontId="134" type="noConversion"/>
  </si>
  <si>
    <t>朝阳区曙光西里甲5号院22号楼10层1001</t>
    <phoneticPr fontId="134" type="noConversion"/>
  </si>
  <si>
    <t>朝阳区曙光西里甲5号院22号楼-3层-302</t>
    <phoneticPr fontId="134" type="noConversion"/>
  </si>
  <si>
    <t>朝阳区曙光西里甲5号院22号楼17层1701</t>
    <phoneticPr fontId="134" type="noConversion"/>
  </si>
  <si>
    <t>朝阳区曙光西里甲5号院22号楼11层1101</t>
    <phoneticPr fontId="134" type="noConversion"/>
  </si>
  <si>
    <t>朝阳区曙光西里甲5号院22号楼2层202</t>
    <phoneticPr fontId="134" type="noConversion"/>
  </si>
  <si>
    <t>朝阳区曙光西里甲5号院22号楼16层1601</t>
    <phoneticPr fontId="134" type="noConversion"/>
  </si>
  <si>
    <t>朝阳区曙光西里甲5号院22号楼7层701</t>
    <phoneticPr fontId="134" type="noConversion"/>
  </si>
  <si>
    <t>朝阳区曙光西里甲5号院22号楼-1层-102</t>
    <phoneticPr fontId="134" type="noConversion"/>
  </si>
  <si>
    <t>朝阳区曙光西里甲5号院22号楼-2层-205</t>
    <phoneticPr fontId="134" type="noConversion"/>
  </si>
  <si>
    <t>朝阳区曙光西里甲5号院22号楼-2层-207</t>
    <phoneticPr fontId="134" type="noConversion"/>
  </si>
  <si>
    <t>朝阳区曙光西里甲5号院22号楼13层1301</t>
    <phoneticPr fontId="134" type="noConversion"/>
  </si>
  <si>
    <t>朝阳区曙光西里甲5号院22号楼8层801</t>
    <phoneticPr fontId="134" type="noConversion"/>
  </si>
  <si>
    <t>朝阳区曙光西里甲5号院22号楼-2层-204</t>
    <phoneticPr fontId="134" type="noConversion"/>
  </si>
  <si>
    <t>朝阳区曙光西里甲5号院22号楼12层1201</t>
    <phoneticPr fontId="134" type="noConversion"/>
  </si>
  <si>
    <t>坐落</t>
    <phoneticPr fontId="134" type="noConversion"/>
  </si>
  <si>
    <t>总计</t>
    <phoneticPr fontId="134" type="noConversion"/>
  </si>
  <si>
    <t>京（2024）朝不动产权第0057222号</t>
  </si>
  <si>
    <t>京（2024）朝不动产权第0057223号</t>
  </si>
  <si>
    <t>京（2024）朝不动产权第0057224号</t>
  </si>
  <si>
    <t>京（2024）朝不动产权第0057225号</t>
  </si>
  <si>
    <t>京（2024）朝不动产权第0057226号</t>
  </si>
  <si>
    <t>京（2024）朝不动产权第0057227号</t>
  </si>
  <si>
    <t>京（2024）朝不动产权第0057228号</t>
  </si>
  <si>
    <t>京（2024）朝不动产权第0057229号</t>
  </si>
  <si>
    <t>京（2024）朝不动产权第0057230号</t>
  </si>
  <si>
    <t>京（2024）朝不动产权第0057231号</t>
  </si>
  <si>
    <t>京（2024）朝不动产权第0057237号</t>
  </si>
  <si>
    <t>京（2024）朝不动产权第0057238号</t>
  </si>
  <si>
    <t>京（2024）朝不动产权第0057239号</t>
  </si>
  <si>
    <t>京（2024）朝不动产权第0057240号</t>
  </si>
  <si>
    <t>京（2024）朝不动产权第0057241号</t>
  </si>
  <si>
    <t>京（2024）朝不动产权第0057242号</t>
  </si>
  <si>
    <t>京（2024）朝不动产权第0057243号</t>
  </si>
  <si>
    <t>朝阳区曙光西里甲5号院21号楼10层1001</t>
    <phoneticPr fontId="134" type="noConversion"/>
  </si>
  <si>
    <t>朝阳区曙光西里甲5号院21号楼4层401</t>
    <phoneticPr fontId="134" type="noConversion"/>
  </si>
  <si>
    <t>朝阳区曙光西里甲5号院21号楼18层1801</t>
    <phoneticPr fontId="134" type="noConversion"/>
  </si>
  <si>
    <t>朝阳区曙光西里甲5号院21号楼14层1401</t>
    <phoneticPr fontId="134" type="noConversion"/>
  </si>
  <si>
    <t>朝阳区曙光西里甲5号院21号楼12层1201</t>
    <phoneticPr fontId="134" type="noConversion"/>
  </si>
  <si>
    <t>朝阳区曙光西里甲5号院21号楼6层601</t>
    <phoneticPr fontId="134" type="noConversion"/>
  </si>
  <si>
    <t>朝阳区曙光西里甲5号院21号楼-2层-209</t>
    <phoneticPr fontId="134" type="noConversion"/>
  </si>
  <si>
    <t>朝阳区曙光西里甲5号院21号楼8层801</t>
    <phoneticPr fontId="134" type="noConversion"/>
  </si>
  <si>
    <t>朝阳区曙光西里甲5号院21号楼16层1601</t>
    <phoneticPr fontId="134" type="noConversion"/>
  </si>
  <si>
    <t>朝阳区曙光西里甲5号院21号楼-2层-211</t>
    <phoneticPr fontId="134" type="noConversion"/>
  </si>
  <si>
    <t>朝阳区曙光西里甲5号院21号楼11层1101</t>
    <phoneticPr fontId="134" type="noConversion"/>
  </si>
  <si>
    <t>朝阳区曙光西里甲5号院21号楼9层901</t>
    <phoneticPr fontId="134" type="noConversion"/>
  </si>
  <si>
    <t>朝阳区曙光西里甲5号院21号楼15层1501</t>
    <phoneticPr fontId="134" type="noConversion"/>
  </si>
  <si>
    <t>朝阳区曙光西里甲5号院21号楼5层501</t>
    <phoneticPr fontId="134" type="noConversion"/>
  </si>
  <si>
    <t>朝阳区曙光西里甲5号院21号楼3层301</t>
    <phoneticPr fontId="134" type="noConversion"/>
  </si>
  <si>
    <t>朝阳区曙光西里甲5号院21号楼17层1701</t>
    <phoneticPr fontId="134" type="noConversion"/>
  </si>
  <si>
    <t>朝阳区曙光西里甲5号院21号楼13层1301</t>
    <phoneticPr fontId="134" type="noConversion"/>
  </si>
  <si>
    <t>京（2024）朝不动产权第0057232号</t>
  </si>
  <si>
    <t>京（2024）朝不动产权第0057233号</t>
  </si>
  <si>
    <t>京（2024）朝不动产权第0057234号</t>
  </si>
  <si>
    <t>京（2024）朝不动产权第0057235号</t>
  </si>
  <si>
    <t>京（2024）朝不动产权第0057236号</t>
  </si>
  <si>
    <t>朝阳区曙光西里甲5号院21号楼2层201</t>
    <phoneticPr fontId="134" type="noConversion"/>
  </si>
  <si>
    <t>朝阳区曙光西里甲5号院21号楼-3层-304</t>
    <phoneticPr fontId="134" type="noConversion"/>
  </si>
  <si>
    <t>朝阳区曙光西里甲5号院21号楼7层701</t>
    <phoneticPr fontId="134" type="noConversion"/>
  </si>
  <si>
    <t>朝阳区曙光西里甲5号院21号楼2层202</t>
    <phoneticPr fontId="134" type="noConversion"/>
  </si>
  <si>
    <t>朝阳区曙光西里甲5号院21号楼-1层-103</t>
    <phoneticPr fontId="134" type="noConversion"/>
  </si>
  <si>
    <r>
      <t>16</t>
    </r>
    <r>
      <rPr>
        <sz val="10"/>
        <color indexed="8"/>
        <rFont val="宋体"/>
        <family val="3"/>
        <charset val="134"/>
      </rPr>
      <t>号楼</t>
    </r>
    <r>
      <rPr>
        <sz val="10"/>
        <color indexed="8"/>
        <rFont val="Arial"/>
        <family val="2"/>
      </rPr>
      <t>A</t>
    </r>
    <r>
      <rPr>
        <sz val="10"/>
        <color indexed="8"/>
        <rFont val="宋体"/>
        <family val="3"/>
        <charset val="134"/>
      </rPr>
      <t>座</t>
    </r>
    <phoneticPr fontId="3" type="noConversion"/>
  </si>
  <si>
    <t>16号楼A座</t>
  </si>
  <si>
    <t>21号楼F座</t>
    <phoneticPr fontId="7" type="noConversion"/>
  </si>
  <si>
    <t>22号楼H座</t>
    <phoneticPr fontId="7" type="noConversion"/>
  </si>
  <si>
    <r>
      <t>21</t>
    </r>
    <r>
      <rPr>
        <sz val="10"/>
        <color indexed="8"/>
        <rFont val="宋体"/>
        <family val="3"/>
        <charset val="134"/>
      </rPr>
      <t>号楼F座</t>
    </r>
    <phoneticPr fontId="3" type="noConversion"/>
  </si>
  <si>
    <r>
      <t>22</t>
    </r>
    <r>
      <rPr>
        <sz val="10"/>
        <color indexed="8"/>
        <rFont val="宋体"/>
        <family val="3"/>
        <charset val="134"/>
      </rPr>
      <t>号楼H座</t>
    </r>
    <phoneticPr fontId="3" type="noConversion"/>
  </si>
  <si>
    <t>朝阳区曙光西里甲5号院16号楼1层101</t>
    <phoneticPr fontId="134" type="noConversion"/>
  </si>
  <si>
    <t>朝阳区曙光西里甲5号院16号楼1层102</t>
    <phoneticPr fontId="134" type="noConversion"/>
  </si>
  <si>
    <t>朝阳区曙光西里甲5号院16号楼2层201</t>
    <phoneticPr fontId="134" type="noConversion"/>
  </si>
  <si>
    <t>朝阳区曙光西里甲5号院16号楼3层301</t>
    <phoneticPr fontId="134" type="noConversion"/>
  </si>
  <si>
    <t>朝阳区曙光西里甲5号院16号楼4层401</t>
    <phoneticPr fontId="134" type="noConversion"/>
  </si>
  <si>
    <t>朝阳区曙光西里甲5号院16号楼5层501</t>
    <phoneticPr fontId="134" type="noConversion"/>
  </si>
  <si>
    <t>朝阳区曙光西里甲5号院16号楼6层601</t>
    <phoneticPr fontId="134" type="noConversion"/>
  </si>
  <si>
    <t>朝阳区曙光西里甲5号院16号楼7层701</t>
    <phoneticPr fontId="134" type="noConversion"/>
  </si>
  <si>
    <t>朝阳区曙光西里甲5号院16号楼8层801</t>
    <phoneticPr fontId="134" type="noConversion"/>
  </si>
  <si>
    <t>朝阳区曙光西里甲5号院16号楼9层901</t>
    <phoneticPr fontId="134" type="noConversion"/>
  </si>
  <si>
    <t>朝阳区曙光西里甲5号院16号楼10层1001</t>
    <phoneticPr fontId="134" type="noConversion"/>
  </si>
  <si>
    <t>朝阳区曙光西里甲5号院16号楼11层1101</t>
    <phoneticPr fontId="134" type="noConversion"/>
  </si>
  <si>
    <t>朝阳区曙光西里甲5号院16号楼12层1201</t>
    <phoneticPr fontId="134" type="noConversion"/>
  </si>
  <si>
    <t>朝阳区曙光西里甲5号院16号楼13层1301</t>
    <phoneticPr fontId="134" type="noConversion"/>
  </si>
  <si>
    <t>朝阳区曙光西里甲5号院16号楼14层1401</t>
    <phoneticPr fontId="134" type="noConversion"/>
  </si>
  <si>
    <t>朝阳区曙光西里甲5号院16号楼15层1501</t>
    <phoneticPr fontId="134" type="noConversion"/>
  </si>
  <si>
    <t>朝阳区曙光西里甲5号院16号楼16层1601</t>
    <phoneticPr fontId="134" type="noConversion"/>
  </si>
  <si>
    <t>朝阳区曙光西里甲5号院16号楼17层1701</t>
    <phoneticPr fontId="134" type="noConversion"/>
  </si>
  <si>
    <t>朝阳区曙光西里甲5号院16号楼18层1801</t>
    <phoneticPr fontId="134" type="noConversion"/>
  </si>
  <si>
    <t>朝阳区曙光西里甲5号院16号楼19层1901</t>
    <phoneticPr fontId="134" type="noConversion"/>
  </si>
  <si>
    <t>朝阳区曙光西里甲5号院16号楼20层2001</t>
    <phoneticPr fontId="134" type="noConversion"/>
  </si>
  <si>
    <t>朝阳区曙光西里甲5号院16号楼21层2101</t>
    <phoneticPr fontId="134" type="noConversion"/>
  </si>
  <si>
    <t>朝阳区曙光西里甲5号院16号楼22层2201</t>
    <phoneticPr fontId="134" type="noConversion"/>
  </si>
  <si>
    <t>朝阳区曙光西里甲5号院16号楼23层2301</t>
    <phoneticPr fontId="134" type="noConversion"/>
  </si>
  <si>
    <t>朝阳区曙光西里甲5号院16号楼-1层01</t>
    <phoneticPr fontId="134" type="noConversion"/>
  </si>
  <si>
    <t>车位</t>
    <phoneticPr fontId="134" type="noConversion"/>
  </si>
  <si>
    <t>朝阳区曙光西里甲5号院16号楼-1层05</t>
    <phoneticPr fontId="134" type="noConversion"/>
  </si>
  <si>
    <t>朝阳区曙光西里甲5号院16号楼-1层07</t>
    <phoneticPr fontId="134" type="noConversion"/>
  </si>
  <si>
    <t>朝阳区曙光西里甲5号院16号楼-1层09</t>
    <phoneticPr fontId="134" type="noConversion"/>
  </si>
  <si>
    <t>朝阳区曙光西里甲5号院16号楼-1层101</t>
    <phoneticPr fontId="134" type="noConversion"/>
  </si>
  <si>
    <t>朝阳区曙光西里甲5号院16号楼-1层105</t>
    <phoneticPr fontId="134" type="noConversion"/>
  </si>
  <si>
    <t>朝阳区曙光西里甲5号院16号楼-1层107</t>
    <phoneticPr fontId="134" type="noConversion"/>
  </si>
  <si>
    <t>朝阳区曙光西里甲5号院16号楼-1层109</t>
    <phoneticPr fontId="134" type="noConversion"/>
  </si>
  <si>
    <t>朝阳区曙光西里甲5号院16号楼-1层11</t>
    <phoneticPr fontId="134" type="noConversion"/>
  </si>
  <si>
    <t>朝阳区曙光西里甲5号院16号楼-1层111</t>
    <phoneticPr fontId="134" type="noConversion"/>
  </si>
  <si>
    <t>朝阳区曙光西里甲5号院16号楼-1层115</t>
    <phoneticPr fontId="134" type="noConversion"/>
  </si>
  <si>
    <t>朝阳区曙光西里甲5号院16号楼-1层117</t>
    <phoneticPr fontId="134" type="noConversion"/>
  </si>
  <si>
    <t>朝阳区曙光西里甲5号院16号楼-1层119</t>
    <phoneticPr fontId="134" type="noConversion"/>
  </si>
  <si>
    <t>朝阳区曙光西里甲5号院16号楼-1层121</t>
    <phoneticPr fontId="134" type="noConversion"/>
  </si>
  <si>
    <t>朝阳区曙光西里甲5号院16号楼-1层125</t>
    <phoneticPr fontId="134" type="noConversion"/>
  </si>
  <si>
    <t>朝阳区曙光西里甲5号院16号楼-1层127</t>
    <phoneticPr fontId="134" type="noConversion"/>
  </si>
  <si>
    <t>朝阳区曙光西里甲5号院16号楼-1层129</t>
    <phoneticPr fontId="134" type="noConversion"/>
  </si>
  <si>
    <t>朝阳区曙光西里甲5号院16号楼-1层131</t>
    <phoneticPr fontId="134" type="noConversion"/>
  </si>
  <si>
    <t>朝阳区曙光西里甲5号院16号楼-1层135</t>
    <phoneticPr fontId="134" type="noConversion"/>
  </si>
  <si>
    <t>朝阳区曙光西里甲5号院16号楼-1层137</t>
    <phoneticPr fontId="134" type="noConversion"/>
  </si>
  <si>
    <t>朝阳区曙光西里甲5号院16号楼-1层139</t>
    <phoneticPr fontId="134" type="noConversion"/>
  </si>
  <si>
    <t>朝阳区曙光西里甲5号院16号楼-1层15</t>
    <phoneticPr fontId="134" type="noConversion"/>
  </si>
  <si>
    <t>朝阳区曙光西里甲5号院16号楼-1层151</t>
    <phoneticPr fontId="134" type="noConversion"/>
  </si>
  <si>
    <t>朝阳区曙光西里甲5号院16号楼-1层155</t>
    <phoneticPr fontId="134" type="noConversion"/>
  </si>
  <si>
    <t>朝阳区曙光西里甲5号院16号楼-1层157</t>
    <phoneticPr fontId="134" type="noConversion"/>
  </si>
  <si>
    <t>朝阳区曙光西里甲5号院16号楼-1层159</t>
    <phoneticPr fontId="134" type="noConversion"/>
  </si>
  <si>
    <t>朝阳区曙光西里甲5号院16号楼-1层161</t>
    <phoneticPr fontId="134" type="noConversion"/>
  </si>
  <si>
    <t>朝阳区曙光西里甲5号院16号楼-1层165</t>
    <phoneticPr fontId="134" type="noConversion"/>
  </si>
  <si>
    <t>朝阳区曙光西里甲5号院16号楼-1层167</t>
    <phoneticPr fontId="134" type="noConversion"/>
  </si>
  <si>
    <t>朝阳区曙光西里甲5号院16号楼-1层169</t>
    <phoneticPr fontId="134" type="noConversion"/>
  </si>
  <si>
    <t>朝阳区曙光西里甲5号院16号楼-1层17</t>
    <phoneticPr fontId="134" type="noConversion"/>
  </si>
  <si>
    <t>朝阳区曙光西里甲5号院16号楼-1层19</t>
    <phoneticPr fontId="134" type="noConversion"/>
  </si>
  <si>
    <t>朝阳区曙光西里甲5号院16号楼-1层21</t>
    <phoneticPr fontId="134" type="noConversion"/>
  </si>
  <si>
    <t>朝阳区曙光西里甲5号院16号楼-1层25</t>
    <phoneticPr fontId="134" type="noConversion"/>
  </si>
  <si>
    <t>朝阳区曙光西里甲5号院16号楼-1层27</t>
    <phoneticPr fontId="134" type="noConversion"/>
  </si>
  <si>
    <t>朝阳区曙光西里甲5号院16号楼-1层29</t>
    <phoneticPr fontId="134" type="noConversion"/>
  </si>
  <si>
    <t>朝阳区曙光西里甲5号院16号楼-1层31</t>
    <phoneticPr fontId="134" type="noConversion"/>
  </si>
  <si>
    <t>朝阳区曙光西里甲5号院16号楼-1层35</t>
    <phoneticPr fontId="134" type="noConversion"/>
  </si>
  <si>
    <t>朝阳区曙光西里甲5号院16号楼-1层37</t>
    <phoneticPr fontId="134" type="noConversion"/>
  </si>
  <si>
    <t>朝阳区曙光西里甲5号院16号楼-1层39</t>
    <phoneticPr fontId="134" type="noConversion"/>
  </si>
  <si>
    <t>朝阳区曙光西里甲5号院16号楼-1层51</t>
    <phoneticPr fontId="134" type="noConversion"/>
  </si>
  <si>
    <t>朝阳区曙光西里甲5号院16号楼-1层55</t>
    <phoneticPr fontId="134" type="noConversion"/>
  </si>
  <si>
    <t>朝阳区曙光西里甲5号院16号楼-1层57</t>
    <phoneticPr fontId="134" type="noConversion"/>
  </si>
  <si>
    <t>朝阳区曙光西里甲5号院16号楼-1层59</t>
    <phoneticPr fontId="134" type="noConversion"/>
  </si>
  <si>
    <t>朝阳区曙光西里甲5号院16号楼-1层61</t>
    <phoneticPr fontId="134" type="noConversion"/>
  </si>
  <si>
    <t>朝阳区曙光西里甲5号院16号楼-1层65</t>
    <phoneticPr fontId="134" type="noConversion"/>
  </si>
  <si>
    <t>朝阳区曙光西里甲5号院16号楼-1层67</t>
    <phoneticPr fontId="134" type="noConversion"/>
  </si>
  <si>
    <t>朝阳区曙光西里甲5号院16号楼-1层69</t>
    <phoneticPr fontId="134" type="noConversion"/>
  </si>
  <si>
    <t>朝阳区曙光西里甲5号院16号楼-1层71</t>
    <phoneticPr fontId="134" type="noConversion"/>
  </si>
  <si>
    <t>朝阳区曙光西里甲5号院16号楼-1层75</t>
    <phoneticPr fontId="134" type="noConversion"/>
  </si>
  <si>
    <t>朝阳区曙光西里甲5号院16号楼-1层77</t>
    <phoneticPr fontId="134" type="noConversion"/>
  </si>
  <si>
    <t>朝阳区曙光西里甲5号院16号楼-1层79</t>
    <phoneticPr fontId="134" type="noConversion"/>
  </si>
  <si>
    <t>朝阳区曙光西里甲5号院16号楼-1层81</t>
    <phoneticPr fontId="134" type="noConversion"/>
  </si>
  <si>
    <t>朝阳区曙光西里甲5号院16号楼-1层85</t>
    <phoneticPr fontId="134" type="noConversion"/>
  </si>
  <si>
    <t>朝阳区曙光西里甲5号院16号楼-1层87</t>
    <phoneticPr fontId="134" type="noConversion"/>
  </si>
  <si>
    <t>朝阳区曙光西里甲5号院16号楼-1层89</t>
    <phoneticPr fontId="134" type="noConversion"/>
  </si>
  <si>
    <t>朝阳区曙光西里甲5号院16号楼-1层91</t>
    <phoneticPr fontId="134" type="noConversion"/>
  </si>
  <si>
    <t>朝阳区曙光西里甲5号院16号楼-1层95</t>
    <phoneticPr fontId="134" type="noConversion"/>
  </si>
  <si>
    <t>朝阳区曙光西里甲5号院16号楼-1层97</t>
    <phoneticPr fontId="134" type="noConversion"/>
  </si>
  <si>
    <t>朝阳区曙光西里甲5号院16号楼-1层99</t>
    <phoneticPr fontId="134" type="noConversion"/>
  </si>
  <si>
    <t>朝阳区曙光西里甲5号院16号楼-1层-102</t>
    <phoneticPr fontId="134" type="noConversion"/>
  </si>
  <si>
    <t>——</t>
    <phoneticPr fontId="134" type="noConversion"/>
  </si>
  <si>
    <t>A座租赁台账</t>
  </si>
  <si>
    <t>楼层</t>
  </si>
  <si>
    <t>租赁面积（㎡）</t>
  </si>
  <si>
    <t>租金（元/月/㎡）</t>
  </si>
  <si>
    <t>物业费（元/月/㎡）</t>
  </si>
  <si>
    <t>F座租赁台账</t>
  </si>
  <si>
    <t>H座租赁台账</t>
  </si>
  <si>
    <t>2019-2024年租赁情况</t>
  </si>
  <si>
    <t>年份</t>
  </si>
  <si>
    <t>出租率</t>
  </si>
  <si>
    <t>平均租金
（元/月/㎡）</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</si>
  <si>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</si>
  <si>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</si>
  <si>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</si>
  <si>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</si>
  <si>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</si>
  <si>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</si>
  <si>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</si>
  <si>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</si>
  <si>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</si>
  <si>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</si>
  <si>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</si>
  <si>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</si>
  <si>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</si>
  <si>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</si>
  <si>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</si>
  <si>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</si>
  <si>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4幢</t>
  </si>
  <si>
    <t>现：京(2020)丰不动产权第0023853号</t>
  </si>
  <si>
    <t>车库/车位</t>
  </si>
  <si>
    <t>其他</t>
  </si>
  <si>
    <t>5幢</t>
  </si>
  <si>
    <t>3号楼</t>
  </si>
  <si>
    <t>现：京(2020)丰不动产权第0007264号</t>
  </si>
  <si>
    <t>地上面积</t>
    <phoneticPr fontId="134" type="noConversion"/>
  </si>
  <si>
    <t>地下面积</t>
    <phoneticPr fontId="134" type="noConversion"/>
  </si>
  <si>
    <t>地下面积占比</t>
    <phoneticPr fontId="134" type="noConversion"/>
  </si>
  <si>
    <t>项目模式</t>
  </si>
  <si>
    <t>售价</t>
  </si>
  <si>
    <t>办公</t>
    <phoneticPr fontId="31" type="noConversion"/>
  </si>
  <si>
    <t>正常</t>
  </si>
  <si>
    <t>10幢</t>
  </si>
  <si>
    <t>B2202</t>
  </si>
  <si>
    <t>现：京(2022)朝不动产权第0088796号</t>
  </si>
  <si>
    <t>B1193</t>
  </si>
  <si>
    <t>现：京(2022)朝不动产权第0039377号</t>
  </si>
  <si>
    <t>1号楼</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</si>
  <si>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</si>
  <si>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</si>
  <si>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</si>
  <si>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</si>
  <si>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</si>
  <si>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</si>
  <si>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</si>
  <si>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</si>
  <si>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</si>
  <si>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</si>
  <si>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</si>
  <si>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</si>
  <si>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</si>
  <si>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</si>
  <si>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</si>
  <si>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</si>
  <si>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</si>
  <si>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</si>
  <si>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</si>
  <si>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</si>
  <si>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</si>
  <si>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</si>
  <si>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</si>
  <si>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</si>
  <si>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</si>
  <si>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</si>
  <si>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</si>
  <si>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</si>
  <si>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</si>
  <si>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</si>
  <si>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</si>
  <si>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</si>
  <si>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</si>
  <si>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</si>
  <si>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</si>
  <si>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</si>
  <si>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</si>
  <si>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</si>
  <si>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</si>
  <si>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</si>
  <si>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</si>
  <si>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</si>
  <si>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</si>
  <si>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</si>
  <si>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</si>
  <si>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</si>
  <si>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</si>
  <si>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</si>
  <si>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</si>
  <si>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</si>
  <si>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</si>
  <si>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</si>
  <si>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</si>
  <si>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</si>
  <si>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</si>
  <si>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</si>
  <si>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</si>
  <si>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</si>
  <si>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</si>
  <si>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</si>
  <si>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</si>
  <si>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</si>
  <si>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</si>
  <si>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</si>
  <si>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</si>
  <si>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</si>
  <si>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</si>
  <si>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</si>
  <si>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</si>
  <si>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</si>
  <si>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</si>
  <si>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7号楼</t>
  </si>
  <si>
    <t>现：京(2023)丰不动产权第0029386号</t>
  </si>
  <si>
    <t>华樾北京</t>
    <phoneticPr fontId="3" type="noConversion"/>
  </si>
  <si>
    <t>悦荣中心</t>
    <phoneticPr fontId="3" type="noConversion"/>
  </si>
  <si>
    <t>保利大都汇</t>
    <phoneticPr fontId="31" type="noConversion"/>
  </si>
  <si>
    <t>写字楼</t>
    <phoneticPr fontId="31" type="noConversion"/>
  </si>
  <si>
    <t>七通</t>
  </si>
  <si>
    <t>一般</t>
  </si>
  <si>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</si>
  <si>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</si>
  <si>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</si>
  <si>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</si>
  <si>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</si>
  <si>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</si>
  <si>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</si>
  <si>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</si>
  <si>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40-50</t>
    <phoneticPr fontId="31" type="noConversion"/>
  </si>
  <si>
    <t>地下占比</t>
    <phoneticPr fontId="31" type="noConversion"/>
  </si>
  <si>
    <t>5-10%</t>
  </si>
  <si>
    <t>5-10%</t>
    <phoneticPr fontId="31" type="noConversion"/>
  </si>
  <si>
    <t>20-25%</t>
    <phoneticPr fontId="31" type="noConversion"/>
  </si>
  <si>
    <t>10-15%</t>
    <phoneticPr fontId="31" type="noConversion"/>
  </si>
  <si>
    <t>0-5%</t>
    <phoneticPr fontId="31" type="noConversion"/>
  </si>
  <si>
    <t>产权单一</t>
    <phoneticPr fontId="31" type="noConversion"/>
  </si>
  <si>
    <t>是</t>
    <phoneticPr fontId="31" type="noConversion"/>
  </si>
  <si>
    <t>否</t>
    <phoneticPr fontId="31" type="noConversion"/>
  </si>
  <si>
    <t>40-50</t>
    <phoneticPr fontId="3" type="noConversion"/>
  </si>
  <si>
    <t>30-40</t>
    <phoneticPr fontId="3" type="noConversion"/>
  </si>
  <si>
    <t>20-30</t>
    <phoneticPr fontId="3" type="noConversion"/>
  </si>
  <si>
    <t>是</t>
    <phoneticPr fontId="3" type="noConversion"/>
  </si>
  <si>
    <t>否</t>
    <phoneticPr fontId="3" type="noConversion"/>
  </si>
  <si>
    <t>0-5%</t>
    <phoneticPr fontId="3" type="noConversion"/>
  </si>
  <si>
    <t>5-10%</t>
    <phoneticPr fontId="3" type="noConversion"/>
  </si>
  <si>
    <t>10-15%</t>
    <phoneticPr fontId="3" type="noConversion"/>
  </si>
  <si>
    <t>15-20%</t>
    <phoneticPr fontId="31" type="noConversion"/>
  </si>
  <si>
    <t>比较法-办公</t>
  </si>
  <si>
    <t>现房</t>
  </si>
  <si>
    <t>项目全部</t>
  </si>
  <si>
    <t>地下占比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</si>
</sst>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Red]\¥\-#,##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1"/>
      <color theme="0"/>
      <name val="宋体"/>
      <family val="3"/>
      <charset val="134"/>
      <scheme val="minor"/>
    </font>
    <font>
      <sz val="10"/>
      <color rgb="FF00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9"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5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0" fontId="47" fillId="12" borderId="0" xfId="17" applyNumberFormat="1" applyFont="1" applyFill="1" applyProtection="1">
      <alignment vertical="center"/>
      <protection locked="0"/>
    </xf>
    <xf numFmtId="10" fontId="47" fillId="12" borderId="0" xfId="0" applyNumberFormat="1" applyFont="1" applyFill="1" applyProtection="1">
      <alignment vertical="center"/>
      <protection locked="0"/>
    </xf>
    <xf numFmtId="0" fontId="95" fillId="0" borderId="1" xfId="0" applyFont="1" applyBorder="1">
      <alignment vertical="center"/>
    </xf>
    <xf numFmtId="0" fontId="0" fillId="0" borderId="1" xfId="0" applyBorder="1">
      <alignment vertical="center"/>
    </xf>
    <xf numFmtId="0" fontId="95" fillId="0" borderId="0" xfId="10" applyAlignment="1">
      <alignment horizontal="left" vertical="center"/>
    </xf>
    <xf numFmtId="0" fontId="271" fillId="22" borderId="1" xfId="10" applyFont="1" applyFill="1" applyBorder="1" applyAlignment="1">
      <alignment horizontal="left" vertical="center"/>
    </xf>
    <xf numFmtId="0" fontId="95" fillId="0" borderId="1" xfId="10" applyBorder="1" applyAlignment="1">
      <alignment horizontal="left" vertical="center"/>
    </xf>
    <xf numFmtId="0" fontId="107" fillId="0" borderId="1" xfId="10" applyFont="1" applyBorder="1" applyAlignment="1">
      <alignment horizontal="left" vertical="center"/>
    </xf>
    <xf numFmtId="0" fontId="272" fillId="12" borderId="1" xfId="10" applyFont="1" applyFill="1" applyBorder="1" applyAlignment="1">
      <alignment horizontal="left" vertical="center"/>
    </xf>
    <xf numFmtId="197" fontId="272" fillId="0" borderId="1" xfId="10" applyNumberFormat="1" applyFont="1" applyBorder="1" applyAlignment="1">
      <alignment horizontal="left" vertical="center"/>
    </xf>
    <xf numFmtId="0" fontId="95" fillId="23" borderId="1" xfId="10" applyFill="1" applyBorder="1" applyAlignment="1">
      <alignment horizontal="left" vertical="center"/>
    </xf>
    <xf numFmtId="0" fontId="107" fillId="12" borderId="1" xfId="10" applyFont="1" applyFill="1" applyBorder="1" applyAlignment="1">
      <alignment horizontal="left" vertical="center"/>
    </xf>
    <xf numFmtId="0" fontId="272" fillId="0" borderId="1" xfId="10" applyFont="1" applyBorder="1" applyAlignment="1">
      <alignment horizontal="left" vertical="center"/>
    </xf>
    <xf numFmtId="4" fontId="107" fillId="0" borderId="1" xfId="10" applyNumberFormat="1" applyFont="1" applyBorder="1" applyAlignment="1">
      <alignment horizontal="left" vertical="center"/>
    </xf>
    <xf numFmtId="197" fontId="107" fillId="0" borderId="1" xfId="10" applyNumberFormat="1" applyFont="1" applyBorder="1" applyAlignment="1">
      <alignment horizontal="left" vertical="center"/>
    </xf>
    <xf numFmtId="0" fontId="95" fillId="0" borderId="0" xfId="10">
      <alignment vertical="center"/>
    </xf>
    <xf numFmtId="0" fontId="95" fillId="0" borderId="0" xfId="10" applyAlignment="1">
      <alignment horizontal="center" vertical="center"/>
    </xf>
    <xf numFmtId="181" fontId="95" fillId="0" borderId="0" xfId="10" applyNumberFormat="1" applyAlignment="1">
      <alignment horizontal="center" vertical="center"/>
    </xf>
    <xf numFmtId="0" fontId="95" fillId="0" borderId="0" xfId="10" applyAlignment="1">
      <alignment horizontal="center" vertical="center" wrapText="1"/>
    </xf>
    <xf numFmtId="0" fontId="273" fillId="0" borderId="0" xfId="19"/>
    <xf numFmtId="14" fontId="273" fillId="0" borderId="0" xfId="19" applyNumberFormat="1"/>
    <xf numFmtId="10" fontId="273" fillId="0" borderId="0" xfId="17" applyNumberFormat="1" applyFont="1" applyAlignment="1"/>
    <xf numFmtId="0" fontId="128" fillId="0" borderId="51" xfId="0" applyFont="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1" fontId="53" fillId="0" borderId="49" xfId="1"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3" fillId="0" borderId="0" xfId="19"/>
    <xf numFmtId="14" fontId="273" fillId="0" borderId="0" xfId="19" applyNumberFormat="1"/>
    <xf numFmtId="0" fontId="271" fillId="22" borderId="0" xfId="10" applyFont="1" applyFill="1" applyAlignment="1">
      <alignment horizontal="center" vertical="center"/>
    </xf>
    <xf numFmtId="0" fontId="271" fillId="22" borderId="1" xfId="10" applyFont="1" applyFill="1" applyBorder="1" applyAlignment="1">
      <alignment horizontal="center" vertical="center"/>
    </xf>
    <xf numFmtId="0" fontId="271" fillId="22" borderId="5" xfId="10" applyFont="1" applyFill="1" applyBorder="1" applyAlignment="1">
      <alignment horizontal="center" vertical="center"/>
    </xf>
    <xf numFmtId="0" fontId="271" fillId="22" borderId="54" xfId="10" applyFont="1" applyFill="1" applyBorder="1" applyAlignment="1">
      <alignment horizontal="center" vertical="center"/>
    </xf>
    <xf numFmtId="0" fontId="96" fillId="0" borderId="0" xfId="10" applyFont="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CC3863FC-4BFA-4847-A425-BE92EADE9DD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285750</xdr:colOff>
      <xdr:row>0</xdr:row>
      <xdr:rowOff>0</xdr:rowOff>
    </xdr:from>
    <xdr:to>
      <xdr:col>9</xdr:col>
      <xdr:colOff>218740</xdr:colOff>
      <xdr:row>20</xdr:row>
      <xdr:rowOff>28143</xdr:rowOff>
    </xdr:to>
    <xdr:pic>
      <xdr:nvPicPr>
        <xdr:cNvPr id="97" name="图片 96">
          <a:extLst>
            <a:ext uri="{FF2B5EF4-FFF2-40B4-BE49-F238E27FC236}">
              <a16:creationId xmlns:a16="http://schemas.microsoft.com/office/drawing/2014/main" id="{94E8969F-ED13-657B-1EEB-1E8BFDCA07BE}"/>
            </a:ext>
          </a:extLst>
        </xdr:cNvPr>
        <xdr:cNvPicPr>
          <a:picLocks noChangeAspect="1"/>
        </xdr:cNvPicPr>
      </xdr:nvPicPr>
      <xdr:blipFill>
        <a:blip xmlns:r="http://schemas.openxmlformats.org/officeDocument/2006/relationships" r:embed="rId1"/>
        <a:stretch>
          <a:fillRect/>
        </a:stretch>
      </xdr:blipFill>
      <xdr:spPr>
        <a:xfrm>
          <a:off x="6153150" y="0"/>
          <a:ext cx="2676190" cy="3457143"/>
        </a:xfrm>
        <a:prstGeom prst="rect">
          <a:avLst/>
        </a:prstGeom>
      </xdr:spPr>
    </xdr:pic>
    <xdr:clientData/>
  </xdr:twoCellAnchor>
  <xdr:twoCellAnchor editAs="oneCell">
    <xdr:from>
      <xdr:col>10</xdr:col>
      <xdr:colOff>152400</xdr:colOff>
      <xdr:row>0</xdr:row>
      <xdr:rowOff>0</xdr:rowOff>
    </xdr:from>
    <xdr:to>
      <xdr:col>13</xdr:col>
      <xdr:colOff>675952</xdr:colOff>
      <xdr:row>19</xdr:row>
      <xdr:rowOff>123402</xdr:rowOff>
    </xdr:to>
    <xdr:pic>
      <xdr:nvPicPr>
        <xdr:cNvPr id="98" name="图片 97">
          <a:extLst>
            <a:ext uri="{FF2B5EF4-FFF2-40B4-BE49-F238E27FC236}">
              <a16:creationId xmlns:a16="http://schemas.microsoft.com/office/drawing/2014/main" id="{78885984-D342-F636-6357-F2C0079E877D}"/>
            </a:ext>
          </a:extLst>
        </xdr:cNvPr>
        <xdr:cNvPicPr>
          <a:picLocks noChangeAspect="1"/>
        </xdr:cNvPicPr>
      </xdr:nvPicPr>
      <xdr:blipFill>
        <a:blip xmlns:r="http://schemas.openxmlformats.org/officeDocument/2006/relationships" r:embed="rId2"/>
        <a:stretch>
          <a:fillRect/>
        </a:stretch>
      </xdr:blipFill>
      <xdr:spPr>
        <a:xfrm>
          <a:off x="9448800" y="0"/>
          <a:ext cx="2580952" cy="3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估价对象为北京市房地产，为所有。根据《国有土地使用证》[]，估价对象（分摊）出让国有建设用地使用权面积为0平方米，建筑面积为83502.29平方米。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估价对象为北京市房地产,为开发建设的，该项目尚在开发建设中。根据《国有土地使用证》[]，估价对象（分摊）出让国有建设用地使用权面积为0平方米，规划建筑面积为83502.29平方米。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2025年8月12日（评估专业人员实地查勘之日）</v>
      </c>
    </row>
    <row r="13" spans="1:2">
      <c r="A13" s="1116" t="s">
        <v>529</v>
      </c>
      <c r="B13" s="1117"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134951</v>
      </c>
    </row>
    <row r="21" spans="1:2">
      <c r="A21" s="1116" t="s">
        <v>537</v>
      </c>
      <c r="B21" s="1117">
        <f ca="1">'预评函-2'!D7</f>
        <v>39117</v>
      </c>
    </row>
    <row r="22" spans="1:2">
      <c r="A22" s="1116" t="s">
        <v>538</v>
      </c>
      <c r="B22" s="1117" t="str">
        <f ca="1">'预评函-2'!D6</f>
        <v>壹拾叁亿肆仟玖佰伍拾壹万元整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134951</v>
      </c>
    </row>
    <row r="31" spans="1:2">
      <c r="A31" s="1116" t="s">
        <v>576</v>
      </c>
      <c r="B31" s="1117">
        <f ca="1">'预评函-2'!D15</f>
        <v>39117</v>
      </c>
    </row>
    <row r="32" spans="1:2">
      <c r="A32" s="1116" t="s">
        <v>543</v>
      </c>
      <c r="B32" s="1117" t="str">
        <f ca="1">'预评函-2'!D14</f>
        <v>壹拾叁亿肆仟玖佰伍拾壹万元整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83502.290000000008</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111874</v>
      </c>
    </row>
    <row r="48" spans="1:2">
      <c r="A48" s="1116" t="s">
        <v>549</v>
      </c>
      <c r="B48" s="1117">
        <f ca="1">'预评函-3'!E4</f>
        <v>32428</v>
      </c>
    </row>
    <row r="49" spans="1:2">
      <c r="A49" s="1116" t="s">
        <v>550</v>
      </c>
      <c r="B49" s="1117" t="str">
        <f ca="1">'预评函-3'!D5</f>
        <v>壹拾壹亿壹仟捌佰柒拾肆万元整</v>
      </c>
    </row>
    <row r="50" spans="1:2">
      <c r="A50" s="1116" t="s">
        <v>574</v>
      </c>
      <c r="B50" s="1117" t="str">
        <f>'预评函-3'!F2</f>
        <v>在建建筑物价值</v>
      </c>
    </row>
    <row r="51" spans="1:2">
      <c r="A51" s="1116" t="s">
        <v>551</v>
      </c>
      <c r="B51" s="1117">
        <f ca="1">'预评函-3'!F4</f>
        <v>23077</v>
      </c>
    </row>
    <row r="52" spans="1:2">
      <c r="A52" s="1116" t="s">
        <v>552</v>
      </c>
      <c r="B52" s="1117">
        <f ca="1">'预评函-3'!G4</f>
        <v>6689</v>
      </c>
    </row>
    <row r="53" spans="1:2">
      <c r="A53" s="1116" t="s">
        <v>580</v>
      </c>
      <c r="B53" s="1117" t="str">
        <f ca="1">'预评函-3'!F5</f>
        <v>贰亿叁仟零柒拾柒万元整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8" width="15.125" style="1442" customWidth="1"/>
    <col min="29" max="16384" width="9" style="1402"/>
  </cols>
  <sheetData>
    <row r="1" spans="1:28" s="1437" customFormat="1" ht="40.5">
      <c r="A1" s="1433" t="s">
        <v>44</v>
      </c>
      <c r="B1" s="1434" t="s">
        <v>977</v>
      </c>
      <c r="C1" s="1435" t="s">
        <v>314</v>
      </c>
      <c r="D1" s="1436" t="s">
        <v>3340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c r="X1" s="1435" t="s">
        <v>673</v>
      </c>
      <c r="Y1" s="1435" t="s">
        <v>21</v>
      </c>
      <c r="Z1" s="1435" t="s">
        <v>3396</v>
      </c>
      <c r="AA1" s="1435" t="s">
        <v>3395</v>
      </c>
      <c r="AB1" s="1435" t="s">
        <v>3</v>
      </c>
    </row>
    <row r="2" spans="1:28">
      <c r="A2" s="1438" t="s">
        <v>19</v>
      </c>
      <c r="B2" s="1438" t="s">
        <v>993</v>
      </c>
      <c r="C2" s="1439" t="s">
        <v>315</v>
      </c>
      <c r="D2" s="1440" t="s">
        <v>994</v>
      </c>
      <c r="E2" s="1440" t="s">
        <v>995</v>
      </c>
      <c r="F2" s="1440" t="s">
        <v>996</v>
      </c>
      <c r="G2" s="1440">
        <v>20</v>
      </c>
      <c r="H2" s="1440" t="s">
        <v>996</v>
      </c>
      <c r="I2" s="1440" t="s">
        <v>3326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c r="X2" s="1442" t="s">
        <v>2428</v>
      </c>
      <c r="Y2" s="1442" t="s">
        <v>3403</v>
      </c>
      <c r="Z2" s="1442" t="s">
        <v>2441</v>
      </c>
      <c r="AA2" s="1442" t="s">
        <v>3404</v>
      </c>
      <c r="AB2" s="1442" t="s">
        <v>2468</v>
      </c>
    </row>
    <row r="3" spans="1:28">
      <c r="A3" s="1438" t="s">
        <v>1001</v>
      </c>
      <c r="B3" s="1441" t="s">
        <v>448</v>
      </c>
      <c r="C3" s="1439" t="s">
        <v>316</v>
      </c>
      <c r="D3" s="1440" t="s">
        <v>1002</v>
      </c>
      <c r="E3" s="1440" t="s">
        <v>13</v>
      </c>
      <c r="F3" s="1440" t="s">
        <v>1003</v>
      </c>
      <c r="G3" s="1440">
        <v>40</v>
      </c>
      <c r="H3" s="1440" t="s">
        <v>1003</v>
      </c>
      <c r="I3" s="1440" t="s">
        <v>3327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c r="X3" s="1442" t="s">
        <v>2430</v>
      </c>
      <c r="Z3" s="1442" t="s">
        <v>2443</v>
      </c>
      <c r="AB3" s="1442" t="s">
        <v>2470</v>
      </c>
    </row>
    <row r="4" spans="1:28">
      <c r="A4" s="1438" t="s">
        <v>1008</v>
      </c>
      <c r="B4" s="1438" t="s">
        <v>1009</v>
      </c>
      <c r="C4" s="1439" t="s">
        <v>317</v>
      </c>
      <c r="D4" s="1440" t="s">
        <v>389</v>
      </c>
      <c r="E4" s="1440" t="s">
        <v>1010</v>
      </c>
      <c r="F4" s="1440" t="s">
        <v>1011</v>
      </c>
      <c r="G4" s="1440">
        <v>50</v>
      </c>
      <c r="H4" s="1440" t="s">
        <v>1011</v>
      </c>
      <c r="I4" s="1440" t="s">
        <v>3328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c r="X4" s="1442" t="s">
        <v>2432</v>
      </c>
      <c r="Z4" s="1442" t="s">
        <v>2445</v>
      </c>
      <c r="AB4" s="1442" t="s">
        <v>2472</v>
      </c>
    </row>
    <row r="5" spans="1:28">
      <c r="A5" s="1438" t="s">
        <v>1014</v>
      </c>
      <c r="B5" s="1438" t="s">
        <v>1015</v>
      </c>
      <c r="C5" s="1439" t="s">
        <v>318</v>
      </c>
      <c r="F5" s="1440" t="s">
        <v>1016</v>
      </c>
      <c r="G5" s="1440">
        <v>70</v>
      </c>
      <c r="H5" s="1440" t="s">
        <v>1017</v>
      </c>
      <c r="I5" s="1440" t="s">
        <v>3329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c r="X5" s="1442" t="s">
        <v>2434</v>
      </c>
      <c r="Z5" s="1442" t="s">
        <v>2447</v>
      </c>
      <c r="AB5" s="1442" t="s">
        <v>3405</v>
      </c>
    </row>
    <row r="6" spans="1:28">
      <c r="A6" s="1438" t="s">
        <v>1020</v>
      </c>
      <c r="B6" s="1441" t="s">
        <v>449</v>
      </c>
      <c r="C6" s="1443" t="s">
        <v>24</v>
      </c>
      <c r="F6" s="1440" t="s">
        <v>1017</v>
      </c>
      <c r="H6" s="1440" t="s">
        <v>1021</v>
      </c>
      <c r="I6" s="1440" t="s">
        <v>3330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c r="X6" s="1442" t="s">
        <v>2436</v>
      </c>
      <c r="Z6" s="1442" t="s">
        <v>2449</v>
      </c>
      <c r="AB6" s="1442" t="s">
        <v>2475</v>
      </c>
    </row>
    <row r="7" spans="1:28">
      <c r="A7" s="1438" t="s">
        <v>1023</v>
      </c>
      <c r="B7" s="1441" t="s">
        <v>450</v>
      </c>
      <c r="C7" s="1439" t="s">
        <v>25</v>
      </c>
      <c r="F7" s="1440" t="s">
        <v>1024</v>
      </c>
      <c r="H7" s="1440" t="s">
        <v>1025</v>
      </c>
      <c r="I7" s="1440" t="s">
        <v>3331</v>
      </c>
      <c r="X7" s="1442" t="s">
        <v>2438</v>
      </c>
      <c r="Z7" s="1442" t="s">
        <v>2451</v>
      </c>
      <c r="AB7" s="1442" t="s">
        <v>2477</v>
      </c>
    </row>
    <row r="8" spans="1:28">
      <c r="A8" s="1438" t="s">
        <v>1026</v>
      </c>
      <c r="B8" s="1438" t="s">
        <v>1027</v>
      </c>
      <c r="C8" s="1439" t="s">
        <v>319</v>
      </c>
      <c r="F8" s="1440" t="s">
        <v>1028</v>
      </c>
      <c r="H8" s="1440" t="s">
        <v>2566</v>
      </c>
      <c r="I8" s="1440" t="s">
        <v>3332</v>
      </c>
      <c r="X8" s="1442" t="s">
        <v>3406</v>
      </c>
      <c r="Z8" s="1442" t="s">
        <v>2453</v>
      </c>
      <c r="AB8" s="1442" t="s">
        <v>2479</v>
      </c>
    </row>
    <row r="9" spans="1:28">
      <c r="A9" s="1438" t="s">
        <v>1029</v>
      </c>
      <c r="B9" s="1438" t="s">
        <v>1030</v>
      </c>
      <c r="C9" s="1439" t="s">
        <v>320</v>
      </c>
      <c r="F9" s="1440" t="s">
        <v>1031</v>
      </c>
      <c r="H9" s="1440"/>
      <c r="I9" s="1442" t="s">
        <v>3333</v>
      </c>
      <c r="X9" s="1442" t="s">
        <v>3407</v>
      </c>
      <c r="Z9" s="1442" t="s">
        <v>2455</v>
      </c>
      <c r="AB9" s="1442" t="s">
        <v>2481</v>
      </c>
    </row>
    <row r="10" spans="1:28">
      <c r="A10" s="1438" t="s">
        <v>1032</v>
      </c>
      <c r="B10" s="1438" t="s">
        <v>1033</v>
      </c>
      <c r="C10" s="1439" t="s">
        <v>321</v>
      </c>
      <c r="F10" s="1440" t="s">
        <v>2567</v>
      </c>
      <c r="I10" s="1442" t="s">
        <v>3334</v>
      </c>
      <c r="Z10" s="1442" t="s">
        <v>2457</v>
      </c>
      <c r="AB10" s="1442" t="s">
        <v>2483</v>
      </c>
    </row>
    <row r="11" spans="1:28">
      <c r="A11" s="1438" t="s">
        <v>1034</v>
      </c>
      <c r="B11" s="1438" t="s">
        <v>1035</v>
      </c>
      <c r="C11" s="1439" t="s">
        <v>322</v>
      </c>
      <c r="F11" s="1440" t="s">
        <v>13</v>
      </c>
      <c r="I11" s="1442" t="s">
        <v>3335</v>
      </c>
      <c r="Z11" s="1442" t="s">
        <v>2459</v>
      </c>
      <c r="AB11" s="1442" t="s">
        <v>2485</v>
      </c>
    </row>
    <row r="12" spans="1:28">
      <c r="A12" s="1438" t="s">
        <v>1036</v>
      </c>
      <c r="B12" s="1438" t="s">
        <v>1037</v>
      </c>
      <c r="C12" s="1439" t="s">
        <v>323</v>
      </c>
      <c r="I12" s="1442" t="s">
        <v>3336</v>
      </c>
      <c r="Z12" s="1442" t="s">
        <v>2461</v>
      </c>
      <c r="AB12" s="1442" t="s">
        <v>2487</v>
      </c>
    </row>
    <row r="13" spans="1:28">
      <c r="A13" s="1438" t="s">
        <v>1038</v>
      </c>
      <c r="B13" s="1438" t="s">
        <v>1039</v>
      </c>
      <c r="C13" s="1439" t="s">
        <v>324</v>
      </c>
      <c r="I13" s="1442" t="s">
        <v>3337</v>
      </c>
      <c r="Z13" s="1442" t="s">
        <v>2463</v>
      </c>
    </row>
    <row r="14" spans="1:28">
      <c r="A14" s="1438" t="s">
        <v>1040</v>
      </c>
      <c r="B14" s="1438" t="s">
        <v>1041</v>
      </c>
      <c r="C14" s="1440" t="s">
        <v>13</v>
      </c>
      <c r="I14" s="1442" t="s">
        <v>3338</v>
      </c>
      <c r="Z14" s="1442" t="s">
        <v>2465</v>
      </c>
    </row>
    <row r="15" spans="1:28">
      <c r="A15" s="1438" t="s">
        <v>1042</v>
      </c>
      <c r="B15" s="1438" t="s">
        <v>1043</v>
      </c>
      <c r="C15" s="1439"/>
      <c r="I15" s="1442" t="s">
        <v>3339</v>
      </c>
    </row>
    <row r="16" spans="1:28">
      <c r="A16" s="1438" t="s">
        <v>1044</v>
      </c>
      <c r="B16" s="1438" t="s">
        <v>312</v>
      </c>
      <c r="C16" s="1439"/>
    </row>
    <row r="17" spans="1:3">
      <c r="A17" s="1438" t="s">
        <v>1045</v>
      </c>
      <c r="B17" s="1438" t="s">
        <v>2282</v>
      </c>
      <c r="C17" s="1439"/>
    </row>
    <row r="18" spans="1:3">
      <c r="A18" s="1438" t="s">
        <v>1046</v>
      </c>
      <c r="B18" s="1438" t="s">
        <v>2422</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4" t="s">
        <v>385</v>
      </c>
      <c r="C54" s="1442" t="s">
        <v>583</v>
      </c>
    </row>
    <row r="55" spans="1:4">
      <c r="A55" s="3243"/>
      <c r="B55" s="1444" t="s">
        <v>386</v>
      </c>
      <c r="C55" s="1442" t="s">
        <v>584</v>
      </c>
    </row>
    <row r="56" spans="1:4">
      <c r="A56" s="3243"/>
      <c r="B56" s="1444" t="s">
        <v>387</v>
      </c>
      <c r="C56" s="1442" t="s">
        <v>588</v>
      </c>
    </row>
    <row r="57" spans="1:4">
      <c r="A57" s="324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2489</v>
      </c>
      <c r="B1" s="2754"/>
      <c r="C1" s="2754"/>
      <c r="D1" s="2754"/>
      <c r="E1" s="2754"/>
      <c r="F1" s="2755"/>
      <c r="I1" s="3132" t="s">
        <v>2582</v>
      </c>
      <c r="J1" s="2780"/>
      <c r="K1" s="2780"/>
      <c r="L1" s="2780"/>
      <c r="M1" s="2780"/>
      <c r="N1" s="2965"/>
      <c r="O1" s="2965"/>
      <c r="P1" s="2965"/>
      <c r="Q1" s="2965"/>
      <c r="R1" s="2965"/>
    </row>
    <row r="2" spans="1:18">
      <c r="A2" s="2757"/>
      <c r="B2" s="2758"/>
      <c r="C2" s="2758"/>
      <c r="D2" s="2758"/>
      <c r="E2" s="2758"/>
      <c r="F2" s="2759"/>
      <c r="I2" s="3244" t="s">
        <v>2569</v>
      </c>
      <c r="J2" s="3244"/>
      <c r="K2" s="3244"/>
      <c r="L2" s="3244"/>
      <c r="M2" s="3244"/>
      <c r="N2" s="3244"/>
      <c r="O2" s="3244"/>
      <c r="P2" s="3244"/>
      <c r="Q2" s="3244"/>
      <c r="R2" s="3244"/>
    </row>
    <row r="3" spans="1:18">
      <c r="A3" s="2760" t="s">
        <v>2490</v>
      </c>
      <c r="B3" s="2761">
        <f>项目基本情况!D3</f>
        <v>45881</v>
      </c>
      <c r="C3" s="2763"/>
      <c r="D3" s="2763"/>
      <c r="E3" s="2763"/>
      <c r="F3" s="2759"/>
      <c r="I3" s="2775"/>
      <c r="J3" s="2775" t="s">
        <v>2573</v>
      </c>
      <c r="K3" s="2775" t="s">
        <v>2574</v>
      </c>
      <c r="L3" s="2775" t="s">
        <v>2575</v>
      </c>
      <c r="M3" s="2775" t="s">
        <v>2576</v>
      </c>
      <c r="N3" s="3133" t="s">
        <v>2577</v>
      </c>
      <c r="O3" s="3133" t="s">
        <v>2578</v>
      </c>
      <c r="P3" s="3133" t="s">
        <v>2579</v>
      </c>
      <c r="Q3" s="3133" t="s">
        <v>2580</v>
      </c>
      <c r="R3" s="3133" t="s">
        <v>2581</v>
      </c>
    </row>
    <row r="4" spans="1:18">
      <c r="A4" s="2760" t="s">
        <v>2491</v>
      </c>
      <c r="B4" s="2763" t="s">
        <v>2492</v>
      </c>
      <c r="C4" s="2763" t="s">
        <v>2493</v>
      </c>
      <c r="D4" s="2763" t="s">
        <v>2494</v>
      </c>
      <c r="E4" s="2763" t="s">
        <v>2495</v>
      </c>
      <c r="F4" s="2759"/>
      <c r="I4" s="2775" t="s">
        <v>2570</v>
      </c>
      <c r="J4" s="2775">
        <v>80</v>
      </c>
      <c r="K4" s="2775">
        <v>70</v>
      </c>
      <c r="L4" s="2775">
        <v>20</v>
      </c>
      <c r="M4" s="2775">
        <v>30</v>
      </c>
      <c r="N4" s="2763">
        <v>45</v>
      </c>
      <c r="O4" s="2763">
        <v>60</v>
      </c>
      <c r="P4" s="2763">
        <v>50</v>
      </c>
      <c r="Q4" s="2763">
        <v>20</v>
      </c>
      <c r="R4" s="2763">
        <v>375</v>
      </c>
    </row>
    <row r="5" spans="1:18">
      <c r="A5" s="2764">
        <v>40</v>
      </c>
      <c r="B5" s="2761">
        <v>46375</v>
      </c>
      <c r="C5" s="2763">
        <f>ROUNDDOWN(MIN((B5-B3)/365,A5),2)</f>
        <v>1.35</v>
      </c>
      <c r="D5" s="2765">
        <f>IF(ISERROR(ROUND(POWER(1+E5,A5-C5)*(POWER(1+E5,C5)-1)/(POWER(1+E5,A5)-1),3)),0,ROUND(POWER(1+E5,A5-C5)*(POWER(1+E5,C5)-1)/(POWER(1+E5,A5)-1),4))</f>
        <v>6.5100000000000005E-2</v>
      </c>
      <c r="E5" s="2766">
        <v>0.04</v>
      </c>
      <c r="F5" s="2759"/>
      <c r="I5" s="2775" t="s">
        <v>2571</v>
      </c>
      <c r="J5" s="2775">
        <v>70</v>
      </c>
      <c r="K5" s="2775">
        <v>60</v>
      </c>
      <c r="L5" s="2775">
        <v>15</v>
      </c>
      <c r="M5" s="2775">
        <v>25</v>
      </c>
      <c r="N5" s="2763">
        <v>40</v>
      </c>
      <c r="O5" s="2763">
        <v>50</v>
      </c>
      <c r="P5" s="2763">
        <v>40</v>
      </c>
      <c r="Q5" s="2763">
        <v>15</v>
      </c>
      <c r="R5" s="2763">
        <v>315</v>
      </c>
    </row>
    <row r="6" spans="1:18">
      <c r="A6" s="2764">
        <v>50</v>
      </c>
      <c r="B6" s="2761">
        <v>50028</v>
      </c>
      <c r="C6" s="2763">
        <f>ROUNDDOWN(MIN((B6-B3)/365,A6),2)</f>
        <v>11.36</v>
      </c>
      <c r="D6" s="2765">
        <f>IF(ISERROR(ROUND(POWER(1+E6,A6-C6)*(POWER(1+E6,C6)-1)/(POWER(1+E6,A6)-1),3)),0,ROUND(POWER(1+E6,A6-C6)*(POWER(1+E6,C6)-1)/(POWER(1+E6,A6)-1),4))</f>
        <v>0.41839999999999999</v>
      </c>
      <c r="E6" s="2766">
        <v>0.04</v>
      </c>
      <c r="F6" s="2759"/>
      <c r="I6" s="2775" t="s">
        <v>2572</v>
      </c>
      <c r="J6" s="2775">
        <v>60</v>
      </c>
      <c r="K6" s="2775">
        <v>50</v>
      </c>
      <c r="L6" s="2775">
        <v>10</v>
      </c>
      <c r="M6" s="2775">
        <v>20</v>
      </c>
      <c r="N6" s="2763">
        <v>35</v>
      </c>
      <c r="O6" s="2763">
        <v>40</v>
      </c>
      <c r="P6" s="2763">
        <v>30</v>
      </c>
      <c r="Q6" s="2763">
        <v>10</v>
      </c>
      <c r="R6" s="2763">
        <v>255</v>
      </c>
    </row>
    <row r="7" spans="1:18">
      <c r="A7" s="2764">
        <v>70</v>
      </c>
      <c r="B7" s="2761">
        <v>57333</v>
      </c>
      <c r="C7" s="2763">
        <f>ROUNDDOWN(MIN((B7-B3)/365,A7),2)</f>
        <v>31.37</v>
      </c>
      <c r="D7" s="2765">
        <f>IF(ISERROR(ROUND(POWER(1+E7,A7-C7)*(POWER(1+E7,C7)-1)/(POWER(1+E7,A7)-1),3)),0,ROUND(POWER(1+E7,A7-C7)*(POWER(1+E7,C7)-1)/(POWER(1+E7,A7)-1),4))</f>
        <v>0.75639999999999996</v>
      </c>
      <c r="E7" s="2766">
        <v>0.04</v>
      </c>
      <c r="F7" s="2759"/>
    </row>
    <row r="8" spans="1:18">
      <c r="A8" s="2757"/>
      <c r="B8" s="2758"/>
      <c r="C8" s="2758"/>
      <c r="D8" s="2758"/>
      <c r="E8" s="2758"/>
      <c r="F8" s="2759"/>
    </row>
    <row r="9" spans="1:18">
      <c r="A9" s="2760" t="s">
        <v>2496</v>
      </c>
      <c r="B9" s="2763"/>
      <c r="C9" s="2763"/>
      <c r="D9" s="2763"/>
      <c r="E9" s="2763"/>
      <c r="F9" s="2767"/>
    </row>
    <row r="10" spans="1:18">
      <c r="A10" s="2760" t="s">
        <v>2497</v>
      </c>
      <c r="B10" s="2763"/>
      <c r="C10" s="2763"/>
      <c r="D10" s="2763" t="s">
        <v>2495</v>
      </c>
      <c r="E10" s="2763"/>
      <c r="F10" s="2767" t="s">
        <v>2494</v>
      </c>
    </row>
    <row r="11" spans="1:18">
      <c r="A11" s="2760" t="s">
        <v>2498</v>
      </c>
      <c r="B11" s="2768">
        <v>70</v>
      </c>
      <c r="C11" s="2763" t="s">
        <v>2499</v>
      </c>
      <c r="D11" s="2768">
        <v>4.4999999999999998E-2</v>
      </c>
      <c r="E11" s="2763" t="s">
        <v>2500</v>
      </c>
      <c r="F11" s="2769">
        <f>ROUND(1-(1/(POWER(1+D11,B11))),4)</f>
        <v>0.95409999999999995</v>
      </c>
    </row>
    <row r="12" spans="1:18">
      <c r="A12" s="2760" t="s">
        <v>2501</v>
      </c>
      <c r="B12" s="2768">
        <v>40</v>
      </c>
      <c r="C12" s="2763" t="s">
        <v>2502</v>
      </c>
      <c r="D12" s="2768">
        <v>4.4999999999999998E-2</v>
      </c>
      <c r="E12" s="2763" t="s">
        <v>2503</v>
      </c>
      <c r="F12" s="2769">
        <f>ROUND(1-(1/(POWER(1+D12,B12))),4)</f>
        <v>0.82809999999999995</v>
      </c>
    </row>
    <row r="13" spans="1:18">
      <c r="A13" s="2760" t="s">
        <v>2504</v>
      </c>
      <c r="B13" s="2763"/>
      <c r="C13" s="2763"/>
      <c r="D13" s="2758"/>
      <c r="E13" s="2758"/>
      <c r="F13" s="2759"/>
    </row>
    <row r="14" spans="1:18">
      <c r="A14" s="2760" t="s">
        <v>2505</v>
      </c>
      <c r="B14" s="2768">
        <v>5000</v>
      </c>
      <c r="C14" s="2762"/>
      <c r="D14" s="2758"/>
      <c r="E14" s="2758"/>
      <c r="F14" s="2759"/>
    </row>
    <row r="15" spans="1:18">
      <c r="A15" s="2760" t="s">
        <v>2506</v>
      </c>
      <c r="B15" s="2763">
        <f>ROUND(B14*F12/F11,2)</f>
        <v>4339.6899999999996</v>
      </c>
      <c r="C15" s="2763">
        <f>ROUND(F12/F11,4)</f>
        <v>0.8679</v>
      </c>
      <c r="D15" s="2758"/>
      <c r="E15" s="2758"/>
      <c r="F15" s="2759"/>
    </row>
    <row r="16" spans="1:18">
      <c r="A16" s="2760" t="s">
        <v>2507</v>
      </c>
      <c r="B16" s="2763"/>
      <c r="C16" s="2763"/>
      <c r="D16" s="2758"/>
      <c r="E16" s="2758"/>
      <c r="F16" s="2759"/>
    </row>
    <row r="17" spans="1:14">
      <c r="A17" s="2760" t="s">
        <v>2506</v>
      </c>
      <c r="B17" s="2768">
        <v>4810</v>
      </c>
      <c r="C17" s="2762"/>
      <c r="D17" s="2758"/>
      <c r="E17" s="2758"/>
      <c r="F17" s="2759"/>
    </row>
    <row r="18" spans="1:14" ht="14.25" thickBot="1">
      <c r="A18" s="2770" t="s">
        <v>2505</v>
      </c>
      <c r="B18" s="2771">
        <f>ROUND(B17*F11/F12,2)</f>
        <v>5541.87</v>
      </c>
      <c r="C18" s="2771">
        <f>ROUND(F11/F12,4)</f>
        <v>1.1521999999999999</v>
      </c>
      <c r="D18" s="2772"/>
      <c r="E18" s="2772"/>
      <c r="F18" s="2773"/>
    </row>
    <row r="19" spans="1:14" ht="14.25" thickBot="1"/>
    <row r="20" spans="1:14" s="2806" customFormat="1" ht="14.25" thickTop="1">
      <c r="A20" s="2803" t="s">
        <v>2508</v>
      </c>
      <c r="B20" s="2804"/>
      <c r="C20" s="2804"/>
      <c r="D20" s="2804"/>
      <c r="E20" s="2804"/>
      <c r="F20" s="2804"/>
      <c r="G20" s="2805"/>
      <c r="I20" s="2807" t="s">
        <v>2553</v>
      </c>
      <c r="J20" s="2807" t="s">
        <v>2558</v>
      </c>
      <c r="K20" s="2807"/>
      <c r="L20" s="2807"/>
      <c r="M20" s="2807"/>
    </row>
    <row r="21" spans="1:14">
      <c r="A21" s="2774"/>
      <c r="B21" s="2775" t="s">
        <v>2509</v>
      </c>
      <c r="C21" s="2775" t="s">
        <v>2510</v>
      </c>
      <c r="D21" s="2775" t="s">
        <v>2511</v>
      </c>
      <c r="E21" s="2775" t="s">
        <v>2512</v>
      </c>
      <c r="F21" s="2775" t="s">
        <v>2513</v>
      </c>
      <c r="G21" s="2776" t="s">
        <v>2514</v>
      </c>
      <c r="I21" s="2797">
        <v>5</v>
      </c>
      <c r="J21" s="2797">
        <v>54.2</v>
      </c>
    </row>
    <row r="22" spans="1:14">
      <c r="A22" s="2774" t="s">
        <v>2515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2556</v>
      </c>
      <c r="N23" s="3150" t="s">
        <v>2557</v>
      </c>
    </row>
    <row r="24" spans="1:14">
      <c r="A24" s="2774" t="s">
        <v>2517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2555</v>
      </c>
      <c r="N24" s="3150">
        <v>10</v>
      </c>
    </row>
    <row r="25" spans="1:14">
      <c r="A25" s="2774" t="s">
        <v>2518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2559</v>
      </c>
      <c r="N25" s="3150">
        <v>8</v>
      </c>
    </row>
    <row r="26" spans="1:14">
      <c r="A26" s="2779"/>
      <c r="B26" s="2780"/>
      <c r="C26" s="2780"/>
      <c r="D26" s="2780"/>
      <c r="E26" s="2780"/>
      <c r="F26" s="2780"/>
      <c r="G26" s="2781"/>
      <c r="I26" s="2797">
        <v>30</v>
      </c>
      <c r="J26" s="2797">
        <v>90.5</v>
      </c>
      <c r="K26" s="2797">
        <f t="shared" si="2"/>
        <v>4.2000000000000028</v>
      </c>
      <c r="L26" s="2797" t="s">
        <v>2560</v>
      </c>
      <c r="N26" s="3150">
        <v>5</v>
      </c>
    </row>
    <row r="27" spans="1:14">
      <c r="A27" s="2779" t="s">
        <v>2519</v>
      </c>
      <c r="B27" s="2780"/>
      <c r="C27" s="2780"/>
      <c r="D27" s="2780"/>
      <c r="E27" s="2780"/>
      <c r="F27" s="2780"/>
      <c r="G27" s="2781"/>
      <c r="I27" s="2797">
        <v>35</v>
      </c>
      <c r="J27" s="2797">
        <v>93.8</v>
      </c>
      <c r="K27" s="2797">
        <f t="shared" si="2"/>
        <v>3.2999999999999972</v>
      </c>
      <c r="L27" s="2797" t="s">
        <v>2561</v>
      </c>
      <c r="N27" s="3150">
        <v>3</v>
      </c>
    </row>
    <row r="28" spans="1:14">
      <c r="A28" s="2779" t="s">
        <v>2520</v>
      </c>
      <c r="B28" s="2780"/>
      <c r="C28" s="2780"/>
      <c r="D28" s="2780"/>
      <c r="E28" s="2780"/>
      <c r="F28" s="2780"/>
      <c r="G28" s="2781"/>
      <c r="I28" s="2797">
        <v>40</v>
      </c>
      <c r="J28" s="2797">
        <v>96.4</v>
      </c>
      <c r="K28" s="2797">
        <f t="shared" si="2"/>
        <v>2.6000000000000085</v>
      </c>
      <c r="L28" s="2797" t="s">
        <v>2562</v>
      </c>
      <c r="N28" s="3150">
        <v>2</v>
      </c>
    </row>
    <row r="29" spans="1:14">
      <c r="A29" s="2779" t="s">
        <v>2521</v>
      </c>
      <c r="B29" s="2780"/>
      <c r="C29" s="2780"/>
      <c r="D29" s="2780"/>
      <c r="E29" s="2780"/>
      <c r="F29" s="2780"/>
      <c r="G29" s="2781"/>
      <c r="I29" s="2797">
        <v>45</v>
      </c>
      <c r="J29" s="2797">
        <v>98.4</v>
      </c>
      <c r="K29" s="2797">
        <f t="shared" si="2"/>
        <v>2</v>
      </c>
    </row>
    <row r="30" spans="1:14">
      <c r="A30" s="2779" t="s">
        <v>2522</v>
      </c>
      <c r="B30" s="2780"/>
      <c r="C30" s="2780"/>
      <c r="D30" s="2780"/>
      <c r="E30" s="2780"/>
      <c r="F30" s="2780"/>
      <c r="G30" s="2781"/>
      <c r="I30" s="2797">
        <v>50</v>
      </c>
      <c r="J30" s="2797">
        <v>100</v>
      </c>
      <c r="K30" s="2797">
        <f t="shared" si="2"/>
        <v>1.5999999999999943</v>
      </c>
    </row>
    <row r="31" spans="1:14">
      <c r="A31" s="2779" t="s">
        <v>2523</v>
      </c>
      <c r="B31" s="2780"/>
      <c r="C31" s="2780"/>
      <c r="D31" s="2780"/>
      <c r="E31" s="2780"/>
      <c r="F31" s="2780"/>
      <c r="G31" s="2781"/>
      <c r="I31" s="2797" t="s">
        <v>2554</v>
      </c>
    </row>
    <row r="32" spans="1:14">
      <c r="A32" s="2779" t="s">
        <v>2524</v>
      </c>
      <c r="B32" s="2780"/>
      <c r="C32" s="2780"/>
      <c r="D32" s="2780"/>
      <c r="E32" s="2780"/>
      <c r="F32" s="2780"/>
      <c r="G32" s="2781"/>
    </row>
    <row r="33" spans="1:14">
      <c r="A33" s="2779" t="s">
        <v>2525</v>
      </c>
      <c r="B33" s="2780"/>
      <c r="C33" s="2780"/>
      <c r="D33" s="2780"/>
      <c r="E33" s="2780"/>
      <c r="F33" s="2780"/>
      <c r="G33" s="2781"/>
      <c r="I33" s="2797" t="s">
        <v>2553</v>
      </c>
      <c r="J33" s="2797" t="s">
        <v>2563</v>
      </c>
    </row>
    <row r="34" spans="1:14">
      <c r="A34" s="2779" t="s">
        <v>2526</v>
      </c>
      <c r="B34" s="2780"/>
      <c r="C34" s="2780"/>
      <c r="D34" s="2780"/>
      <c r="E34" s="2780"/>
      <c r="F34" s="2780"/>
      <c r="G34" s="2781"/>
      <c r="I34" s="2797">
        <v>5</v>
      </c>
      <c r="J34" s="2797">
        <v>55.1</v>
      </c>
    </row>
    <row r="35" spans="1:14">
      <c r="A35" s="2779" t="s">
        <v>2527</v>
      </c>
      <c r="B35" s="2780"/>
      <c r="C35" s="2780"/>
      <c r="D35" s="2780"/>
      <c r="E35" s="2780"/>
      <c r="F35" s="2780"/>
      <c r="G35" s="2781"/>
      <c r="I35" s="2797">
        <v>10</v>
      </c>
      <c r="J35" s="2797">
        <v>67</v>
      </c>
      <c r="K35" s="2797">
        <f>J35-J34</f>
        <v>11.899999999999999</v>
      </c>
    </row>
    <row r="36" spans="1:14">
      <c r="A36" s="2779" t="s">
        <v>2528</v>
      </c>
      <c r="B36" s="2780"/>
      <c r="C36" s="2780"/>
      <c r="D36" s="2780"/>
      <c r="E36" s="2780"/>
      <c r="F36" s="2780"/>
      <c r="G36" s="2781"/>
      <c r="I36" s="2797">
        <v>15</v>
      </c>
      <c r="J36" s="2797">
        <v>76.3</v>
      </c>
      <c r="K36" s="2797">
        <f t="shared" ref="K36:K41" si="3">J36-J35</f>
        <v>9.2999999999999972</v>
      </c>
      <c r="L36" s="2797" t="s">
        <v>2556</v>
      </c>
      <c r="N36" s="3150" t="s">
        <v>2557</v>
      </c>
    </row>
    <row r="37" spans="1:14">
      <c r="A37" s="2779" t="s">
        <v>2529</v>
      </c>
      <c r="B37" s="2780"/>
      <c r="C37" s="2780"/>
      <c r="D37" s="2780"/>
      <c r="E37" s="2780"/>
      <c r="F37" s="2780"/>
      <c r="G37" s="2781"/>
      <c r="I37" s="2797">
        <v>20</v>
      </c>
      <c r="J37" s="2797">
        <v>83.6</v>
      </c>
      <c r="K37" s="2797">
        <f t="shared" si="3"/>
        <v>7.2999999999999972</v>
      </c>
      <c r="L37" s="2797" t="s">
        <v>2555</v>
      </c>
      <c r="N37" s="3150">
        <v>10</v>
      </c>
    </row>
    <row r="38" spans="1:14">
      <c r="A38" s="2779" t="s">
        <v>2530</v>
      </c>
      <c r="B38" s="2780"/>
      <c r="C38" s="2780"/>
      <c r="D38" s="2780"/>
      <c r="E38" s="2780"/>
      <c r="F38" s="2780"/>
      <c r="G38" s="2781"/>
      <c r="I38" s="2797">
        <v>25</v>
      </c>
      <c r="J38" s="2797">
        <v>89.3</v>
      </c>
      <c r="K38" s="2797">
        <f t="shared" si="3"/>
        <v>5.7000000000000028</v>
      </c>
      <c r="L38" s="2797" t="s">
        <v>2559</v>
      </c>
      <c r="N38" s="3150">
        <v>8</v>
      </c>
    </row>
    <row r="39" spans="1:14">
      <c r="A39" s="2779"/>
      <c r="B39" s="2780"/>
      <c r="C39" s="2780"/>
      <c r="D39" s="2780"/>
      <c r="E39" s="2780"/>
      <c r="F39" s="2780"/>
      <c r="G39" s="2781"/>
      <c r="I39" s="2797">
        <v>30</v>
      </c>
      <c r="J39" s="2797">
        <v>93.8</v>
      </c>
      <c r="K39" s="2797">
        <f t="shared" si="3"/>
        <v>4.5</v>
      </c>
      <c r="L39" s="2797" t="s">
        <v>2560</v>
      </c>
      <c r="N39" s="3150">
        <v>6</v>
      </c>
    </row>
    <row r="40" spans="1:14">
      <c r="A40" s="2782" t="s">
        <v>2531</v>
      </c>
      <c r="B40" s="2783"/>
      <c r="C40" s="2783"/>
      <c r="D40" s="2783"/>
      <c r="E40" s="2783"/>
      <c r="F40" s="2783"/>
      <c r="G40" s="2784"/>
      <c r="I40" s="2797">
        <v>35</v>
      </c>
      <c r="J40" s="2797">
        <v>97.2</v>
      </c>
      <c r="K40" s="2797">
        <f t="shared" si="3"/>
        <v>3.4000000000000057</v>
      </c>
      <c r="L40" s="2797" t="s">
        <v>2561</v>
      </c>
      <c r="N40" s="3150">
        <v>3</v>
      </c>
    </row>
    <row r="41" spans="1:14">
      <c r="A41" s="2785" t="s">
        <v>2532</v>
      </c>
      <c r="B41" s="2786" t="s">
        <v>2533</v>
      </c>
      <c r="C41" s="2787" t="s">
        <v>2534</v>
      </c>
      <c r="D41" s="2787" t="s">
        <v>2535</v>
      </c>
      <c r="E41" s="2788"/>
      <c r="F41" s="2789"/>
      <c r="G41" s="2790"/>
      <c r="I41" s="2797">
        <v>40</v>
      </c>
      <c r="J41" s="2797">
        <v>100</v>
      </c>
      <c r="K41" s="2797">
        <f t="shared" si="3"/>
        <v>2.7999999999999972</v>
      </c>
    </row>
    <row r="42" spans="1:14">
      <c r="A42" s="2785" t="s">
        <v>2536</v>
      </c>
      <c r="B42" s="2786" t="s">
        <v>2537</v>
      </c>
      <c r="C42" s="2787" t="s">
        <v>2538</v>
      </c>
      <c r="D42" s="2791" t="s">
        <v>2539</v>
      </c>
      <c r="E42" s="2783" t="s">
        <v>2540</v>
      </c>
      <c r="F42" s="2783"/>
      <c r="G42" s="2784"/>
    </row>
    <row r="43" spans="1:14">
      <c r="A43" s="2785" t="s">
        <v>2541</v>
      </c>
      <c r="B43" s="2786" t="s">
        <v>2542</v>
      </c>
      <c r="C43" s="2787" t="s">
        <v>2543</v>
      </c>
      <c r="D43" s="2787" t="s">
        <v>2544</v>
      </c>
      <c r="E43" s="2788" t="s">
        <v>2545</v>
      </c>
      <c r="F43" s="2789"/>
      <c r="G43" s="2790"/>
      <c r="I43" s="2797" t="s">
        <v>2553</v>
      </c>
      <c r="J43" s="2797" t="s">
        <v>2564</v>
      </c>
    </row>
    <row r="44" spans="1:14">
      <c r="A44" s="2785" t="s">
        <v>2546</v>
      </c>
      <c r="B44" s="2786" t="s">
        <v>2547</v>
      </c>
      <c r="C44" s="2787" t="s">
        <v>2548</v>
      </c>
      <c r="D44" s="2791">
        <v>0.5</v>
      </c>
      <c r="E44" s="2788" t="s">
        <v>2549</v>
      </c>
      <c r="F44" s="2789"/>
      <c r="G44" s="2790"/>
      <c r="I44" s="2797">
        <v>30</v>
      </c>
      <c r="J44" s="2797">
        <v>81.7</v>
      </c>
    </row>
    <row r="45" spans="1:14" ht="14.25" thickBot="1">
      <c r="A45" s="2792" t="s">
        <v>2550</v>
      </c>
      <c r="B45" s="2793" t="s">
        <v>2537</v>
      </c>
      <c r="C45" s="2794" t="s">
        <v>2537</v>
      </c>
      <c r="D45" s="2794" t="s">
        <v>2551</v>
      </c>
      <c r="E45" s="2795" t="s">
        <v>2552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3376</v>
      </c>
    </row>
    <row r="50" spans="1:4">
      <c r="A50" s="3142" t="s">
        <v>3377</v>
      </c>
      <c r="B50" s="3142" t="s">
        <v>3378</v>
      </c>
      <c r="C50" s="3142" t="s">
        <v>3379</v>
      </c>
      <c r="D50" s="3142" t="s">
        <v>3380</v>
      </c>
    </row>
    <row r="51" spans="1:4">
      <c r="A51" s="3142" t="s">
        <v>3381</v>
      </c>
      <c r="B51" s="2762">
        <f>B52+B53</f>
        <v>15000</v>
      </c>
      <c r="C51" s="3143">
        <f>D51/B51</f>
        <v>2666.6666666666665</v>
      </c>
      <c r="D51" s="2762">
        <f>D52+D53</f>
        <v>40000000</v>
      </c>
    </row>
    <row r="52" spans="1:4">
      <c r="A52" s="3144" t="s">
        <v>3382</v>
      </c>
      <c r="B52" s="3145">
        <v>10000</v>
      </c>
      <c r="C52" s="3145">
        <v>1500</v>
      </c>
      <c r="D52" s="3146">
        <f>C52*B52</f>
        <v>15000000</v>
      </c>
    </row>
    <row r="53" spans="1:4">
      <c r="A53" s="3144" t="s">
        <v>3383</v>
      </c>
      <c r="B53" s="3145">
        <v>5000</v>
      </c>
      <c r="C53" s="3145">
        <v>5000</v>
      </c>
      <c r="D53" s="3146">
        <f>C53*B53</f>
        <v>25000000</v>
      </c>
    </row>
    <row r="54" spans="1:4">
      <c r="A54" s="3142" t="s">
        <v>3384</v>
      </c>
      <c r="B54" s="2762">
        <f>B51</f>
        <v>15000</v>
      </c>
      <c r="C54" s="2768">
        <v>700</v>
      </c>
      <c r="D54" s="2762">
        <f t="shared" ref="D54:D55" si="5">C54*B54</f>
        <v>10500000</v>
      </c>
    </row>
    <row r="55" spans="1:4">
      <c r="A55" s="3142" t="s">
        <v>3385</v>
      </c>
      <c r="B55" s="2762">
        <f>B51</f>
        <v>15000</v>
      </c>
      <c r="C55" s="2768">
        <v>1500</v>
      </c>
      <c r="D55" s="2762">
        <f t="shared" si="5"/>
        <v>22500000</v>
      </c>
    </row>
    <row r="56" spans="1:4">
      <c r="A56" s="3142" t="s">
        <v>3386</v>
      </c>
      <c r="B56" s="2762">
        <f>B51</f>
        <v>15000</v>
      </c>
      <c r="C56" s="3147">
        <f>C51+C54+C55</f>
        <v>4866.6666666666661</v>
      </c>
      <c r="D56" s="2762">
        <f>D51+D54+D55</f>
        <v>73000000</v>
      </c>
    </row>
    <row r="58" spans="1:4">
      <c r="A58" s="3142" t="s">
        <v>3387</v>
      </c>
      <c r="B58" s="3148">
        <v>0.05</v>
      </c>
      <c r="C58" s="2762">
        <f>C56*(1+B58)</f>
        <v>5110</v>
      </c>
      <c r="D58" s="2762">
        <f>D56*B58</f>
        <v>3650000</v>
      </c>
    </row>
    <row r="60" spans="1:4">
      <c r="A60" s="3142" t="s">
        <v>3388</v>
      </c>
      <c r="B60" s="2768">
        <v>3500</v>
      </c>
      <c r="C60" s="2768">
        <f>C53</f>
        <v>5000</v>
      </c>
      <c r="D60" s="2762">
        <f>C60*B60</f>
        <v>17500000</v>
      </c>
    </row>
    <row r="62" spans="1:4">
      <c r="A62" s="3142" t="s">
        <v>3389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2166</v>
      </c>
      <c r="B1" s="3245" t="str">
        <f>IF(B10="北京市","北京市",C10)&amp;F10&amp;IF(结果表!G1="在建","出让国有建设用地使用权及在建建筑物",IF(结果表!G1="土地","出让国有建设用地使用权",))&amp;B9&amp;"预评估"</f>
        <v>北京市房地产抵押价值预评估</v>
      </c>
      <c r="C1" s="3246"/>
      <c r="D1" s="3246"/>
      <c r="E1" s="3246"/>
      <c r="F1" s="3246"/>
      <c r="G1" s="3246"/>
      <c r="H1" s="3246"/>
      <c r="I1" s="324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2167</v>
      </c>
      <c r="B2" s="121"/>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2168</v>
      </c>
      <c r="B3" s="2182">
        <v>45881</v>
      </c>
      <c r="C3" s="2183" t="s">
        <v>2169</v>
      </c>
      <c r="D3" s="2182">
        <v>45881</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2170</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2171</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2172</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2173</v>
      </c>
      <c r="B7" s="2195"/>
      <c r="C7" s="2193"/>
      <c r="D7" s="2194"/>
      <c r="E7" s="2438"/>
      <c r="F7" s="2439"/>
      <c r="G7" s="2439"/>
      <c r="H7" s="2439"/>
      <c r="I7" s="2439"/>
      <c r="J7" s="2242"/>
      <c r="K7" s="2399"/>
      <c r="L7" s="2396"/>
      <c r="M7" s="2396"/>
      <c r="N7" s="2242"/>
      <c r="O7" s="1667"/>
      <c r="P7" s="2242"/>
      <c r="Q7" s="2242"/>
      <c r="R7" s="2242"/>
    </row>
    <row r="8" spans="1:30">
      <c r="A8" s="2196" t="s">
        <v>2174</v>
      </c>
      <c r="B8" s="2197" t="s">
        <v>3408</v>
      </c>
      <c r="C8" s="2198"/>
      <c r="D8" s="3248" t="s">
        <v>2175</v>
      </c>
      <c r="E8" s="2199" t="s">
        <v>3409</v>
      </c>
      <c r="F8" s="2200"/>
      <c r="G8" s="2439"/>
      <c r="H8" s="2439"/>
      <c r="I8" s="2439"/>
      <c r="J8" s="2242"/>
      <c r="K8" s="2397"/>
      <c r="L8" s="2396"/>
      <c r="M8" s="2396"/>
      <c r="N8" s="2242"/>
      <c r="O8" s="1667"/>
      <c r="P8" s="2242"/>
      <c r="Q8" s="2242"/>
      <c r="R8" s="2242"/>
    </row>
    <row r="9" spans="1:30" ht="13.5" thickBot="1">
      <c r="A9" s="2201" t="s">
        <v>2176</v>
      </c>
      <c r="B9" s="2202" t="s">
        <v>3409</v>
      </c>
      <c r="C9" s="2203"/>
      <c r="D9" s="3249"/>
      <c r="E9" s="2202" t="s">
        <v>43</v>
      </c>
      <c r="F9" s="2204"/>
      <c r="G9" s="2440"/>
      <c r="H9" s="2440"/>
      <c r="I9" s="2440"/>
      <c r="J9" s="2242"/>
      <c r="K9" s="2399"/>
      <c r="L9" s="2396"/>
      <c r="M9" s="2396"/>
      <c r="N9" s="2242"/>
      <c r="O9" s="1667"/>
      <c r="P9" s="2242"/>
      <c r="Q9" s="2242"/>
      <c r="R9" s="2242"/>
    </row>
    <row r="10" spans="1:30" ht="13.5" thickTop="1">
      <c r="A10" s="2205" t="s">
        <v>2177</v>
      </c>
      <c r="B10" s="2206" t="s">
        <v>3410</v>
      </c>
      <c r="C10" s="2207"/>
      <c r="D10" s="2190"/>
      <c r="E10" s="2208" t="s">
        <v>2178</v>
      </c>
      <c r="F10" s="2441"/>
      <c r="G10" s="2442"/>
      <c r="H10" s="2443"/>
      <c r="I10" s="2444"/>
      <c r="J10" s="2242"/>
      <c r="K10" s="2399"/>
      <c r="L10" s="2396"/>
      <c r="M10" s="2396"/>
      <c r="N10" s="2242"/>
      <c r="O10" s="1667"/>
      <c r="P10" s="2242"/>
      <c r="Q10" s="2242"/>
      <c r="R10" s="2242"/>
    </row>
    <row r="11" spans="1:30">
      <c r="A11" s="2209" t="s">
        <v>2179</v>
      </c>
      <c r="B11" s="2210" t="s">
        <v>3411</v>
      </c>
      <c r="C11" s="2211"/>
      <c r="D11" s="2212"/>
      <c r="E11" s="2179"/>
      <c r="F11" s="2179"/>
      <c r="G11" s="2179"/>
      <c r="H11" s="2179"/>
      <c r="I11" s="2179"/>
      <c r="J11" s="2799"/>
      <c r="K11" s="2396"/>
      <c r="L11" s="2396"/>
      <c r="M11" s="2396"/>
      <c r="N11" s="2242"/>
      <c r="O11" s="1667"/>
      <c r="P11" s="2242"/>
      <c r="Q11" s="2242"/>
      <c r="R11" s="2242"/>
    </row>
    <row r="12" spans="1:30">
      <c r="A12" s="2213" t="s">
        <v>2180</v>
      </c>
      <c r="B12" s="314" t="s">
        <v>2181</v>
      </c>
      <c r="C12" s="2214" t="s">
        <v>2182</v>
      </c>
      <c r="D12" s="2214" t="s">
        <v>2183</v>
      </c>
      <c r="E12" s="2214" t="s">
        <v>2184</v>
      </c>
      <c r="F12" s="2214" t="s">
        <v>2185</v>
      </c>
      <c r="G12" s="2214" t="s">
        <v>2186</v>
      </c>
      <c r="H12" s="2214" t="s">
        <v>2187</v>
      </c>
      <c r="I12" s="2798" t="s">
        <v>2565</v>
      </c>
      <c r="J12" s="2800"/>
      <c r="K12" s="2396"/>
      <c r="L12" s="2396"/>
      <c r="M12" s="2242"/>
      <c r="N12" s="1667"/>
      <c r="O12" s="2242"/>
      <c r="P12" s="2242"/>
      <c r="Q12" s="2242"/>
      <c r="AD12" s="1615"/>
    </row>
    <row r="13" spans="1:30">
      <c r="A13" s="3119" t="s">
        <v>3321</v>
      </c>
      <c r="B13" s="2215" t="s">
        <v>2188</v>
      </c>
      <c r="C13" s="801"/>
      <c r="D13" s="801"/>
      <c r="E13" s="801">
        <v>56490</v>
      </c>
      <c r="F13" s="801">
        <v>56490</v>
      </c>
      <c r="G13" s="801">
        <v>56490</v>
      </c>
      <c r="H13" s="801"/>
      <c r="I13" s="801"/>
      <c r="J13" s="2800"/>
      <c r="K13" s="2396"/>
      <c r="L13" s="2396"/>
      <c r="M13" s="2242"/>
      <c r="N13" s="1667"/>
      <c r="O13" s="2242"/>
      <c r="P13" s="2242"/>
      <c r="Q13" s="2242"/>
      <c r="AD13" s="1615"/>
    </row>
    <row r="14" spans="1:30">
      <c r="A14" s="1015"/>
      <c r="B14" s="2215" t="s">
        <v>2189</v>
      </c>
      <c r="C14" s="2216"/>
      <c r="D14" s="2216"/>
      <c r="E14" s="2216">
        <v>50</v>
      </c>
      <c r="F14" s="2216">
        <v>50</v>
      </c>
      <c r="G14" s="2216">
        <v>50</v>
      </c>
      <c r="H14" s="2216"/>
      <c r="I14" s="2216"/>
      <c r="J14" s="2801"/>
      <c r="K14" s="2396"/>
      <c r="L14" s="2396"/>
      <c r="M14" s="2242"/>
      <c r="N14" s="1667"/>
      <c r="O14" s="2242"/>
      <c r="P14" s="2242"/>
      <c r="Q14" s="2242"/>
      <c r="AD14" s="1615"/>
    </row>
    <row r="15" spans="1:30">
      <c r="A15" s="311"/>
      <c r="B15" s="2217" t="s">
        <v>2190</v>
      </c>
      <c r="C15" s="2218" t="str">
        <f>IF(A13="出让",IF(C13="","",ROUNDDOWN(MIN((C13-$D$3)/365,C14),2)),C14)</f>
        <v/>
      </c>
      <c r="D15" s="2218" t="str">
        <f>IF(A13="出让",IF(D13="","",ROUNDDOWN(MIN((D13-$D$3)/365,D14),2)),D14)</f>
        <v/>
      </c>
      <c r="E15" s="2218">
        <f>IF(A13="出让",IF(E13="","",ROUNDDOWN(MIN((E13-$D$3)/365,E14),2)),E14)</f>
        <v>29.06</v>
      </c>
      <c r="F15" s="2218">
        <f>IF(A13="出让",IF(F13="","",ROUNDDOWN(MIN((F13-$D$3)/365,F14),2)),F14)</f>
        <v>29.06</v>
      </c>
      <c r="G15" s="2218">
        <f>IF(A13="出让",IF(G13="","",ROUNDDOWN(MIN((G13-$D$3)/365,G14),2)),G14)</f>
        <v>29.06</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2191</v>
      </c>
      <c r="B16" s="3255"/>
      <c r="C16" s="3256"/>
      <c r="D16" s="3257"/>
      <c r="E16" s="2219" t="s">
        <v>2192</v>
      </c>
      <c r="F16" s="3258"/>
      <c r="G16" s="3259"/>
      <c r="H16" s="3259"/>
      <c r="I16" s="3260"/>
      <c r="J16" s="2242"/>
      <c r="K16" s="2400"/>
      <c r="L16" s="1667"/>
      <c r="M16" s="1667"/>
      <c r="N16" s="2242"/>
      <c r="O16" s="1667"/>
      <c r="P16" s="2242"/>
      <c r="Q16" s="2242"/>
      <c r="R16" s="2242"/>
    </row>
    <row r="17" spans="1:28">
      <c r="A17" s="304" t="s">
        <v>2193</v>
      </c>
      <c r="B17" s="293" t="s">
        <v>2194</v>
      </c>
      <c r="C17" s="8">
        <f>'数据-汇总表'!E3</f>
        <v>83502.290000000008</v>
      </c>
      <c r="D17" s="1253" t="s">
        <v>2195</v>
      </c>
      <c r="E17" s="3261" t="s">
        <v>2196</v>
      </c>
      <c r="F17" s="3262"/>
      <c r="G17" s="3262"/>
      <c r="H17" s="3262"/>
      <c r="I17" s="3263"/>
      <c r="J17" s="2242"/>
      <c r="K17" s="2401"/>
      <c r="L17" s="1667"/>
      <c r="M17" s="1667"/>
      <c r="N17" s="2242"/>
      <c r="O17" s="1667"/>
      <c r="P17" s="2242"/>
      <c r="Q17" s="2242"/>
      <c r="R17" s="2242"/>
      <c r="S17" s="2242"/>
      <c r="T17" s="2242"/>
      <c r="U17" s="2242"/>
      <c r="V17" s="2242"/>
    </row>
    <row r="18" spans="1:28" ht="24.75" thickBot="1">
      <c r="A18" s="2220" t="s">
        <v>2197</v>
      </c>
      <c r="B18" s="1024" t="s">
        <v>2198</v>
      </c>
      <c r="C18" s="2221">
        <f>'数据-汇总表'!D3</f>
        <v>0</v>
      </c>
      <c r="D18" s="1026" t="s">
        <v>2199</v>
      </c>
      <c r="E18" s="3264" t="s">
        <v>2200</v>
      </c>
      <c r="F18" s="3265"/>
      <c r="G18" s="3265"/>
      <c r="H18" s="3265"/>
      <c r="I18" s="3266"/>
      <c r="J18" s="2242"/>
      <c r="K18" s="2401"/>
      <c r="L18" s="1667"/>
      <c r="M18" s="1667"/>
      <c r="N18" s="2242"/>
      <c r="O18" s="1667"/>
      <c r="P18" s="2242"/>
      <c r="Q18" s="2242"/>
      <c r="R18" s="2242"/>
      <c r="S18" s="2242"/>
      <c r="T18" s="2242"/>
      <c r="U18" s="2242"/>
      <c r="V18" s="2242"/>
    </row>
    <row r="19" spans="1:28" ht="37.5" thickTop="1" thickBot="1">
      <c r="A19" s="318" t="s">
        <v>1055</v>
      </c>
      <c r="B19" s="298" t="s">
        <v>2201</v>
      </c>
      <c r="C19" s="1452"/>
      <c r="D19" s="1453" t="s">
        <v>2202</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2203</v>
      </c>
      <c r="B20" s="3251" t="s">
        <v>2204</v>
      </c>
      <c r="C20" s="3252"/>
      <c r="D20" s="3253" t="s">
        <v>2205</v>
      </c>
      <c r="E20" s="3254"/>
      <c r="F20" s="2427" t="s">
        <v>1056</v>
      </c>
      <c r="G20" s="2439"/>
      <c r="H20" s="2439"/>
      <c r="I20" s="2439"/>
      <c r="J20" s="2242"/>
      <c r="K20" s="3250" t="s">
        <v>2206</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2207</v>
      </c>
      <c r="C21" s="2293" t="s">
        <v>1057</v>
      </c>
      <c r="D21" s="1457" t="s">
        <v>2208</v>
      </c>
      <c r="E21" s="2416" t="s">
        <v>1057</v>
      </c>
      <c r="F21" s="2428"/>
      <c r="G21" s="2439"/>
      <c r="H21" s="2439"/>
      <c r="I21" s="2439"/>
      <c r="J21" s="2242"/>
      <c r="K21" s="325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2209</v>
      </c>
      <c r="C22" s="2293" t="s">
        <v>1058</v>
      </c>
      <c r="D22" s="2439"/>
      <c r="E22" s="2439"/>
      <c r="F22" s="2439"/>
      <c r="G22" s="2439"/>
      <c r="H22" s="2439"/>
      <c r="I22" s="2439"/>
      <c r="J22" s="2242"/>
      <c r="K22" s="325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2210</v>
      </c>
      <c r="B23" s="2290" t="s">
        <v>2211</v>
      </c>
      <c r="C23" s="2419"/>
      <c r="D23" s="2420" t="s">
        <v>2211</v>
      </c>
      <c r="E23" s="2421"/>
      <c r="F23" s="2439"/>
      <c r="G23" s="2439"/>
      <c r="H23" s="2439"/>
      <c r="I23" s="2439"/>
      <c r="J23" s="2242"/>
      <c r="K23" s="2398"/>
      <c r="L23" s="120"/>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8" t="s">
        <v>2212</v>
      </c>
      <c r="B27" s="311" t="s">
        <v>2213</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8"/>
      <c r="B28" s="293" t="s">
        <v>2214</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8"/>
      <c r="B29" s="293" t="s">
        <v>2215</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9"/>
      <c r="B30" s="293" t="s">
        <v>2216</v>
      </c>
      <c r="C30" s="3270"/>
      <c r="D30" s="3271"/>
      <c r="E30" s="2439"/>
      <c r="F30" s="2439"/>
      <c r="G30" s="2439"/>
      <c r="H30" s="2439"/>
      <c r="I30" s="2439"/>
      <c r="J30" s="2242"/>
      <c r="K30" s="2399"/>
      <c r="L30" s="2396"/>
      <c r="M30" s="2396"/>
      <c r="N30" s="2242"/>
      <c r="O30" s="1667"/>
      <c r="P30" s="2242"/>
      <c r="Q30" s="2242"/>
      <c r="R30" s="2242"/>
      <c r="S30" s="2242"/>
      <c r="T30" s="2242"/>
      <c r="U30" s="2242"/>
      <c r="V30" s="2242"/>
    </row>
    <row r="31" spans="1:28">
      <c r="A31" s="3272" t="s">
        <v>2217</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73"/>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73"/>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2218</v>
      </c>
      <c r="B34" s="1867"/>
      <c r="C34" s="1867"/>
      <c r="D34" s="1867"/>
      <c r="E34" s="1867"/>
      <c r="F34" s="1867"/>
      <c r="G34" s="1867"/>
      <c r="H34" s="1867"/>
      <c r="I34" s="2439"/>
      <c r="J34" s="2242"/>
      <c r="K34" s="8">
        <f>COUNTIF(B34:H34,"——")</f>
        <v>0</v>
      </c>
      <c r="L34" s="314" t="s">
        <v>2219</v>
      </c>
      <c r="M34" s="314" t="s">
        <v>2220</v>
      </c>
      <c r="N34" s="314" t="s">
        <v>2221</v>
      </c>
      <c r="O34" s="314" t="s">
        <v>2222</v>
      </c>
      <c r="P34" s="314" t="s">
        <v>2223</v>
      </c>
      <c r="Q34" s="314" t="s">
        <v>2224</v>
      </c>
      <c r="R34" s="314" t="s">
        <v>2225</v>
      </c>
      <c r="S34" s="3267" t="s">
        <v>2226</v>
      </c>
      <c r="T34" s="314" t="str">
        <f>NUMBERSTRING(7-K34,1)&amp;"通"</f>
        <v>七通</v>
      </c>
      <c r="U34" s="2242"/>
      <c r="V34" s="2242"/>
    </row>
    <row r="35" spans="1:30">
      <c r="A35" s="2233"/>
      <c r="B35" s="3267" t="s">
        <v>2227</v>
      </c>
      <c r="C35" s="3267"/>
      <c r="D35" s="3267"/>
      <c r="E35" s="3267"/>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7"/>
      <c r="T35" s="137" t="str">
        <f>IF(T34="一通",L35,IF(T34="二通",M35,IF(T34="三通",N35,IF(T34="四通",O35,IF(T34="五通",P35,IF(T34="六通",Q35,R35))))))</f>
        <v>、、、、、、</v>
      </c>
      <c r="U35" s="2242"/>
      <c r="V35" s="2242"/>
    </row>
    <row r="36" spans="1:30">
      <c r="A36" s="2180"/>
      <c r="B36" s="8" t="s">
        <v>2183</v>
      </c>
      <c r="C36" s="8" t="s">
        <v>2184</v>
      </c>
      <c r="D36" s="8" t="s">
        <v>2182</v>
      </c>
      <c r="E36" s="8" t="s">
        <v>2187</v>
      </c>
      <c r="F36" s="2798" t="s">
        <v>2568</v>
      </c>
      <c r="G36" s="2439"/>
      <c r="H36" s="2439"/>
      <c r="I36" s="2439"/>
      <c r="J36" s="2242"/>
      <c r="K36" s="2399"/>
      <c r="L36" s="2396"/>
      <c r="M36" s="2396"/>
      <c r="N36" s="2242"/>
      <c r="O36" s="1667"/>
      <c r="P36" s="2242"/>
      <c r="Q36" s="2242"/>
      <c r="R36" s="2242"/>
      <c r="S36" s="2242"/>
      <c r="T36" s="2242"/>
      <c r="U36" s="2242"/>
      <c r="V36" s="2242"/>
    </row>
    <row r="37" spans="1:30">
      <c r="A37" s="2412" t="s">
        <v>2228</v>
      </c>
      <c r="B37" s="2234" t="s">
        <v>184</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2229</v>
      </c>
      <c r="B38" s="2235" t="s">
        <v>230</v>
      </c>
      <c r="C38" s="2235" t="s">
        <v>251</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2230</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2231</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4"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0" sqref="P3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83502.290000000008</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83502.290000000008</v>
      </c>
      <c r="H5" s="13">
        <f t="shared" ref="H5:AT5" si="0">SUM(H13:H656)</f>
        <v>83502.290000000008</v>
      </c>
      <c r="I5" s="13">
        <f t="shared" si="0"/>
        <v>77841.440000000002</v>
      </c>
      <c r="J5" s="13">
        <f t="shared" si="0"/>
        <v>0</v>
      </c>
      <c r="K5" s="13">
        <f t="shared" si="0"/>
        <v>2588.69</v>
      </c>
      <c r="L5" s="13">
        <f t="shared" si="0"/>
        <v>0</v>
      </c>
      <c r="M5" s="13">
        <f t="shared" si="0"/>
        <v>2104.87</v>
      </c>
      <c r="N5" s="13">
        <f t="shared" si="0"/>
        <v>0</v>
      </c>
      <c r="O5" s="13">
        <f t="shared" si="0"/>
        <v>967.29000000000008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83502.290000000008</v>
      </c>
      <c r="BA5" s="15">
        <f t="shared" si="1"/>
        <v>83502.290000000008</v>
      </c>
      <c r="BB5" s="15">
        <f t="shared" si="1"/>
        <v>77841.440000000002</v>
      </c>
      <c r="BC5" s="15">
        <f t="shared" si="1"/>
        <v>2588.69</v>
      </c>
      <c r="BD5" s="15">
        <f t="shared" si="1"/>
        <v>2104.87</v>
      </c>
      <c r="BE5" s="15">
        <f t="shared" si="1"/>
        <v>967.29000000000008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3413</v>
      </c>
      <c r="J9" s="759"/>
      <c r="K9" s="1488" t="s">
        <v>3414</v>
      </c>
      <c r="L9" s="759"/>
      <c r="M9" s="1488" t="s">
        <v>3414</v>
      </c>
      <c r="N9" s="759"/>
      <c r="O9" s="1488" t="s">
        <v>3414</v>
      </c>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9"/>
      <c r="K10" s="1494" t="s">
        <v>3322</v>
      </c>
      <c r="L10" s="759"/>
      <c r="M10" s="1494" t="s">
        <v>21</v>
      </c>
      <c r="N10" s="759"/>
      <c r="O10" s="1494" t="s">
        <v>3323</v>
      </c>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车库</v>
      </c>
      <c r="BD11" s="1484" t="str">
        <f>M10</f>
        <v>办公</v>
      </c>
      <c r="BE11" s="1484" t="str">
        <f>O10</f>
        <v>仓储</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3536</v>
      </c>
      <c r="D13" s="1510" t="s">
        <v>3412</v>
      </c>
      <c r="E13" s="13">
        <f>IF($C$3="是",ROUND($A$3*G13/$B$3,2),ROUND($A$3*(G13-AT13)/$B$3,2))</f>
        <v>0</v>
      </c>
      <c r="F13" s="29"/>
      <c r="G13" s="30">
        <f>H13+AC13+AT13</f>
        <v>34499.08</v>
      </c>
      <c r="H13" s="17">
        <f>SUMIF(I$12:AB$12,"总值",I13:AB13)</f>
        <v>34499.08</v>
      </c>
      <c r="I13" s="1511">
        <f>SUM('16号楼A座面积'!$D$2:$D$25)</f>
        <v>31561.17</v>
      </c>
      <c r="J13" s="1511"/>
      <c r="K13" s="1511">
        <f>SUM('16号楼A座面积'!$D$26:$D$85)</f>
        <v>2588.69</v>
      </c>
      <c r="L13" s="1511"/>
      <c r="M13" s="1511">
        <f>'16号楼A座面积'!$D$86</f>
        <v>349.22</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16号楼A座</v>
      </c>
      <c r="AY13" s="1257">
        <f>ROUND($AY$6*AZ13/$AZ$5,2)</f>
        <v>0</v>
      </c>
      <c r="AZ13" s="13">
        <f>BA13+BL13</f>
        <v>34499.08</v>
      </c>
      <c r="BA13" s="13">
        <f>SUM(BB13:BK13)</f>
        <v>34499.08</v>
      </c>
      <c r="BB13" s="13">
        <f>IF($D13="是",I13-J13,0)</f>
        <v>31561.17</v>
      </c>
      <c r="BC13" s="13">
        <f>IF($D13="是",K13-L13,0)</f>
        <v>2588.69</v>
      </c>
      <c r="BD13" s="13">
        <f>IF($D13="是",M13-N13,0)</f>
        <v>349.22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3540</v>
      </c>
      <c r="D14" s="1510" t="s">
        <v>3412</v>
      </c>
      <c r="E14" s="13">
        <f>IF($C$3="是",ROUND($A$3*G14/$B$3,2),ROUND($A$3*(G14-AT14)/$B$3,2))</f>
        <v>0</v>
      </c>
      <c r="F14" s="29"/>
      <c r="G14" s="30">
        <f>H14+AC14+AT14</f>
        <v>23945.380000000005</v>
      </c>
      <c r="H14" s="17">
        <f>SUMIF(I$12:AB$12,"总值",I14:AB14)</f>
        <v>23945.380000000005</v>
      </c>
      <c r="I14" s="1511">
        <f>SUM('21号楼F座面积明细'!D2:D19)</f>
        <v>22605.080000000005</v>
      </c>
      <c r="J14" s="1511"/>
      <c r="K14" s="1511"/>
      <c r="L14" s="1511"/>
      <c r="M14" s="1511">
        <f>'21号楼F座面积明细'!D20</f>
        <v>958.43</v>
      </c>
      <c r="N14" s="1511"/>
      <c r="O14" s="1511">
        <f>SUM('21号楼F座面积明细'!D21:D23)</f>
        <v>381.87</v>
      </c>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21号楼F座</v>
      </c>
      <c r="AY14" s="1257">
        <f>ROUND($AY$6*AZ14/$AZ$5,2)</f>
        <v>0</v>
      </c>
      <c r="AZ14" s="13">
        <f>BA14+BL14</f>
        <v>23945.380000000005</v>
      </c>
      <c r="BA14" s="13">
        <f>SUM(BB14:BK14)</f>
        <v>23945.380000000005</v>
      </c>
      <c r="BB14" s="13">
        <f>IF($D14="是",I14-J14,0)</f>
        <v>22605.080000000005</v>
      </c>
      <c r="BC14" s="13">
        <f>IF($D14="是",K14-L14,0)</f>
        <v>0</v>
      </c>
      <c r="BD14" s="13">
        <f>IF($D14="是",M14-N14,0)</f>
        <v>958.43</v>
      </c>
      <c r="BE14" s="13">
        <f>IF($D14="是",O14-P14,0)</f>
        <v>381.87</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3541</v>
      </c>
      <c r="D15" s="1510" t="s">
        <v>3412</v>
      </c>
      <c r="E15" s="13">
        <f>IF($C$3="是",ROUND($A$3*G15/$B$3,2),ROUND($A$3*(G15-AT15)/$B$3,2))</f>
        <v>0</v>
      </c>
      <c r="F15" s="29"/>
      <c r="G15" s="30">
        <f>H15+AC15+AT15</f>
        <v>25057.829999999994</v>
      </c>
      <c r="H15" s="17">
        <f>SUMIF(I$12:AB$12,"总值",I15:AB15)</f>
        <v>25057.829999999994</v>
      </c>
      <c r="I15" s="1511">
        <f>SUM('22号楼H座面积明细'!D2:D20)</f>
        <v>23675.189999999995</v>
      </c>
      <c r="J15" s="1511"/>
      <c r="K15" s="1511"/>
      <c r="L15" s="1511"/>
      <c r="M15" s="1511">
        <f>'22号楼H座面积明细'!D21</f>
        <v>797.22</v>
      </c>
      <c r="N15" s="1511"/>
      <c r="O15" s="1511">
        <f>SUM('22号楼H座面积明细'!D22:D28)</f>
        <v>585.42000000000007</v>
      </c>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22号楼H座</v>
      </c>
      <c r="AY15" s="1257">
        <f>ROUND($AY$6*AZ15/$AZ$5,2)</f>
        <v>0</v>
      </c>
      <c r="AZ15" s="13">
        <f>BA15+BL15</f>
        <v>25057.829999999994</v>
      </c>
      <c r="BA15" s="13">
        <f>SUM(BB15:BK15)</f>
        <v>25057.829999999994</v>
      </c>
      <c r="BB15" s="13">
        <f>IF($D15="是",I15-J15,0)</f>
        <v>23675.189999999995</v>
      </c>
      <c r="BC15" s="13">
        <f>IF($D15="是",K15-L15,0)</f>
        <v>0</v>
      </c>
      <c r="BD15" s="13">
        <f>IF($D15="是",M15-N15,0)</f>
        <v>797.22</v>
      </c>
      <c r="BE15" s="13">
        <f>IF($D15="是",O15-P15,0)</f>
        <v>585.42000000000007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DECF-E9DF-4F96-9BE7-601942D6CA4D}">
  <dimension ref="A1:E87"/>
  <sheetViews>
    <sheetView topLeftCell="A71" zoomScaleNormal="100" workbookViewId="0">
      <selection sqref="A1:E87"/>
    </sheetView>
  </sheetViews>
  <sheetFormatPr defaultRowHeight="13.5"/>
  <cols>
    <col min="1" max="1" width="5.625" bestFit="1" customWidth="1"/>
    <col min="2" max="2" width="38.75" bestFit="1" customWidth="1"/>
    <col min="3" max="3" width="18" bestFit="1" customWidth="1"/>
    <col min="4" max="4" width="5.625" bestFit="1" customWidth="1"/>
  </cols>
  <sheetData>
    <row r="1" spans="1:5">
      <c r="A1" s="3169" t="s">
        <v>3458</v>
      </c>
      <c r="B1" s="3169" t="s">
        <v>3490</v>
      </c>
      <c r="C1" s="3169" t="s">
        <v>3459</v>
      </c>
      <c r="D1" s="3169" t="s">
        <v>3460</v>
      </c>
      <c r="E1" s="3169" t="s">
        <v>2532</v>
      </c>
    </row>
    <row r="2" spans="1:5">
      <c r="A2" s="3169">
        <v>1</v>
      </c>
      <c r="B2" s="3169" t="s">
        <v>3542</v>
      </c>
      <c r="C2" s="3169">
        <v>1</v>
      </c>
      <c r="D2" s="3169">
        <v>71.510000000000005</v>
      </c>
      <c r="E2" s="3169" t="s">
        <v>2801</v>
      </c>
    </row>
    <row r="3" spans="1:5">
      <c r="A3" s="3169">
        <v>2</v>
      </c>
      <c r="B3" s="3169" t="s">
        <v>3543</v>
      </c>
      <c r="C3" s="3169">
        <v>1</v>
      </c>
      <c r="D3" s="3169">
        <v>282.35000000000002</v>
      </c>
      <c r="E3" s="3169" t="s">
        <v>2801</v>
      </c>
    </row>
    <row r="4" spans="1:5">
      <c r="A4" s="3169">
        <v>3</v>
      </c>
      <c r="B4" s="3169" t="s">
        <v>3544</v>
      </c>
      <c r="C4" s="3169">
        <v>2</v>
      </c>
      <c r="D4" s="3169">
        <v>813.6</v>
      </c>
      <c r="E4" s="3169" t="s">
        <v>2801</v>
      </c>
    </row>
    <row r="5" spans="1:5">
      <c r="A5" s="3169">
        <v>4</v>
      </c>
      <c r="B5" s="3169" t="s">
        <v>3545</v>
      </c>
      <c r="C5" s="3169">
        <v>3</v>
      </c>
      <c r="D5" s="3169">
        <v>1415.71</v>
      </c>
      <c r="E5" s="3169" t="s">
        <v>2801</v>
      </c>
    </row>
    <row r="6" spans="1:5">
      <c r="A6" s="3169">
        <v>5</v>
      </c>
      <c r="B6" s="3169" t="s">
        <v>3546</v>
      </c>
      <c r="C6" s="3169">
        <v>4</v>
      </c>
      <c r="D6" s="3169">
        <v>1415.71</v>
      </c>
      <c r="E6" s="3169" t="s">
        <v>2801</v>
      </c>
    </row>
    <row r="7" spans="1:5">
      <c r="A7" s="3169">
        <v>6</v>
      </c>
      <c r="B7" s="3169" t="s">
        <v>3547</v>
      </c>
      <c r="C7" s="3169">
        <v>5</v>
      </c>
      <c r="D7" s="3169">
        <v>1418.29</v>
      </c>
      <c r="E7" s="3169" t="s">
        <v>2801</v>
      </c>
    </row>
    <row r="8" spans="1:5">
      <c r="A8" s="3169">
        <v>7</v>
      </c>
      <c r="B8" s="3169" t="s">
        <v>3548</v>
      </c>
      <c r="C8" s="3169">
        <v>6</v>
      </c>
      <c r="D8" s="3169">
        <v>1418.29</v>
      </c>
      <c r="E8" s="3169" t="s">
        <v>2801</v>
      </c>
    </row>
    <row r="9" spans="1:5">
      <c r="A9" s="3169">
        <v>8</v>
      </c>
      <c r="B9" s="3169" t="s">
        <v>3549</v>
      </c>
      <c r="C9" s="3169">
        <v>7</v>
      </c>
      <c r="D9" s="3169">
        <v>1418.29</v>
      </c>
      <c r="E9" s="3169" t="s">
        <v>2801</v>
      </c>
    </row>
    <row r="10" spans="1:5">
      <c r="A10" s="3169">
        <v>9</v>
      </c>
      <c r="B10" s="3169" t="s">
        <v>3550</v>
      </c>
      <c r="C10" s="3169">
        <v>8</v>
      </c>
      <c r="D10" s="3169">
        <v>1418.29</v>
      </c>
      <c r="E10" s="3169" t="s">
        <v>2801</v>
      </c>
    </row>
    <row r="11" spans="1:5">
      <c r="A11" s="3169">
        <v>10</v>
      </c>
      <c r="B11" s="3169" t="s">
        <v>3551</v>
      </c>
      <c r="C11" s="3169">
        <v>9</v>
      </c>
      <c r="D11" s="3169">
        <v>1418.29</v>
      </c>
      <c r="E11" s="3169" t="s">
        <v>2801</v>
      </c>
    </row>
    <row r="12" spans="1:5">
      <c r="A12" s="3169">
        <v>11</v>
      </c>
      <c r="B12" s="3169" t="s">
        <v>3552</v>
      </c>
      <c r="C12" s="3169">
        <v>10</v>
      </c>
      <c r="D12" s="3169">
        <v>1418.29</v>
      </c>
      <c r="E12" s="3169" t="s">
        <v>2801</v>
      </c>
    </row>
    <row r="13" spans="1:5">
      <c r="A13" s="3169">
        <v>12</v>
      </c>
      <c r="B13" s="3169" t="s">
        <v>3553</v>
      </c>
      <c r="C13" s="3169">
        <v>11</v>
      </c>
      <c r="D13" s="3169">
        <v>1418.29</v>
      </c>
      <c r="E13" s="3169" t="s">
        <v>2801</v>
      </c>
    </row>
    <row r="14" spans="1:5">
      <c r="A14" s="3169">
        <v>13</v>
      </c>
      <c r="B14" s="3169" t="s">
        <v>3554</v>
      </c>
      <c r="C14" s="3169">
        <v>12</v>
      </c>
      <c r="D14" s="3169">
        <v>1418.29</v>
      </c>
      <c r="E14" s="3169" t="s">
        <v>2801</v>
      </c>
    </row>
    <row r="15" spans="1:5">
      <c r="A15" s="3169">
        <v>14</v>
      </c>
      <c r="B15" s="3169" t="s">
        <v>3555</v>
      </c>
      <c r="C15" s="3169">
        <v>13</v>
      </c>
      <c r="D15" s="3169">
        <v>1446.15</v>
      </c>
      <c r="E15" s="3169" t="s">
        <v>2801</v>
      </c>
    </row>
    <row r="16" spans="1:5">
      <c r="A16" s="3169">
        <v>15</v>
      </c>
      <c r="B16" s="3169" t="s">
        <v>3556</v>
      </c>
      <c r="C16" s="3169">
        <v>14</v>
      </c>
      <c r="D16" s="3169">
        <v>1441.27</v>
      </c>
      <c r="E16" s="3169" t="s">
        <v>2801</v>
      </c>
    </row>
    <row r="17" spans="1:5">
      <c r="A17" s="3169">
        <v>16</v>
      </c>
      <c r="B17" s="3169" t="s">
        <v>3557</v>
      </c>
      <c r="C17" s="3169">
        <v>15</v>
      </c>
      <c r="D17" s="3169">
        <v>1475.26</v>
      </c>
      <c r="E17" s="3169" t="s">
        <v>2801</v>
      </c>
    </row>
    <row r="18" spans="1:5">
      <c r="A18" s="3169">
        <v>17</v>
      </c>
      <c r="B18" s="3169" t="s">
        <v>3558</v>
      </c>
      <c r="C18" s="3169">
        <v>16</v>
      </c>
      <c r="D18" s="3169">
        <v>1475.26</v>
      </c>
      <c r="E18" s="3169" t="s">
        <v>2801</v>
      </c>
    </row>
    <row r="19" spans="1:5">
      <c r="A19" s="3169">
        <v>18</v>
      </c>
      <c r="B19" s="3169" t="s">
        <v>3559</v>
      </c>
      <c r="C19" s="3169">
        <v>17</v>
      </c>
      <c r="D19" s="3169">
        <v>1475.26</v>
      </c>
      <c r="E19" s="3169" t="s">
        <v>2801</v>
      </c>
    </row>
    <row r="20" spans="1:5">
      <c r="A20" s="3169">
        <v>19</v>
      </c>
      <c r="B20" s="3169" t="s">
        <v>3560</v>
      </c>
      <c r="C20" s="3169">
        <v>18</v>
      </c>
      <c r="D20" s="3169">
        <v>1475.26</v>
      </c>
      <c r="E20" s="3169" t="s">
        <v>2801</v>
      </c>
    </row>
    <row r="21" spans="1:5">
      <c r="A21" s="3169">
        <v>20</v>
      </c>
      <c r="B21" s="3169" t="s">
        <v>3561</v>
      </c>
      <c r="C21" s="3169">
        <v>19</v>
      </c>
      <c r="D21" s="3169">
        <v>1475.26</v>
      </c>
      <c r="E21" s="3169" t="s">
        <v>2801</v>
      </c>
    </row>
    <row r="22" spans="1:5">
      <c r="A22" s="3169">
        <v>21</v>
      </c>
      <c r="B22" s="3169" t="s">
        <v>3562</v>
      </c>
      <c r="C22" s="3169">
        <v>20</v>
      </c>
      <c r="D22" s="3169">
        <v>1475.26</v>
      </c>
      <c r="E22" s="3169" t="s">
        <v>2801</v>
      </c>
    </row>
    <row r="23" spans="1:5">
      <c r="A23" s="3169">
        <v>22</v>
      </c>
      <c r="B23" s="3169" t="s">
        <v>3563</v>
      </c>
      <c r="C23" s="3169">
        <v>21</v>
      </c>
      <c r="D23" s="3169">
        <v>1492.33</v>
      </c>
      <c r="E23" s="3169" t="s">
        <v>2801</v>
      </c>
    </row>
    <row r="24" spans="1:5">
      <c r="A24" s="3169">
        <v>23</v>
      </c>
      <c r="B24" s="3169" t="s">
        <v>3564</v>
      </c>
      <c r="C24" s="3169">
        <v>22</v>
      </c>
      <c r="D24" s="3169">
        <v>1492.33</v>
      </c>
      <c r="E24" s="3169" t="s">
        <v>2801</v>
      </c>
    </row>
    <row r="25" spans="1:5">
      <c r="A25" s="3169">
        <v>24</v>
      </c>
      <c r="B25" s="3169" t="s">
        <v>3565</v>
      </c>
      <c r="C25" s="3169">
        <v>23</v>
      </c>
      <c r="D25" s="3169">
        <v>1492.33</v>
      </c>
      <c r="E25" s="3169" t="s">
        <v>2801</v>
      </c>
    </row>
    <row r="26" spans="1:5">
      <c r="A26" s="3169">
        <v>25</v>
      </c>
      <c r="B26" s="3169" t="s">
        <v>3566</v>
      </c>
      <c r="C26" s="3169">
        <v>-1</v>
      </c>
      <c r="D26" s="3169">
        <v>43.48</v>
      </c>
      <c r="E26" s="3169" t="s">
        <v>3567</v>
      </c>
    </row>
    <row r="27" spans="1:5">
      <c r="A27" s="3169">
        <v>26</v>
      </c>
      <c r="B27" s="3169" t="s">
        <v>3568</v>
      </c>
      <c r="C27" s="3169">
        <v>-1</v>
      </c>
      <c r="D27" s="3169">
        <v>43.48</v>
      </c>
      <c r="E27" s="3169" t="s">
        <v>3567</v>
      </c>
    </row>
    <row r="28" spans="1:5">
      <c r="A28" s="3169">
        <v>27</v>
      </c>
      <c r="B28" s="3169" t="s">
        <v>3569</v>
      </c>
      <c r="C28" s="3169">
        <v>-1</v>
      </c>
      <c r="D28" s="3169">
        <v>40.43</v>
      </c>
      <c r="E28" s="3169" t="s">
        <v>3567</v>
      </c>
    </row>
    <row r="29" spans="1:5">
      <c r="A29" s="3169">
        <v>28</v>
      </c>
      <c r="B29" s="3169" t="s">
        <v>3570</v>
      </c>
      <c r="C29" s="3169">
        <v>-1</v>
      </c>
      <c r="D29" s="3169">
        <v>42.17</v>
      </c>
      <c r="E29" s="3169" t="s">
        <v>3567</v>
      </c>
    </row>
    <row r="30" spans="1:5">
      <c r="A30" s="3169">
        <v>29</v>
      </c>
      <c r="B30" s="3169" t="s">
        <v>3571</v>
      </c>
      <c r="C30" s="3169">
        <v>-1</v>
      </c>
      <c r="D30" s="3169">
        <v>46.96</v>
      </c>
      <c r="E30" s="3169" t="s">
        <v>3567</v>
      </c>
    </row>
    <row r="31" spans="1:5">
      <c r="A31" s="3169">
        <v>30</v>
      </c>
      <c r="B31" s="3169" t="s">
        <v>3572</v>
      </c>
      <c r="C31" s="3169">
        <v>-1</v>
      </c>
      <c r="D31" s="3169">
        <v>46.96</v>
      </c>
      <c r="E31" s="3169" t="s">
        <v>3567</v>
      </c>
    </row>
    <row r="32" spans="1:5">
      <c r="A32" s="3169">
        <v>31</v>
      </c>
      <c r="B32" s="3169" t="s">
        <v>3573</v>
      </c>
      <c r="C32" s="3169">
        <v>-1</v>
      </c>
      <c r="D32" s="3169">
        <v>46.61</v>
      </c>
      <c r="E32" s="3169" t="s">
        <v>3567</v>
      </c>
    </row>
    <row r="33" spans="1:5">
      <c r="A33" s="3169">
        <v>32</v>
      </c>
      <c r="B33" s="3169" t="s">
        <v>3574</v>
      </c>
      <c r="C33" s="3169">
        <v>-1</v>
      </c>
      <c r="D33" s="3169">
        <v>42.17</v>
      </c>
      <c r="E33" s="3169" t="s">
        <v>3567</v>
      </c>
    </row>
    <row r="34" spans="1:5">
      <c r="A34" s="3169">
        <v>33</v>
      </c>
      <c r="B34" s="3169" t="s">
        <v>3575</v>
      </c>
      <c r="C34" s="3169">
        <v>-1</v>
      </c>
      <c r="D34" s="3169">
        <v>42.17</v>
      </c>
      <c r="E34" s="3169" t="s">
        <v>3567</v>
      </c>
    </row>
    <row r="35" spans="1:5">
      <c r="A35" s="3169">
        <v>34</v>
      </c>
      <c r="B35" s="3169" t="s">
        <v>3576</v>
      </c>
      <c r="C35" s="3169">
        <v>-1</v>
      </c>
      <c r="D35" s="3169">
        <v>42.17</v>
      </c>
      <c r="E35" s="3169" t="s">
        <v>3567</v>
      </c>
    </row>
    <row r="36" spans="1:5">
      <c r="A36" s="3169">
        <v>35</v>
      </c>
      <c r="B36" s="3169" t="s">
        <v>3577</v>
      </c>
      <c r="C36" s="3169">
        <v>-1</v>
      </c>
      <c r="D36" s="3169">
        <v>42.17</v>
      </c>
      <c r="E36" s="3169" t="s">
        <v>3567</v>
      </c>
    </row>
    <row r="37" spans="1:5">
      <c r="A37" s="3169">
        <v>36</v>
      </c>
      <c r="B37" s="3169" t="s">
        <v>3578</v>
      </c>
      <c r="C37" s="3169">
        <v>-1</v>
      </c>
      <c r="D37" s="3169">
        <v>42.17</v>
      </c>
      <c r="E37" s="3169" t="s">
        <v>3567</v>
      </c>
    </row>
    <row r="38" spans="1:5">
      <c r="A38" s="3169">
        <v>37</v>
      </c>
      <c r="B38" s="3169" t="s">
        <v>3579</v>
      </c>
      <c r="C38" s="3169">
        <v>-1</v>
      </c>
      <c r="D38" s="3169">
        <v>42.17</v>
      </c>
      <c r="E38" s="3169" t="s">
        <v>3567</v>
      </c>
    </row>
    <row r="39" spans="1:5">
      <c r="A39" s="3169">
        <v>38</v>
      </c>
      <c r="B39" s="3169" t="s">
        <v>3580</v>
      </c>
      <c r="C39" s="3169">
        <v>-1</v>
      </c>
      <c r="D39" s="3169">
        <v>42.17</v>
      </c>
      <c r="E39" s="3169" t="s">
        <v>3567</v>
      </c>
    </row>
    <row r="40" spans="1:5">
      <c r="A40" s="3169">
        <v>39</v>
      </c>
      <c r="B40" s="3169" t="s">
        <v>3581</v>
      </c>
      <c r="C40" s="3169">
        <v>-1</v>
      </c>
      <c r="D40" s="3169">
        <v>42.17</v>
      </c>
      <c r="E40" s="3169" t="s">
        <v>3567</v>
      </c>
    </row>
    <row r="41" spans="1:5">
      <c r="A41" s="3169">
        <v>40</v>
      </c>
      <c r="B41" s="3169" t="s">
        <v>3582</v>
      </c>
      <c r="C41" s="3169">
        <v>-1</v>
      </c>
      <c r="D41" s="3169">
        <v>42.17</v>
      </c>
      <c r="E41" s="3169" t="s">
        <v>3567</v>
      </c>
    </row>
    <row r="42" spans="1:5">
      <c r="A42" s="3169">
        <v>41</v>
      </c>
      <c r="B42" s="3169" t="s">
        <v>3583</v>
      </c>
      <c r="C42" s="3169">
        <v>-1</v>
      </c>
      <c r="D42" s="3169">
        <v>42.17</v>
      </c>
      <c r="E42" s="3169" t="s">
        <v>3567</v>
      </c>
    </row>
    <row r="43" spans="1:5">
      <c r="A43" s="3169">
        <v>42</v>
      </c>
      <c r="B43" s="3169" t="s">
        <v>3584</v>
      </c>
      <c r="C43" s="3169">
        <v>-1</v>
      </c>
      <c r="D43" s="3169">
        <v>42.17</v>
      </c>
      <c r="E43" s="3169" t="s">
        <v>3567</v>
      </c>
    </row>
    <row r="44" spans="1:5">
      <c r="A44" s="3169">
        <v>43</v>
      </c>
      <c r="B44" s="3169" t="s">
        <v>3585</v>
      </c>
      <c r="C44" s="3169">
        <v>-1</v>
      </c>
      <c r="D44" s="3169">
        <v>42.17</v>
      </c>
      <c r="E44" s="3169" t="s">
        <v>3567</v>
      </c>
    </row>
    <row r="45" spans="1:5">
      <c r="A45" s="3169">
        <v>44</v>
      </c>
      <c r="B45" s="3169" t="s">
        <v>3586</v>
      </c>
      <c r="C45" s="3169">
        <v>-1</v>
      </c>
      <c r="D45" s="3169">
        <v>43.06</v>
      </c>
      <c r="E45" s="3169" t="s">
        <v>3567</v>
      </c>
    </row>
    <row r="46" spans="1:5">
      <c r="A46" s="3169">
        <v>45</v>
      </c>
      <c r="B46" s="3169" t="s">
        <v>3587</v>
      </c>
      <c r="C46" s="3169">
        <v>-1</v>
      </c>
      <c r="D46" s="3169">
        <v>43.94</v>
      </c>
      <c r="E46" s="3169" t="s">
        <v>3567</v>
      </c>
    </row>
    <row r="47" spans="1:5">
      <c r="A47" s="3169">
        <v>46</v>
      </c>
      <c r="B47" s="3169" t="s">
        <v>3588</v>
      </c>
      <c r="C47" s="3169">
        <v>-1</v>
      </c>
      <c r="D47" s="3169">
        <v>42.17</v>
      </c>
      <c r="E47" s="3169" t="s">
        <v>3567</v>
      </c>
    </row>
    <row r="48" spans="1:5">
      <c r="A48" s="3169">
        <v>47</v>
      </c>
      <c r="B48" s="3169" t="s">
        <v>3589</v>
      </c>
      <c r="C48" s="3169">
        <v>-1</v>
      </c>
      <c r="D48" s="3169">
        <v>43.94</v>
      </c>
      <c r="E48" s="3169" t="s">
        <v>3567</v>
      </c>
    </row>
    <row r="49" spans="1:5">
      <c r="A49" s="3169">
        <v>48</v>
      </c>
      <c r="B49" s="3169" t="s">
        <v>3590</v>
      </c>
      <c r="C49" s="3169">
        <v>-1</v>
      </c>
      <c r="D49" s="3169">
        <v>43.94</v>
      </c>
      <c r="E49" s="3169" t="s">
        <v>3567</v>
      </c>
    </row>
    <row r="50" spans="1:5">
      <c r="A50" s="3169">
        <v>49</v>
      </c>
      <c r="B50" s="3169" t="s">
        <v>3591</v>
      </c>
      <c r="C50" s="3169">
        <v>-1</v>
      </c>
      <c r="D50" s="3169">
        <v>45.68</v>
      </c>
      <c r="E50" s="3169" t="s">
        <v>3567</v>
      </c>
    </row>
    <row r="51" spans="1:5">
      <c r="A51" s="3169">
        <v>50</v>
      </c>
      <c r="B51" s="3169" t="s">
        <v>3592</v>
      </c>
      <c r="C51" s="3169">
        <v>-1</v>
      </c>
      <c r="D51" s="3169">
        <v>45.68</v>
      </c>
      <c r="E51" s="3169" t="s">
        <v>3567</v>
      </c>
    </row>
    <row r="52" spans="1:5">
      <c r="A52" s="3169">
        <v>51</v>
      </c>
      <c r="B52" s="3169" t="s">
        <v>3593</v>
      </c>
      <c r="C52" s="3169">
        <v>-1</v>
      </c>
      <c r="D52" s="3169">
        <v>45.68</v>
      </c>
      <c r="E52" s="3169" t="s">
        <v>3567</v>
      </c>
    </row>
    <row r="53" spans="1:5">
      <c r="A53" s="3169">
        <v>52</v>
      </c>
      <c r="B53" s="3169" t="s">
        <v>3594</v>
      </c>
      <c r="C53" s="3169">
        <v>-1</v>
      </c>
      <c r="D53" s="3169">
        <v>45.68</v>
      </c>
      <c r="E53" s="3169" t="s">
        <v>3567</v>
      </c>
    </row>
    <row r="54" spans="1:5">
      <c r="A54" s="3169">
        <v>53</v>
      </c>
      <c r="B54" s="3169" t="s">
        <v>3595</v>
      </c>
      <c r="C54" s="3169">
        <v>-1</v>
      </c>
      <c r="D54" s="3169">
        <v>45.68</v>
      </c>
      <c r="E54" s="3169" t="s">
        <v>3567</v>
      </c>
    </row>
    <row r="55" spans="1:5">
      <c r="A55" s="3169">
        <v>54</v>
      </c>
      <c r="B55" s="3169" t="s">
        <v>3596</v>
      </c>
      <c r="C55" s="3169">
        <v>-1</v>
      </c>
      <c r="D55" s="3169">
        <v>45.68</v>
      </c>
      <c r="E55" s="3169" t="s">
        <v>3567</v>
      </c>
    </row>
    <row r="56" spans="1:5">
      <c r="A56" s="3169">
        <v>55</v>
      </c>
      <c r="B56" s="3169" t="s">
        <v>3597</v>
      </c>
      <c r="C56" s="3169">
        <v>-1</v>
      </c>
      <c r="D56" s="3169">
        <v>42.17</v>
      </c>
      <c r="E56" s="3169" t="s">
        <v>3567</v>
      </c>
    </row>
    <row r="57" spans="1:5">
      <c r="A57" s="3169">
        <v>56</v>
      </c>
      <c r="B57" s="3169" t="s">
        <v>3598</v>
      </c>
      <c r="C57" s="3169">
        <v>-1</v>
      </c>
      <c r="D57" s="3169">
        <v>42.17</v>
      </c>
      <c r="E57" s="3169" t="s">
        <v>3567</v>
      </c>
    </row>
    <row r="58" spans="1:5">
      <c r="A58" s="3169">
        <v>57</v>
      </c>
      <c r="B58" s="3169" t="s">
        <v>3599</v>
      </c>
      <c r="C58" s="3169">
        <v>-1</v>
      </c>
      <c r="D58" s="3169">
        <v>42.17</v>
      </c>
      <c r="E58" s="3169" t="s">
        <v>3567</v>
      </c>
    </row>
    <row r="59" spans="1:5">
      <c r="A59" s="3169">
        <v>58</v>
      </c>
      <c r="B59" s="3169" t="s">
        <v>3600</v>
      </c>
      <c r="C59" s="3169">
        <v>-1</v>
      </c>
      <c r="D59" s="3169">
        <v>40.46</v>
      </c>
      <c r="E59" s="3169" t="s">
        <v>3567</v>
      </c>
    </row>
    <row r="60" spans="1:5">
      <c r="A60" s="3169">
        <v>59</v>
      </c>
      <c r="B60" s="3169" t="s">
        <v>3601</v>
      </c>
      <c r="C60" s="3169">
        <v>-1</v>
      </c>
      <c r="D60" s="3169">
        <v>42.59</v>
      </c>
      <c r="E60" s="3169" t="s">
        <v>3567</v>
      </c>
    </row>
    <row r="61" spans="1:5">
      <c r="A61" s="3169">
        <v>60</v>
      </c>
      <c r="B61" s="3169" t="s">
        <v>3602</v>
      </c>
      <c r="C61" s="3169">
        <v>-1</v>
      </c>
      <c r="D61" s="3169">
        <v>42.59</v>
      </c>
      <c r="E61" s="3169" t="s">
        <v>3567</v>
      </c>
    </row>
    <row r="62" spans="1:5">
      <c r="A62" s="3169">
        <v>61</v>
      </c>
      <c r="B62" s="3169" t="s">
        <v>3603</v>
      </c>
      <c r="C62" s="3169">
        <v>-1</v>
      </c>
      <c r="D62" s="3169">
        <v>42.59</v>
      </c>
      <c r="E62" s="3169" t="s">
        <v>3567</v>
      </c>
    </row>
    <row r="63" spans="1:5">
      <c r="A63" s="3169">
        <v>62</v>
      </c>
      <c r="B63" s="3169" t="s">
        <v>3604</v>
      </c>
      <c r="C63" s="3169">
        <v>-1</v>
      </c>
      <c r="D63" s="3169">
        <v>42.59</v>
      </c>
      <c r="E63" s="3169" t="s">
        <v>3567</v>
      </c>
    </row>
    <row r="64" spans="1:5">
      <c r="A64" s="3169">
        <v>63</v>
      </c>
      <c r="B64" s="3169" t="s">
        <v>3605</v>
      </c>
      <c r="C64" s="3169">
        <v>-1</v>
      </c>
      <c r="D64" s="3169">
        <v>42.59</v>
      </c>
      <c r="E64" s="3169" t="s">
        <v>3567</v>
      </c>
    </row>
    <row r="65" spans="1:5">
      <c r="A65" s="3169">
        <v>64</v>
      </c>
      <c r="B65" s="3169" t="s">
        <v>3606</v>
      </c>
      <c r="C65" s="3169">
        <v>-1</v>
      </c>
      <c r="D65" s="3169">
        <v>42.59</v>
      </c>
      <c r="E65" s="3169" t="s">
        <v>3567</v>
      </c>
    </row>
    <row r="66" spans="1:5">
      <c r="A66" s="3169">
        <v>65</v>
      </c>
      <c r="B66" s="3169" t="s">
        <v>3607</v>
      </c>
      <c r="C66" s="3169">
        <v>-1</v>
      </c>
      <c r="D66" s="3169">
        <v>42.59</v>
      </c>
      <c r="E66" s="3169" t="s">
        <v>3567</v>
      </c>
    </row>
    <row r="67" spans="1:5">
      <c r="A67" s="3169">
        <v>66</v>
      </c>
      <c r="B67" s="3169" t="s">
        <v>3608</v>
      </c>
      <c r="C67" s="3169">
        <v>-1</v>
      </c>
      <c r="D67" s="3169">
        <v>42.59</v>
      </c>
      <c r="E67" s="3169" t="s">
        <v>3567</v>
      </c>
    </row>
    <row r="68" spans="1:5">
      <c r="A68" s="3169">
        <v>67</v>
      </c>
      <c r="B68" s="3169" t="s">
        <v>3609</v>
      </c>
      <c r="C68" s="3169">
        <v>-1</v>
      </c>
      <c r="D68" s="3169">
        <v>42.59</v>
      </c>
      <c r="E68" s="3169" t="s">
        <v>3567</v>
      </c>
    </row>
    <row r="69" spans="1:5">
      <c r="A69" s="3169">
        <v>68</v>
      </c>
      <c r="B69" s="3169" t="s">
        <v>3610</v>
      </c>
      <c r="C69" s="3169">
        <v>-1</v>
      </c>
      <c r="D69" s="3169">
        <v>42.59</v>
      </c>
      <c r="E69" s="3169" t="s">
        <v>3567</v>
      </c>
    </row>
    <row r="70" spans="1:5">
      <c r="A70" s="3169">
        <v>69</v>
      </c>
      <c r="B70" s="3169" t="s">
        <v>3611</v>
      </c>
      <c r="C70" s="3169">
        <v>-1</v>
      </c>
      <c r="D70" s="3169">
        <v>42.59</v>
      </c>
      <c r="E70" s="3169" t="s">
        <v>3567</v>
      </c>
    </row>
    <row r="71" spans="1:5">
      <c r="A71" s="3169">
        <v>70</v>
      </c>
      <c r="B71" s="3169" t="s">
        <v>3612</v>
      </c>
      <c r="C71" s="3169">
        <v>-1</v>
      </c>
      <c r="D71" s="3169">
        <v>42.59</v>
      </c>
      <c r="E71" s="3169" t="s">
        <v>3567</v>
      </c>
    </row>
    <row r="72" spans="1:5">
      <c r="A72" s="3169">
        <v>71</v>
      </c>
      <c r="B72" s="3169" t="s">
        <v>3613</v>
      </c>
      <c r="C72" s="3169">
        <v>-1</v>
      </c>
      <c r="D72" s="3169">
        <v>42.59</v>
      </c>
      <c r="E72" s="3169" t="s">
        <v>3567</v>
      </c>
    </row>
    <row r="73" spans="1:5">
      <c r="A73" s="3169">
        <v>72</v>
      </c>
      <c r="B73" s="3169" t="s">
        <v>3614</v>
      </c>
      <c r="C73" s="3169">
        <v>-1</v>
      </c>
      <c r="D73" s="3169">
        <v>42.59</v>
      </c>
      <c r="E73" s="3169" t="s">
        <v>3567</v>
      </c>
    </row>
    <row r="74" spans="1:5">
      <c r="A74" s="3169">
        <v>73</v>
      </c>
      <c r="B74" s="3169" t="s">
        <v>3615</v>
      </c>
      <c r="C74" s="3169">
        <v>-1</v>
      </c>
      <c r="D74" s="3169">
        <v>42.59</v>
      </c>
      <c r="E74" s="3169" t="s">
        <v>3567</v>
      </c>
    </row>
    <row r="75" spans="1:5">
      <c r="A75" s="3169">
        <v>74</v>
      </c>
      <c r="B75" s="3169" t="s">
        <v>3616</v>
      </c>
      <c r="C75" s="3169">
        <v>-1</v>
      </c>
      <c r="D75" s="3169">
        <v>42.59</v>
      </c>
      <c r="E75" s="3169" t="s">
        <v>3567</v>
      </c>
    </row>
    <row r="76" spans="1:5">
      <c r="A76" s="3169">
        <v>75</v>
      </c>
      <c r="B76" s="3169" t="s">
        <v>3617</v>
      </c>
      <c r="C76" s="3169">
        <v>-1</v>
      </c>
      <c r="D76" s="3169">
        <v>42.59</v>
      </c>
      <c r="E76" s="3169" t="s">
        <v>3567</v>
      </c>
    </row>
    <row r="77" spans="1:5">
      <c r="A77" s="3169">
        <v>76</v>
      </c>
      <c r="B77" s="3169" t="s">
        <v>3618</v>
      </c>
      <c r="C77" s="3169">
        <v>-1</v>
      </c>
      <c r="D77" s="3169">
        <v>42.59</v>
      </c>
      <c r="E77" s="3169" t="s">
        <v>3567</v>
      </c>
    </row>
    <row r="78" spans="1:5">
      <c r="A78" s="3169">
        <v>77</v>
      </c>
      <c r="B78" s="3169" t="s">
        <v>3619</v>
      </c>
      <c r="C78" s="3169">
        <v>-1</v>
      </c>
      <c r="D78" s="3169">
        <v>42.59</v>
      </c>
      <c r="E78" s="3169" t="s">
        <v>3567</v>
      </c>
    </row>
    <row r="79" spans="1:5">
      <c r="A79" s="3169">
        <v>78</v>
      </c>
      <c r="B79" s="3169" t="s">
        <v>3620</v>
      </c>
      <c r="C79" s="3169">
        <v>-1</v>
      </c>
      <c r="D79" s="3169">
        <v>42.59</v>
      </c>
      <c r="E79" s="3169" t="s">
        <v>3567</v>
      </c>
    </row>
    <row r="80" spans="1:5">
      <c r="A80" s="3169">
        <v>79</v>
      </c>
      <c r="B80" s="3169" t="s">
        <v>3621</v>
      </c>
      <c r="C80" s="3169">
        <v>-1</v>
      </c>
      <c r="D80" s="3169">
        <v>42.59</v>
      </c>
      <c r="E80" s="3169" t="s">
        <v>3567</v>
      </c>
    </row>
    <row r="81" spans="1:5">
      <c r="A81" s="3169">
        <v>80</v>
      </c>
      <c r="B81" s="3169" t="s">
        <v>3622</v>
      </c>
      <c r="C81" s="3169">
        <v>-1</v>
      </c>
      <c r="D81" s="3169">
        <v>42.59</v>
      </c>
      <c r="E81" s="3169" t="s">
        <v>3567</v>
      </c>
    </row>
    <row r="82" spans="1:5">
      <c r="A82" s="3169">
        <v>81</v>
      </c>
      <c r="B82" s="3169" t="s">
        <v>3623</v>
      </c>
      <c r="C82" s="3169">
        <v>-1</v>
      </c>
      <c r="D82" s="3169">
        <v>44.37</v>
      </c>
      <c r="E82" s="3169" t="s">
        <v>3567</v>
      </c>
    </row>
    <row r="83" spans="1:5">
      <c r="A83" s="3169">
        <v>82</v>
      </c>
      <c r="B83" s="3169" t="s">
        <v>3624</v>
      </c>
      <c r="C83" s="3169">
        <v>-1</v>
      </c>
      <c r="D83" s="3169">
        <v>44.37</v>
      </c>
      <c r="E83" s="3169" t="s">
        <v>3567</v>
      </c>
    </row>
    <row r="84" spans="1:5">
      <c r="A84" s="3169">
        <v>83</v>
      </c>
      <c r="B84" s="3169" t="s">
        <v>3625</v>
      </c>
      <c r="C84" s="3169">
        <v>-1</v>
      </c>
      <c r="D84" s="3169">
        <v>44.37</v>
      </c>
      <c r="E84" s="3169" t="s">
        <v>3567</v>
      </c>
    </row>
    <row r="85" spans="1:5">
      <c r="A85" s="3169">
        <v>84</v>
      </c>
      <c r="B85" s="3169" t="s">
        <v>3626</v>
      </c>
      <c r="C85" s="3169">
        <v>-1</v>
      </c>
      <c r="D85" s="3169">
        <v>44.37</v>
      </c>
      <c r="E85" s="3169" t="s">
        <v>3567</v>
      </c>
    </row>
    <row r="86" spans="1:5">
      <c r="A86" s="3169">
        <v>85</v>
      </c>
      <c r="B86" s="3169" t="s">
        <v>3627</v>
      </c>
      <c r="C86" s="3169">
        <v>-1</v>
      </c>
      <c r="D86" s="3169">
        <v>349.22</v>
      </c>
      <c r="E86" s="3169" t="s">
        <v>3628</v>
      </c>
    </row>
    <row r="87" spans="1:5">
      <c r="A87" s="3169"/>
      <c r="B87" s="3169" t="s">
        <v>2581</v>
      </c>
      <c r="C87" s="3169"/>
      <c r="D87" s="3169">
        <f>SUM(D2:D86)</f>
        <v>34499.0799999999</v>
      </c>
      <c r="E87" s="3169"/>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0C22B-66A2-487C-9F96-77E264C4611D}">
  <dimension ref="A1:F24"/>
  <sheetViews>
    <sheetView workbookViewId="0">
      <selection activeCell="I26" sqref="I26"/>
    </sheetView>
  </sheetViews>
  <sheetFormatPr defaultRowHeight="13.5"/>
  <cols>
    <col min="1" max="1" width="5.25" bestFit="1" customWidth="1"/>
    <col min="2" max="2" width="37.625" bestFit="1" customWidth="1"/>
    <col min="4" max="4" width="9.5" bestFit="1" customWidth="1"/>
    <col min="5" max="5" width="9" bestFit="1" customWidth="1"/>
    <col min="6" max="6" width="33.625" bestFit="1" customWidth="1"/>
    <col min="8" max="8" width="5.25" bestFit="1" customWidth="1"/>
    <col min="9" max="9" width="35.375" bestFit="1" customWidth="1"/>
    <col min="12" max="12" width="9" bestFit="1" customWidth="1"/>
    <col min="13" max="13" width="33.625" bestFit="1" customWidth="1"/>
  </cols>
  <sheetData>
    <row r="1" spans="1:6">
      <c r="A1" s="3169" t="s">
        <v>3458</v>
      </c>
      <c r="B1" s="3169" t="s">
        <v>3490</v>
      </c>
      <c r="C1" s="3169" t="s">
        <v>3459</v>
      </c>
      <c r="D1" s="3169" t="s">
        <v>3460</v>
      </c>
      <c r="E1" s="3169" t="s">
        <v>2532</v>
      </c>
      <c r="F1" s="3169" t="s">
        <v>3461</v>
      </c>
    </row>
    <row r="2" spans="1:6">
      <c r="A2" s="3170">
        <v>1</v>
      </c>
      <c r="B2" s="3169" t="s">
        <v>3531</v>
      </c>
      <c r="C2" s="3170">
        <v>2</v>
      </c>
      <c r="D2" s="3170">
        <v>247.04</v>
      </c>
      <c r="E2" s="3169" t="s">
        <v>2801</v>
      </c>
      <c r="F2" s="3170" t="s">
        <v>3526</v>
      </c>
    </row>
    <row r="3" spans="1:6">
      <c r="A3" s="3169">
        <v>2</v>
      </c>
      <c r="B3" s="3169" t="s">
        <v>3534</v>
      </c>
      <c r="C3" s="3170">
        <v>2</v>
      </c>
      <c r="D3" s="3170">
        <v>37.869999999999997</v>
      </c>
      <c r="E3" s="3169" t="s">
        <v>2801</v>
      </c>
      <c r="F3" s="3170" t="s">
        <v>3529</v>
      </c>
    </row>
    <row r="4" spans="1:6">
      <c r="A4" s="3170">
        <v>3</v>
      </c>
      <c r="B4" s="3169" t="s">
        <v>3523</v>
      </c>
      <c r="C4" s="3170">
        <v>3</v>
      </c>
      <c r="D4" s="3170">
        <v>992.27</v>
      </c>
      <c r="E4" s="3169" t="s">
        <v>2801</v>
      </c>
      <c r="F4" s="3170" t="s">
        <v>3506</v>
      </c>
    </row>
    <row r="5" spans="1:6">
      <c r="A5" s="3169">
        <v>4</v>
      </c>
      <c r="B5" s="3169" t="s">
        <v>3510</v>
      </c>
      <c r="C5" s="3170">
        <v>4</v>
      </c>
      <c r="D5" s="3170">
        <v>1421.86</v>
      </c>
      <c r="E5" s="3169" t="s">
        <v>2801</v>
      </c>
      <c r="F5" s="3170" t="s">
        <v>3493</v>
      </c>
    </row>
    <row r="6" spans="1:6">
      <c r="A6" s="3170">
        <v>5</v>
      </c>
      <c r="B6" s="3169" t="s">
        <v>3522</v>
      </c>
      <c r="C6" s="3170">
        <v>5</v>
      </c>
      <c r="D6" s="3170">
        <v>1421.86</v>
      </c>
      <c r="E6" s="3169" t="s">
        <v>2801</v>
      </c>
      <c r="F6" s="3170" t="s">
        <v>3505</v>
      </c>
    </row>
    <row r="7" spans="1:6">
      <c r="A7" s="3169">
        <v>6</v>
      </c>
      <c r="B7" s="3169" t="s">
        <v>3514</v>
      </c>
      <c r="C7" s="3170">
        <v>6</v>
      </c>
      <c r="D7" s="3170">
        <v>1421.86</v>
      </c>
      <c r="E7" s="3169" t="s">
        <v>2801</v>
      </c>
      <c r="F7" s="3170" t="s">
        <v>3497</v>
      </c>
    </row>
    <row r="8" spans="1:6">
      <c r="A8" s="3170">
        <v>7</v>
      </c>
      <c r="B8" s="3169" t="s">
        <v>3533</v>
      </c>
      <c r="C8" s="3170">
        <v>7</v>
      </c>
      <c r="D8" s="3170">
        <v>1421.86</v>
      </c>
      <c r="E8" s="3169" t="s">
        <v>2801</v>
      </c>
      <c r="F8" s="3170" t="s">
        <v>3528</v>
      </c>
    </row>
    <row r="9" spans="1:6">
      <c r="A9" s="3169">
        <v>8</v>
      </c>
      <c r="B9" s="3169" t="s">
        <v>3516</v>
      </c>
      <c r="C9" s="3170">
        <v>8</v>
      </c>
      <c r="D9" s="3170">
        <v>1421.86</v>
      </c>
      <c r="E9" s="3169" t="s">
        <v>2801</v>
      </c>
      <c r="F9" s="3170" t="s">
        <v>3499</v>
      </c>
    </row>
    <row r="10" spans="1:6">
      <c r="A10" s="3170">
        <v>9</v>
      </c>
      <c r="B10" s="3169" t="s">
        <v>3520</v>
      </c>
      <c r="C10" s="3170">
        <v>9</v>
      </c>
      <c r="D10" s="3170">
        <v>1421.86</v>
      </c>
      <c r="E10" s="3169" t="s">
        <v>2801</v>
      </c>
      <c r="F10" s="3170" t="s">
        <v>3503</v>
      </c>
    </row>
    <row r="11" spans="1:6">
      <c r="A11" s="3169">
        <v>10</v>
      </c>
      <c r="B11" s="3169" t="s">
        <v>3509</v>
      </c>
      <c r="C11" s="3170">
        <v>10</v>
      </c>
      <c r="D11" s="3170">
        <v>1421.86</v>
      </c>
      <c r="E11" s="3169" t="s">
        <v>2801</v>
      </c>
      <c r="F11" s="3170" t="s">
        <v>3492</v>
      </c>
    </row>
    <row r="12" spans="1:6">
      <c r="A12" s="3170">
        <v>11</v>
      </c>
      <c r="B12" s="3169" t="s">
        <v>3519</v>
      </c>
      <c r="C12" s="3170">
        <v>11</v>
      </c>
      <c r="D12" s="3170">
        <v>1421.86</v>
      </c>
      <c r="E12" s="3169" t="s">
        <v>2801</v>
      </c>
      <c r="F12" s="3170" t="s">
        <v>3502</v>
      </c>
    </row>
    <row r="13" spans="1:6">
      <c r="A13" s="3169">
        <v>12</v>
      </c>
      <c r="B13" s="3169" t="s">
        <v>3513</v>
      </c>
      <c r="C13" s="3170">
        <v>12</v>
      </c>
      <c r="D13" s="3170">
        <v>1421.86</v>
      </c>
      <c r="E13" s="3169" t="s">
        <v>2801</v>
      </c>
      <c r="F13" s="3170" t="s">
        <v>3496</v>
      </c>
    </row>
    <row r="14" spans="1:6">
      <c r="A14" s="3170">
        <v>13</v>
      </c>
      <c r="B14" s="3169" t="s">
        <v>3525</v>
      </c>
      <c r="C14" s="3170">
        <v>13</v>
      </c>
      <c r="D14" s="3170">
        <v>1421.86</v>
      </c>
      <c r="E14" s="3169" t="s">
        <v>2801</v>
      </c>
      <c r="F14" s="3170" t="s">
        <v>3508</v>
      </c>
    </row>
    <row r="15" spans="1:6">
      <c r="A15" s="3169">
        <v>14</v>
      </c>
      <c r="B15" s="3169" t="s">
        <v>3512</v>
      </c>
      <c r="C15" s="3170">
        <v>14</v>
      </c>
      <c r="D15" s="3170">
        <v>1421.86</v>
      </c>
      <c r="E15" s="3169" t="s">
        <v>2801</v>
      </c>
      <c r="F15" s="3170" t="s">
        <v>3495</v>
      </c>
    </row>
    <row r="16" spans="1:6">
      <c r="A16" s="3170">
        <v>15</v>
      </c>
      <c r="B16" s="3169" t="s">
        <v>3521</v>
      </c>
      <c r="C16" s="3170">
        <v>15</v>
      </c>
      <c r="D16" s="3170">
        <v>1421.86</v>
      </c>
      <c r="E16" s="3169" t="s">
        <v>2801</v>
      </c>
      <c r="F16" s="3170" t="s">
        <v>3504</v>
      </c>
    </row>
    <row r="17" spans="1:6">
      <c r="A17" s="3169">
        <v>16</v>
      </c>
      <c r="B17" s="3169" t="s">
        <v>3517</v>
      </c>
      <c r="C17" s="3170">
        <v>16</v>
      </c>
      <c r="D17" s="3170">
        <v>1421.86</v>
      </c>
      <c r="E17" s="3169" t="s">
        <v>2801</v>
      </c>
      <c r="F17" s="3170" t="s">
        <v>3500</v>
      </c>
    </row>
    <row r="18" spans="1:6">
      <c r="A18" s="3170">
        <v>17</v>
      </c>
      <c r="B18" s="3169" t="s">
        <v>3524</v>
      </c>
      <c r="C18" s="3170">
        <v>17</v>
      </c>
      <c r="D18" s="3170">
        <v>1421.86</v>
      </c>
      <c r="E18" s="3169" t="s">
        <v>2801</v>
      </c>
      <c r="F18" s="3170" t="s">
        <v>3507</v>
      </c>
    </row>
    <row r="19" spans="1:6">
      <c r="A19" s="3169">
        <v>18</v>
      </c>
      <c r="B19" s="3169" t="s">
        <v>3511</v>
      </c>
      <c r="C19" s="3170">
        <v>18</v>
      </c>
      <c r="D19" s="3170">
        <v>1421.86</v>
      </c>
      <c r="E19" s="3169" t="s">
        <v>2801</v>
      </c>
      <c r="F19" s="3170" t="s">
        <v>3494</v>
      </c>
    </row>
    <row r="20" spans="1:6">
      <c r="A20" s="3170">
        <v>19</v>
      </c>
      <c r="B20" s="3169" t="s">
        <v>3535</v>
      </c>
      <c r="C20" s="3170">
        <v>-1</v>
      </c>
      <c r="D20" s="3170">
        <v>958.43</v>
      </c>
      <c r="E20" s="3169" t="s">
        <v>2801</v>
      </c>
      <c r="F20" s="3170" t="s">
        <v>3530</v>
      </c>
    </row>
    <row r="21" spans="1:6">
      <c r="A21" s="3169">
        <v>20</v>
      </c>
      <c r="B21" s="3169" t="s">
        <v>3515</v>
      </c>
      <c r="C21" s="3170">
        <v>-2</v>
      </c>
      <c r="D21" s="3170">
        <v>152.26</v>
      </c>
      <c r="E21" s="3169" t="s">
        <v>3471</v>
      </c>
      <c r="F21" s="3170" t="s">
        <v>3498</v>
      </c>
    </row>
    <row r="22" spans="1:6">
      <c r="A22" s="3170">
        <v>21</v>
      </c>
      <c r="B22" s="3169" t="s">
        <v>3518</v>
      </c>
      <c r="C22" s="3170">
        <v>-2</v>
      </c>
      <c r="D22" s="3170">
        <v>162.21</v>
      </c>
      <c r="E22" s="3169" t="s">
        <v>3471</v>
      </c>
      <c r="F22" s="3170" t="s">
        <v>3501</v>
      </c>
    </row>
    <row r="23" spans="1:6">
      <c r="A23" s="3169">
        <v>22</v>
      </c>
      <c r="B23" s="3169" t="s">
        <v>3532</v>
      </c>
      <c r="C23" s="3170">
        <v>-3</v>
      </c>
      <c r="D23" s="3170">
        <v>67.400000000000006</v>
      </c>
      <c r="E23" s="3169" t="s">
        <v>3471</v>
      </c>
      <c r="F23" s="3170" t="s">
        <v>3527</v>
      </c>
    </row>
    <row r="24" spans="1:6">
      <c r="A24" s="3169"/>
      <c r="B24" s="3169" t="s">
        <v>2581</v>
      </c>
      <c r="C24" s="3170"/>
      <c r="D24" s="3170">
        <f>SUM(D2:D23)</f>
        <v>23945.380000000005</v>
      </c>
      <c r="E24" s="3169"/>
      <c r="F24" s="3170"/>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70387-1B09-4921-AFAE-E11EE69BDB44}">
  <dimension ref="A1:F29"/>
  <sheetViews>
    <sheetView workbookViewId="0">
      <selection activeCell="I21" sqref="I21"/>
    </sheetView>
  </sheetViews>
  <sheetFormatPr defaultRowHeight="13.5"/>
  <cols>
    <col min="1" max="1" width="5.25" bestFit="1" customWidth="1"/>
    <col min="2" max="2" width="37.625" bestFit="1" customWidth="1"/>
    <col min="4" max="4" width="9.5" bestFit="1" customWidth="1"/>
    <col min="5" max="5" width="9" bestFit="1" customWidth="1"/>
    <col min="6" max="6" width="33.625" bestFit="1" customWidth="1"/>
    <col min="8" max="8" width="5.25" bestFit="1" customWidth="1"/>
    <col min="9" max="9" width="35.375" bestFit="1" customWidth="1"/>
    <col min="12" max="12" width="9" bestFit="1" customWidth="1"/>
    <col min="13" max="13" width="33.625" bestFit="1" customWidth="1"/>
  </cols>
  <sheetData>
    <row r="1" spans="1:6">
      <c r="A1" s="3169" t="s">
        <v>3458</v>
      </c>
      <c r="B1" s="3169" t="s">
        <v>3490</v>
      </c>
      <c r="C1" s="3169" t="s">
        <v>3459</v>
      </c>
      <c r="D1" s="3169" t="s">
        <v>3460</v>
      </c>
      <c r="E1" s="3169" t="s">
        <v>2532</v>
      </c>
      <c r="F1" s="3169" t="s">
        <v>3461</v>
      </c>
    </row>
    <row r="2" spans="1:6">
      <c r="A2" s="3170">
        <v>1</v>
      </c>
      <c r="B2" s="3169" t="s">
        <v>3464</v>
      </c>
      <c r="C2" s="3170">
        <v>1</v>
      </c>
      <c r="D2" s="3170">
        <v>396.24</v>
      </c>
      <c r="E2" s="3169" t="s">
        <v>2801</v>
      </c>
      <c r="F2" s="3170" t="s">
        <v>3433</v>
      </c>
    </row>
    <row r="3" spans="1:6">
      <c r="A3" s="3169">
        <v>2</v>
      </c>
      <c r="B3" s="3169" t="s">
        <v>3466</v>
      </c>
      <c r="C3" s="3170">
        <v>2</v>
      </c>
      <c r="D3" s="3170">
        <v>639.35</v>
      </c>
      <c r="E3" s="3169" t="s">
        <v>2801</v>
      </c>
      <c r="F3" s="3170" t="s">
        <v>3435</v>
      </c>
    </row>
    <row r="4" spans="1:6">
      <c r="A4" s="3170">
        <v>3</v>
      </c>
      <c r="B4" s="3169" t="s">
        <v>3480</v>
      </c>
      <c r="C4" s="3170">
        <v>2</v>
      </c>
      <c r="D4" s="3170">
        <v>31.9</v>
      </c>
      <c r="E4" s="3169" t="s">
        <v>2801</v>
      </c>
      <c r="F4" s="3170" t="s">
        <v>3448</v>
      </c>
    </row>
    <row r="5" spans="1:6">
      <c r="A5" s="3169">
        <v>4</v>
      </c>
      <c r="B5" s="3169" t="s">
        <v>3469</v>
      </c>
      <c r="C5" s="3170">
        <v>3</v>
      </c>
      <c r="D5" s="3170">
        <v>1410.6</v>
      </c>
      <c r="E5" s="3169" t="s">
        <v>2801</v>
      </c>
      <c r="F5" s="3170" t="s">
        <v>3438</v>
      </c>
    </row>
    <row r="6" spans="1:6">
      <c r="A6" s="3170">
        <v>5</v>
      </c>
      <c r="B6" s="3169" t="s">
        <v>3473</v>
      </c>
      <c r="C6" s="3170">
        <v>4</v>
      </c>
      <c r="D6" s="3170">
        <v>1413.14</v>
      </c>
      <c r="E6" s="3169" t="s">
        <v>2801</v>
      </c>
      <c r="F6" s="3170" t="s">
        <v>3441</v>
      </c>
    </row>
    <row r="7" spans="1:6">
      <c r="A7" s="3169">
        <v>6</v>
      </c>
      <c r="B7" s="3169" t="s">
        <v>3462</v>
      </c>
      <c r="C7" s="3170">
        <v>5</v>
      </c>
      <c r="D7" s="3170">
        <v>1413.14</v>
      </c>
      <c r="E7" s="3169" t="s">
        <v>2801</v>
      </c>
      <c r="F7" s="3170" t="s">
        <v>3431</v>
      </c>
    </row>
    <row r="8" spans="1:6">
      <c r="A8" s="3170">
        <v>7</v>
      </c>
      <c r="B8" s="3169" t="s">
        <v>3474</v>
      </c>
      <c r="C8" s="3170">
        <v>6</v>
      </c>
      <c r="D8" s="3170">
        <v>1413.14</v>
      </c>
      <c r="E8" s="3169" t="s">
        <v>2801</v>
      </c>
      <c r="F8" s="3169" t="s">
        <v>3442</v>
      </c>
    </row>
    <row r="9" spans="1:6">
      <c r="A9" s="3169">
        <v>8</v>
      </c>
      <c r="B9" s="3169" t="s">
        <v>3482</v>
      </c>
      <c r="C9" s="3170">
        <v>7</v>
      </c>
      <c r="D9" s="3170">
        <v>1413.14</v>
      </c>
      <c r="E9" s="3169" t="s">
        <v>2801</v>
      </c>
      <c r="F9" s="3170" t="s">
        <v>3450</v>
      </c>
    </row>
    <row r="10" spans="1:6">
      <c r="A10" s="3170">
        <v>9</v>
      </c>
      <c r="B10" s="3169" t="s">
        <v>3487</v>
      </c>
      <c r="C10" s="3170">
        <v>8</v>
      </c>
      <c r="D10" s="3170">
        <v>1413.14</v>
      </c>
      <c r="E10" s="3169" t="s">
        <v>2801</v>
      </c>
      <c r="F10" s="3170" t="s">
        <v>3455</v>
      </c>
    </row>
    <row r="11" spans="1:6">
      <c r="A11" s="3169">
        <v>10</v>
      </c>
      <c r="B11" s="3169" t="s">
        <v>3468</v>
      </c>
      <c r="C11" s="3170">
        <v>9</v>
      </c>
      <c r="D11" s="3170">
        <v>1413.14</v>
      </c>
      <c r="E11" s="3169" t="s">
        <v>2801</v>
      </c>
      <c r="F11" s="3170" t="s">
        <v>3437</v>
      </c>
    </row>
    <row r="12" spans="1:6">
      <c r="A12" s="3170">
        <v>11</v>
      </c>
      <c r="B12" s="3169" t="s">
        <v>3476</v>
      </c>
      <c r="C12" s="3170">
        <v>10</v>
      </c>
      <c r="D12" s="3170">
        <v>1413.14</v>
      </c>
      <c r="E12" s="3169" t="s">
        <v>2801</v>
      </c>
      <c r="F12" s="3170" t="s">
        <v>3444</v>
      </c>
    </row>
    <row r="13" spans="1:6">
      <c r="A13" s="3169">
        <v>12</v>
      </c>
      <c r="B13" s="3169" t="s">
        <v>3479</v>
      </c>
      <c r="C13" s="3170">
        <v>11</v>
      </c>
      <c r="D13" s="3170">
        <v>1413.14</v>
      </c>
      <c r="E13" s="3169" t="s">
        <v>2801</v>
      </c>
      <c r="F13" s="3170" t="s">
        <v>3447</v>
      </c>
    </row>
    <row r="14" spans="1:6">
      <c r="A14" s="3170">
        <v>13</v>
      </c>
      <c r="B14" s="3169" t="s">
        <v>3489</v>
      </c>
      <c r="C14" s="3170">
        <v>12</v>
      </c>
      <c r="D14" s="3170">
        <v>1413.14</v>
      </c>
      <c r="E14" s="3169" t="s">
        <v>2801</v>
      </c>
      <c r="F14" s="3170" t="s">
        <v>3457</v>
      </c>
    </row>
    <row r="15" spans="1:6">
      <c r="A15" s="3169">
        <v>14</v>
      </c>
      <c r="B15" s="3169" t="s">
        <v>3486</v>
      </c>
      <c r="C15" s="3170">
        <v>13</v>
      </c>
      <c r="D15" s="3170">
        <v>1413.14</v>
      </c>
      <c r="E15" s="3169" t="s">
        <v>2801</v>
      </c>
      <c r="F15" s="3170" t="s">
        <v>3454</v>
      </c>
    </row>
    <row r="16" spans="1:6">
      <c r="A16" s="3170">
        <v>15</v>
      </c>
      <c r="B16" s="3169" t="s">
        <v>3465</v>
      </c>
      <c r="C16" s="3170">
        <v>14</v>
      </c>
      <c r="D16" s="3170">
        <v>1413.14</v>
      </c>
      <c r="E16" s="3169" t="s">
        <v>2801</v>
      </c>
      <c r="F16" s="3170" t="s">
        <v>3434</v>
      </c>
    </row>
    <row r="17" spans="1:6">
      <c r="A17" s="3169">
        <v>16</v>
      </c>
      <c r="B17" s="3169" t="s">
        <v>3463</v>
      </c>
      <c r="C17" s="3170">
        <v>15</v>
      </c>
      <c r="D17" s="3170">
        <v>1413.14</v>
      </c>
      <c r="E17" s="3169" t="s">
        <v>2801</v>
      </c>
      <c r="F17" s="3170" t="s">
        <v>3432</v>
      </c>
    </row>
    <row r="18" spans="1:6">
      <c r="A18" s="3170">
        <v>17</v>
      </c>
      <c r="B18" s="3169" t="s">
        <v>3481</v>
      </c>
      <c r="C18" s="3170">
        <v>16</v>
      </c>
      <c r="D18" s="3170">
        <v>1413.14</v>
      </c>
      <c r="E18" s="3169" t="s">
        <v>2801</v>
      </c>
      <c r="F18" s="3170" t="s">
        <v>3449</v>
      </c>
    </row>
    <row r="19" spans="1:6">
      <c r="A19" s="3169">
        <v>18</v>
      </c>
      <c r="B19" s="3169" t="s">
        <v>3478</v>
      </c>
      <c r="C19" s="3170">
        <v>17</v>
      </c>
      <c r="D19" s="3170">
        <v>1413.14</v>
      </c>
      <c r="E19" s="3169" t="s">
        <v>2801</v>
      </c>
      <c r="F19" s="3170" t="s">
        <v>3446</v>
      </c>
    </row>
    <row r="20" spans="1:6">
      <c r="A20" s="3170">
        <v>19</v>
      </c>
      <c r="B20" s="3169" t="s">
        <v>3467</v>
      </c>
      <c r="C20" s="3170">
        <v>18</v>
      </c>
      <c r="D20" s="3170">
        <v>1413.14</v>
      </c>
      <c r="E20" s="3169" t="s">
        <v>2801</v>
      </c>
      <c r="F20" s="3170" t="s">
        <v>3436</v>
      </c>
    </row>
    <row r="21" spans="1:6">
      <c r="A21" s="3169">
        <v>20</v>
      </c>
      <c r="B21" s="3169" t="s">
        <v>3483</v>
      </c>
      <c r="C21" s="3170">
        <v>-1</v>
      </c>
      <c r="D21" s="3170">
        <v>797.22</v>
      </c>
      <c r="E21" s="3169" t="s">
        <v>2801</v>
      </c>
      <c r="F21" s="3170" t="s">
        <v>3451</v>
      </c>
    </row>
    <row r="22" spans="1:6">
      <c r="A22" s="3170">
        <v>21</v>
      </c>
      <c r="B22" s="3169" t="s">
        <v>3470</v>
      </c>
      <c r="C22" s="3170">
        <v>-2</v>
      </c>
      <c r="D22" s="3170">
        <v>144.41999999999999</v>
      </c>
      <c r="E22" s="3169" t="s">
        <v>3471</v>
      </c>
      <c r="F22" s="3170" t="s">
        <v>3439</v>
      </c>
    </row>
    <row r="23" spans="1:6">
      <c r="A23" s="3169">
        <v>22</v>
      </c>
      <c r="B23" s="3169" t="s">
        <v>3488</v>
      </c>
      <c r="C23" s="3170">
        <v>-2</v>
      </c>
      <c r="D23" s="3170">
        <v>49.41</v>
      </c>
      <c r="E23" s="3169" t="s">
        <v>3471</v>
      </c>
      <c r="F23" s="3170" t="s">
        <v>3456</v>
      </c>
    </row>
    <row r="24" spans="1:6">
      <c r="A24" s="3170">
        <v>23</v>
      </c>
      <c r="B24" s="3169" t="s">
        <v>3484</v>
      </c>
      <c r="C24" s="3170">
        <v>-2</v>
      </c>
      <c r="D24" s="3170">
        <v>75.02</v>
      </c>
      <c r="E24" s="3169" t="s">
        <v>3471</v>
      </c>
      <c r="F24" s="3170" t="s">
        <v>3452</v>
      </c>
    </row>
    <row r="25" spans="1:6">
      <c r="A25" s="3169">
        <v>24</v>
      </c>
      <c r="B25" s="3169" t="s">
        <v>3485</v>
      </c>
      <c r="C25" s="3170">
        <v>-2</v>
      </c>
      <c r="D25" s="3170">
        <v>125.87</v>
      </c>
      <c r="E25" s="3169" t="s">
        <v>3471</v>
      </c>
      <c r="F25" s="3170" t="s">
        <v>3453</v>
      </c>
    </row>
    <row r="26" spans="1:6">
      <c r="A26" s="3170">
        <v>25</v>
      </c>
      <c r="B26" s="3169" t="s">
        <v>3472</v>
      </c>
      <c r="C26" s="3170">
        <v>-3</v>
      </c>
      <c r="D26" s="3170">
        <v>78.53</v>
      </c>
      <c r="E26" s="3169" t="s">
        <v>3471</v>
      </c>
      <c r="F26" s="3170" t="s">
        <v>3440</v>
      </c>
    </row>
    <row r="27" spans="1:6">
      <c r="A27" s="3169">
        <v>26</v>
      </c>
      <c r="B27" s="3169" t="s">
        <v>3477</v>
      </c>
      <c r="C27" s="3170">
        <v>-3</v>
      </c>
      <c r="D27" s="3170">
        <v>44.7</v>
      </c>
      <c r="E27" s="3169" t="s">
        <v>3471</v>
      </c>
      <c r="F27" s="3170" t="s">
        <v>3445</v>
      </c>
    </row>
    <row r="28" spans="1:6">
      <c r="A28" s="3170">
        <v>27</v>
      </c>
      <c r="B28" s="3169" t="s">
        <v>3475</v>
      </c>
      <c r="C28" s="3170">
        <v>-3</v>
      </c>
      <c r="D28" s="3170">
        <v>67.47</v>
      </c>
      <c r="E28" s="3169" t="s">
        <v>3471</v>
      </c>
      <c r="F28" s="3170" t="s">
        <v>3443</v>
      </c>
    </row>
    <row r="29" spans="1:6">
      <c r="A29" s="3169"/>
      <c r="B29" s="3169" t="s">
        <v>3491</v>
      </c>
      <c r="C29" s="3169"/>
      <c r="D29" s="3169">
        <f>SUM(D2:D28)</f>
        <v>25057.829999999994</v>
      </c>
      <c r="E29" s="3169"/>
      <c r="F29" s="3169"/>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T33"/>
  <sheetViews>
    <sheetView view="pageBreakPreview" zoomScaleNormal="100" zoomScaleSheetLayoutView="100" workbookViewId="0">
      <selection activeCell="L24" sqref="L24"/>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83" t="s">
        <v>1131</v>
      </c>
      <c r="B2" s="3283"/>
      <c r="C2" s="3283"/>
      <c r="D2" s="746" t="s">
        <v>1107</v>
      </c>
      <c r="E2" s="1520" t="s">
        <v>1108</v>
      </c>
      <c r="F2" s="2436"/>
      <c r="G2" s="2429"/>
      <c r="H2" s="2430"/>
      <c r="I2" s="2143" t="s">
        <v>1132</v>
      </c>
      <c r="J2" s="2436"/>
      <c r="K2" s="2436"/>
      <c r="L2" s="2436"/>
      <c r="M2" s="2436"/>
      <c r="N2" s="2437"/>
      <c r="O2" s="2436"/>
      <c r="P2" s="2436"/>
    </row>
    <row r="3" spans="1:16" ht="15.75" thickBot="1">
      <c r="A3" s="3284" t="s">
        <v>1105</v>
      </c>
      <c r="B3" s="3284"/>
      <c r="C3" s="3284"/>
      <c r="D3" s="41">
        <f>'数据-基础表'!AY6</f>
        <v>0</v>
      </c>
      <c r="E3" s="41">
        <f>'数据-基础表'!AZ5</f>
        <v>83502.290000000008</v>
      </c>
      <c r="F3" s="2436"/>
      <c r="G3" s="42"/>
      <c r="H3" s="43" t="s">
        <v>1106</v>
      </c>
      <c r="I3" s="800" t="e">
        <f>ROUND('数据-基础表'!B3/'数据-基础表'!A3,2)</f>
        <v>#DIV/0!</v>
      </c>
      <c r="J3" s="2436"/>
      <c r="K3" s="2436"/>
      <c r="L3" s="2436"/>
      <c r="M3" s="2436"/>
      <c r="N3" s="2437"/>
      <c r="O3" s="2436"/>
      <c r="P3" s="2436"/>
    </row>
    <row r="4" spans="1:16" ht="15">
      <c r="A4" s="3285"/>
      <c r="B4" s="3286"/>
      <c r="C4" s="3287"/>
      <c r="D4" s="1521" t="s">
        <v>1107</v>
      </c>
      <c r="E4" s="1522" t="s">
        <v>1108</v>
      </c>
      <c r="F4" s="2436"/>
      <c r="G4" s="2431" t="s">
        <v>1133</v>
      </c>
      <c r="H4" s="43" t="s">
        <v>1113</v>
      </c>
      <c r="I4" s="800" t="e">
        <f>ROUND(SUMIF('数据-基础表'!I9:AS9,"地上",'数据-基础表'!I5:AS5)/'数据-基础表'!A3,2)</f>
        <v>#DIV/0!</v>
      </c>
      <c r="J4" s="2436"/>
      <c r="K4" s="2436"/>
      <c r="L4" s="2436"/>
      <c r="M4" s="2436"/>
      <c r="N4" s="2437"/>
      <c r="O4" s="2436"/>
      <c r="P4" s="2436"/>
    </row>
    <row r="5" spans="1:16">
      <c r="A5" s="42" t="s">
        <v>1109</v>
      </c>
      <c r="B5" s="3288" t="s">
        <v>1110</v>
      </c>
      <c r="C5" s="3288"/>
      <c r="D5" s="43">
        <f>ROUND($D$3*E5/$E$3,2)</f>
        <v>0</v>
      </c>
      <c r="E5" s="44">
        <f>SUMIF('数据-基础表'!$11:$11,"住宅",'数据-基础表'!$5:$5)</f>
        <v>0</v>
      </c>
      <c r="F5" s="2436"/>
      <c r="G5" s="42"/>
      <c r="H5" s="43" t="s">
        <v>1106</v>
      </c>
      <c r="I5" s="800" t="e">
        <f>ROUND(E31/D31,2)</f>
        <v>#DIV/0!</v>
      </c>
      <c r="J5" s="2436"/>
      <c r="K5" s="2436"/>
      <c r="L5" s="2436"/>
      <c r="M5" s="2436"/>
      <c r="N5" s="2436"/>
      <c r="O5" s="2436"/>
      <c r="P5" s="2436"/>
    </row>
    <row r="6" spans="1:16" ht="15" thickBot="1">
      <c r="A6" s="1524"/>
      <c r="B6" s="3288" t="s">
        <v>1111</v>
      </c>
      <c r="C6" s="3288"/>
      <c r="D6" s="43">
        <f>ROUND($D$3*E6/$E$3,2)</f>
        <v>0</v>
      </c>
      <c r="E6" s="44">
        <f>E3-E5</f>
        <v>83502.290000000008</v>
      </c>
      <c r="F6" s="2436"/>
      <c r="G6" s="1526" t="s">
        <v>1112</v>
      </c>
      <c r="H6" s="45" t="s">
        <v>1113</v>
      </c>
      <c r="I6" s="2432" t="e">
        <f>ROUND(F31/D31,2)</f>
        <v>#DIV/0!</v>
      </c>
      <c r="J6" s="2436"/>
      <c r="K6" s="2436"/>
      <c r="L6" s="2436"/>
      <c r="M6" s="2436"/>
      <c r="N6" s="2436"/>
      <c r="O6" s="2436"/>
      <c r="P6" s="2436"/>
    </row>
    <row r="7" spans="1:16" ht="15.75" thickBot="1">
      <c r="A7" s="3280"/>
      <c r="B7" s="3281"/>
      <c r="C7" s="3282"/>
      <c r="D7" s="1521" t="s">
        <v>1107</v>
      </c>
      <c r="E7" s="1525" t="s">
        <v>1114</v>
      </c>
      <c r="F7" s="2436"/>
      <c r="G7" s="2433" t="s">
        <v>1115</v>
      </c>
      <c r="H7" s="95"/>
      <c r="I7" s="2434">
        <f>基准地价修正!C21</f>
        <v>3.5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77841.440000000002</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2104.87</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967.29000000000008</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2588.69</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0</v>
      </c>
      <c r="E16" s="48">
        <f>SUM(E8:E15)</f>
        <v>83502.289999999994</v>
      </c>
      <c r="F16" s="2436"/>
      <c r="G16" s="2436"/>
      <c r="H16" s="1528" t="s">
        <v>1135</v>
      </c>
      <c r="I16" s="1529"/>
      <c r="J16" s="1068"/>
      <c r="K16" s="3277" t="s">
        <v>1135</v>
      </c>
      <c r="L16" s="3278"/>
      <c r="M16" s="3278"/>
      <c r="N16" s="3278"/>
      <c r="O16" s="3278"/>
      <c r="P16" s="3279"/>
    </row>
    <row r="17" spans="1:20" ht="15">
      <c r="A17" s="1530" t="s">
        <v>1136</v>
      </c>
      <c r="B17" s="1531" t="s">
        <v>1137</v>
      </c>
      <c r="C17" s="1532" t="s">
        <v>1138</v>
      </c>
      <c r="D17" s="1533" t="s">
        <v>1126</v>
      </c>
      <c r="E17" s="1534" t="s">
        <v>1127</v>
      </c>
      <c r="F17" s="1535"/>
      <c r="G17" s="1536"/>
      <c r="H17" s="1537" t="s">
        <v>1139</v>
      </c>
      <c r="I17" s="1538" t="s">
        <v>1124</v>
      </c>
      <c r="J17" s="1068"/>
      <c r="K17" s="3274" t="s">
        <v>1140</v>
      </c>
      <c r="L17" s="3275"/>
      <c r="M17" s="3276"/>
      <c r="N17" s="3274" t="s">
        <v>1141</v>
      </c>
      <c r="O17" s="3275"/>
      <c r="P17" s="3276"/>
      <c r="R17" s="767" t="s">
        <v>1142</v>
      </c>
      <c r="S17" s="54"/>
    </row>
    <row r="18" spans="1:20" ht="15">
      <c r="A18" s="1526"/>
      <c r="B18" s="1523"/>
      <c r="C18" s="1539"/>
      <c r="D18" s="1540"/>
      <c r="E18" s="1541" t="s">
        <v>1143</v>
      </c>
      <c r="F18" s="1542" t="s">
        <v>1144</v>
      </c>
      <c r="G18" s="1543" t="s">
        <v>1145</v>
      </c>
      <c r="H18" s="977" t="s">
        <v>1146</v>
      </c>
      <c r="I18" s="1544" t="s">
        <v>1147</v>
      </c>
      <c r="J18" s="1068"/>
      <c r="K18" s="977" t="s">
        <v>1148</v>
      </c>
      <c r="L18" s="1545" t="s">
        <v>1149</v>
      </c>
      <c r="M18" s="800" t="s">
        <v>1150</v>
      </c>
      <c r="N18" s="977" t="s">
        <v>1148</v>
      </c>
      <c r="O18" s="1545" t="s">
        <v>1149</v>
      </c>
      <c r="P18" s="800" t="s">
        <v>1150</v>
      </c>
      <c r="R18" s="43" t="s">
        <v>1151</v>
      </c>
      <c r="S18" s="43" t="s">
        <v>1152</v>
      </c>
    </row>
    <row r="19" spans="1:20">
      <c r="A19" s="1546"/>
      <c r="B19" s="45" t="s">
        <v>1125</v>
      </c>
      <c r="C19" s="3113" t="str">
        <f>'数据-基础表'!C13</f>
        <v>16号楼A座</v>
      </c>
      <c r="D19" s="43">
        <f>ROUND($D$3*E19/$E$3,2)</f>
        <v>0</v>
      </c>
      <c r="E19" s="51">
        <f t="shared" ref="E19:E26" si="1">SUM(F19:G19)</f>
        <v>34499.08</v>
      </c>
      <c r="F19" s="2555">
        <f>'数据-基础表'!I13</f>
        <v>31561.17</v>
      </c>
      <c r="G19" s="1240">
        <f>'数据-基础表'!K13+'数据-基础表'!M13</f>
        <v>2937.91</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34499.08</v>
      </c>
      <c r="T19" s="3190">
        <f>G19/E19</f>
        <v>8.5159082503069639E-2</v>
      </c>
    </row>
    <row r="20" spans="1:20">
      <c r="A20" s="1546"/>
      <c r="B20" s="45" t="s">
        <v>1153</v>
      </c>
      <c r="C20" s="3113" t="s">
        <v>3538</v>
      </c>
      <c r="D20" s="43">
        <f t="shared" ref="D20:D26" si="6">ROUND($D$3*E20/$E$3,2)</f>
        <v>0</v>
      </c>
      <c r="E20" s="51">
        <f t="shared" si="1"/>
        <v>23945.380000000005</v>
      </c>
      <c r="F20" s="2555">
        <f>'数据-基础表'!I14</f>
        <v>22605.080000000005</v>
      </c>
      <c r="G20" s="1240">
        <f>'数据-基础表'!M14+'数据-基础表'!O14</f>
        <v>1340.3</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23945.380000000005</v>
      </c>
      <c r="T20" s="3190">
        <f t="shared" ref="T20:T21" si="10">G20/E20</f>
        <v>5.5973219051023607E-2</v>
      </c>
    </row>
    <row r="21" spans="1:20">
      <c r="A21" s="1546"/>
      <c r="B21" s="45" t="s">
        <v>1153</v>
      </c>
      <c r="C21" s="3113" t="s">
        <v>3539</v>
      </c>
      <c r="D21" s="43">
        <f t="shared" si="6"/>
        <v>0</v>
      </c>
      <c r="E21" s="51">
        <f t="shared" si="1"/>
        <v>25057.829999999994</v>
      </c>
      <c r="F21" s="2555">
        <f>'数据-基础表'!I15</f>
        <v>23675.189999999995</v>
      </c>
      <c r="G21" s="1240">
        <f>'数据-基础表'!M15+'数据-基础表'!O15</f>
        <v>1382.64</v>
      </c>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25057.829999999994</v>
      </c>
      <c r="T21" s="3190">
        <f t="shared" si="10"/>
        <v>5.5177962337520862E-2</v>
      </c>
    </row>
    <row r="22" spans="1:20">
      <c r="A22" s="1546"/>
      <c r="B22" s="45" t="s">
        <v>1153</v>
      </c>
      <c r="C22" s="3114"/>
      <c r="D22" s="43">
        <f t="shared" si="6"/>
        <v>0</v>
      </c>
      <c r="E22" s="51">
        <f t="shared" si="1"/>
        <v>0</v>
      </c>
      <c r="F22" s="2556"/>
      <c r="G22" s="2557"/>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20">
      <c r="A23" s="1546"/>
      <c r="B23" s="45" t="s">
        <v>1153</v>
      </c>
      <c r="C23" s="3114"/>
      <c r="D23" s="43">
        <f>ROUND($D$3*E23/$E$3,2)</f>
        <v>0</v>
      </c>
      <c r="E23" s="51">
        <f>SUM(F23:G23)</f>
        <v>0</v>
      </c>
      <c r="F23" s="2556"/>
      <c r="G23" s="2557"/>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20">
      <c r="A24" s="1546"/>
      <c r="B24" s="45" t="s">
        <v>1153</v>
      </c>
      <c r="C24" s="3114"/>
      <c r="D24" s="43">
        <f>ROUND($D$3*E24/$E$3,2)</f>
        <v>0</v>
      </c>
      <c r="E24" s="51">
        <f>SUM(F24:G24)</f>
        <v>0</v>
      </c>
      <c r="F24" s="2556"/>
      <c r="G24" s="2557"/>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20">
      <c r="A25" s="1546"/>
      <c r="B25" s="45" t="s">
        <v>1153</v>
      </c>
      <c r="C25" s="3114"/>
      <c r="D25" s="43">
        <f t="shared" si="6"/>
        <v>0</v>
      </c>
      <c r="E25" s="51">
        <f t="shared" si="1"/>
        <v>0</v>
      </c>
      <c r="F25" s="2556"/>
      <c r="G25" s="2557"/>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20">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20" ht="15.75" thickBot="1">
      <c r="A27" s="1546"/>
      <c r="B27" s="43"/>
      <c r="C27" s="1551" t="s">
        <v>1154</v>
      </c>
      <c r="D27" s="1069">
        <f>SUM(D19:D26)</f>
        <v>0</v>
      </c>
      <c r="E27" s="1070">
        <f>IF(SUM(E19:E26)='数据-基础表'!BA5,SUM(E19:E26),IF(F27="地上面积有误","面积有误","地下面积有误"))</f>
        <v>83502.290000000008</v>
      </c>
      <c r="F27" s="1069">
        <f>IF(SUM(F19:F26)=E8,SUM(F19:F26),"地上面积有误")</f>
        <v>77841.440000000002</v>
      </c>
      <c r="G27" s="1071">
        <f>SUM(G19:G26)</f>
        <v>5660.85</v>
      </c>
      <c r="H27" s="1072">
        <f>SUM(H19:H26)</f>
        <v>0</v>
      </c>
      <c r="I27" s="1073">
        <f>SUM(I19:I26)</f>
        <v>0</v>
      </c>
      <c r="J27" s="1068"/>
      <c r="K27" s="1074">
        <f>SUM(K19:K26)</f>
        <v>0</v>
      </c>
      <c r="L27" s="783">
        <f>SUM(L19:L26)</f>
        <v>0</v>
      </c>
      <c r="M27" s="1075">
        <f>SUM(M19:M26)</f>
        <v>0</v>
      </c>
      <c r="N27" s="1074">
        <f t="shared" ref="N27:O27" si="11">SUM(N19:N26)</f>
        <v>0</v>
      </c>
      <c r="O27" s="783">
        <f t="shared" si="11"/>
        <v>0</v>
      </c>
      <c r="P27" s="94">
        <f>SUM(P19:P26)</f>
        <v>0</v>
      </c>
      <c r="R27" s="965">
        <f>IF(SUM(R19:R26)=$D$3,SUM(R19:R26),SUM(R19:R26)&amp;"误差"&amp;ROUND(SUM(R19:R26)-$D$3,2))</f>
        <v>0</v>
      </c>
      <c r="S27" s="43">
        <f>IF(SUM(S19:S26)=$E$3,SUM(S19:S26),SUM(S19:S26)&amp;"误差"&amp;ROUND(SUM(S19:S26)-E3,2))</f>
        <v>83502.290000000008</v>
      </c>
    </row>
    <row r="28" spans="1:20">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20">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20"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20" ht="15.75" thickBot="1">
      <c r="A31" s="1554"/>
      <c r="B31" s="96"/>
      <c r="C31" s="783" t="s">
        <v>1158</v>
      </c>
      <c r="D31" s="641">
        <f>D27+D30</f>
        <v>0</v>
      </c>
      <c r="E31" s="641">
        <f>E27+E30</f>
        <v>83502.290000000008</v>
      </c>
      <c r="F31" s="642">
        <f>F27+F30</f>
        <v>77841.440000000002</v>
      </c>
      <c r="G31" s="643">
        <f>G27+G30</f>
        <v>5660.85</v>
      </c>
      <c r="H31" s="2436"/>
      <c r="I31" s="2436"/>
      <c r="J31" s="2436"/>
      <c r="K31" s="2436"/>
      <c r="L31" s="2436"/>
      <c r="M31" s="2436"/>
      <c r="N31" s="2436"/>
      <c r="O31" s="2436"/>
      <c r="P31" s="2436"/>
    </row>
    <row r="32" spans="1:20">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8" customFormat="1" ht="15.75" thickBot="1">
      <c r="A2" s="1559" t="s">
        <v>1161</v>
      </c>
      <c r="B2" s="981">
        <f>项目基本情况!D3</f>
        <v>45881</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3415</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5"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16号楼A座</v>
      </c>
      <c r="B6" s="1584" t="str">
        <f>IF(A6=0,"","经营性")</f>
        <v>经营性</v>
      </c>
      <c r="C6" s="1585" t="s">
        <v>21</v>
      </c>
      <c r="D6" s="803">
        <f>SUMIF(项目基本情况!C$12:I$12,C6,项目基本情况!C$14:I$14)</f>
        <v>50</v>
      </c>
      <c r="E6" s="802">
        <f>IF(B6="","",SUMIF(项目基本情况!C$12:I$12,C6,项目基本情况!C$13:I$13))</f>
        <v>56490</v>
      </c>
      <c r="F6" s="61">
        <f>SUMIF(项目基本情况!C$12:I$12,C6,项目基本情况!C$15:I$15)</f>
        <v>29.06</v>
      </c>
      <c r="G6" s="62">
        <f>IF(ISERROR(ROUND(POWER(1+H6,D6-F6)*(POWER(1+H6,F6)-1)/(POWER(1+H6,D6)-1),3)),0,ROUND(POWER(1+H6,D6-F6)*(POWER(1+H6,F6)-1)/(POWER(1+H6,D6)-1),3))</f>
        <v>0.83</v>
      </c>
      <c r="H6" s="689">
        <v>0.05</v>
      </c>
      <c r="I6" s="689">
        <v>5.5E-2</v>
      </c>
      <c r="J6" s="63">
        <v>7.0000000000000007E-2</v>
      </c>
      <c r="K6" s="967">
        <f>SUMIF('数据-汇总表'!C$19:C$33,A6,'数据-汇总表'!E$19:E$33)</f>
        <v>34499.08</v>
      </c>
      <c r="L6" s="690">
        <v>6000</v>
      </c>
      <c r="M6" s="64">
        <f t="shared" ref="M6:M14" si="0">ROUND(K6*L6/10000,0)</f>
        <v>20699</v>
      </c>
      <c r="N6" s="688">
        <f>N23</f>
        <v>0.8</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24">
        <v>7</v>
      </c>
      <c r="V6" s="67">
        <v>0.02</v>
      </c>
      <c r="W6" s="67">
        <v>0.1</v>
      </c>
      <c r="X6" s="976"/>
      <c r="Y6" s="68">
        <f>N6</f>
        <v>0.8</v>
      </c>
      <c r="Z6" s="69"/>
      <c r="AA6" s="63"/>
      <c r="AB6" s="63"/>
      <c r="AC6" s="976"/>
      <c r="AD6" s="70"/>
      <c r="AE6" s="977">
        <f ca="1">IF(AN6="",0,SUMIF(INDIRECT("'"&amp;AN6&amp;"'"&amp;"!E:E"),$AE$5,INDIRECT("'"&amp;AN6&amp;"'"&amp;"!F:F")))</f>
        <v>29.06</v>
      </c>
      <c r="AF6" s="74"/>
      <c r="AG6" s="129">
        <f>IF(AF6="",0,AE6-AF6)</f>
        <v>0</v>
      </c>
      <c r="AH6" s="71"/>
      <c r="AI6" s="73">
        <v>365</v>
      </c>
      <c r="AJ6" s="74"/>
      <c r="AK6" s="75">
        <v>2E-3</v>
      </c>
      <c r="AL6" s="76">
        <v>1E-3</v>
      </c>
      <c r="AM6" s="77">
        <v>0.01</v>
      </c>
      <c r="AN6" s="1586" t="s">
        <v>3416</v>
      </c>
      <c r="AO6" s="50">
        <f ca="1">SUMIF(INDIRECT("'"&amp;AN6&amp;"'"&amp;"!A:A"),"总价",INDIRECT("'"&amp;AN6&amp;"'"&amp;"!B:B"))</f>
        <v>116607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hidden="1">
      <c r="A7" s="1583" t="str">
        <f>'数据-汇总表'!C20</f>
        <v>21号楼F座</v>
      </c>
      <c r="B7" s="1584" t="str">
        <f t="shared" ref="B7:B13" si="1">IF(A7=0,"","经营性")</f>
        <v>经营性</v>
      </c>
      <c r="C7" s="1585"/>
      <c r="D7" s="803">
        <f>SUMIF(项目基本情况!C$12:I$12,C7,项目基本情况!C$14:I$14)</f>
        <v>0</v>
      </c>
      <c r="E7" s="802">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23945.380000000005</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4"/>
      <c r="V7" s="67"/>
      <c r="W7" s="67"/>
      <c r="X7" s="976"/>
      <c r="Y7" s="68"/>
      <c r="Z7" s="69"/>
      <c r="AA7" s="63"/>
      <c r="AB7" s="63"/>
      <c r="AC7" s="976"/>
      <c r="AD7" s="70"/>
      <c r="AE7" s="977">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t="str">
        <f>'数据-汇总表'!C21</f>
        <v>22号楼H座</v>
      </c>
      <c r="B8" s="1584" t="str">
        <f t="shared" si="1"/>
        <v>经营性</v>
      </c>
      <c r="C8" s="1585"/>
      <c r="D8" s="803">
        <f>SUMIF(项目基本情况!C$12:I$12,C8,项目基本情况!C$14:I$14)</f>
        <v>0</v>
      </c>
      <c r="E8" s="802">
        <f>IF(B8="","",SUMIF(项目基本情况!C$12:I$12,C8,项目基本情况!C$13:I$13))</f>
        <v>0</v>
      </c>
      <c r="F8" s="61">
        <f>SUMIF(项目基本情况!C$12:I$12,C8,项目基本情况!C$15:I$15)</f>
        <v>0</v>
      </c>
      <c r="G8" s="62">
        <f t="shared" si="2"/>
        <v>0</v>
      </c>
      <c r="H8" s="689"/>
      <c r="I8" s="689"/>
      <c r="J8" s="63"/>
      <c r="K8" s="967">
        <f>SUMIF('数据-汇总表'!C$19:C$33,A8,'数据-汇总表'!E$19:E$33)</f>
        <v>25057.829999999994</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5"/>
      <c r="V8" s="692"/>
      <c r="W8" s="692"/>
      <c r="X8" s="976"/>
      <c r="Y8" s="68"/>
      <c r="Z8" s="69"/>
      <c r="AA8" s="63"/>
      <c r="AB8" s="63"/>
      <c r="AC8" s="976"/>
      <c r="AD8" s="70"/>
      <c r="AE8" s="977">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1"/>
      <c r="AA11" s="63"/>
      <c r="AB11" s="63"/>
      <c r="AC11" s="976"/>
      <c r="AD11" s="70"/>
      <c r="AE11" s="977">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1"/>
      <c r="AA12" s="63"/>
      <c r="AB12" s="63"/>
      <c r="AC12" s="976"/>
      <c r="AD12" s="70"/>
      <c r="AE12" s="977">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9"/>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9"/>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0.83</v>
      </c>
      <c r="H16" s="84">
        <f>ROUND(SUMPRODUCT(H6:H13,K6:K13)/SUMPRODUCT((H6:H13&gt;0)*(K6:K13)),3)</f>
        <v>0.05</v>
      </c>
      <c r="I16" s="85"/>
      <c r="J16" s="85"/>
      <c r="K16" s="86">
        <f>SUM(K6:K15)</f>
        <v>83502.290000000008</v>
      </c>
      <c r="L16" s="87">
        <f>ROUND(M16*10000/SUM(K6:K14),0)</f>
        <v>2479</v>
      </c>
      <c r="M16" s="87">
        <f>SUM(M6:M14)</f>
        <v>20699</v>
      </c>
      <c r="N16" s="88">
        <f>ROUND(SUMPRODUCT(M6:M14,N6:N14)/M16,3)</f>
        <v>0.8</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2291</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3</v>
      </c>
      <c r="C20" s="2559" t="s">
        <v>2289</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v>3</v>
      </c>
      <c r="C21" s="2436"/>
      <c r="D21" s="2449"/>
      <c r="E21" s="2436"/>
      <c r="F21" s="2436"/>
      <c r="G21" s="2436"/>
      <c r="H21" s="2436"/>
      <c r="I21" s="2436"/>
      <c r="J21" s="2436"/>
      <c r="K21" s="2447"/>
      <c r="L21" s="2447"/>
      <c r="M21" s="2446"/>
      <c r="N21" s="2446">
        <v>2009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3</v>
      </c>
      <c r="C22" s="2436"/>
      <c r="D22" s="2449"/>
      <c r="E22" s="2436"/>
      <c r="F22" s="2436"/>
      <c r="G22" s="2436"/>
      <c r="H22" s="2436"/>
      <c r="I22" s="2436"/>
      <c r="J22" s="2436"/>
      <c r="K22" s="2447"/>
      <c r="L22" s="2447"/>
      <c r="M22" s="2446"/>
      <c r="N22" s="3167">
        <f>ROUND(1-(2025-N21)/60,2)</f>
        <v>0.73</v>
      </c>
      <c r="O22" s="3168">
        <v>0.85</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3</v>
      </c>
      <c r="C23" s="2436"/>
      <c r="D23" s="2449"/>
      <c r="E23" s="2436"/>
      <c r="F23" s="2436"/>
      <c r="G23" s="2436"/>
      <c r="H23" s="2436"/>
      <c r="I23" s="2436"/>
      <c r="J23" s="2436"/>
      <c r="K23" s="2447"/>
      <c r="L23" s="2447"/>
      <c r="M23" s="2446"/>
      <c r="N23" s="3167">
        <f>ROUND(N22*0.4+O22*0.6,2)</f>
        <v>0.8</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160</v>
      </c>
      <c r="C27" s="2560" t="s">
        <v>2293</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3202">
        <f>B28*'数据-汇总表'!E3/10000</f>
        <v>1670.0458000000001</v>
      </c>
      <c r="C29" s="2561" t="s">
        <v>2283</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7">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8">
        <v>0.05</v>
      </c>
      <c r="C33" s="2562" t="s">
        <v>3372</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v>0</v>
      </c>
      <c r="C34" s="2562" t="s">
        <v>2284</v>
      </c>
      <c r="D34" s="2457" t="s">
        <v>2290</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2285</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6">
        <v>0.02</v>
      </c>
      <c r="C36" s="2562" t="s">
        <v>3390</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7">
        <v>0.03</v>
      </c>
      <c r="C37" s="2562" t="s">
        <v>3373</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5">
        <v>0.03</v>
      </c>
      <c r="C38" s="2562" t="s">
        <v>3374</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2299</v>
      </c>
      <c r="B40" s="1012">
        <f ca="1">IF(A40="利息：取LPR",存贷款利率!G1,存贷款利率!G1+C40)</f>
        <v>0.03</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1">
        <v>7.0000000000000007E-2</v>
      </c>
      <c r="C44" s="2562" t="s">
        <v>3375</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9">
        <v>0.03</v>
      </c>
      <c r="C45" s="2561" t="s">
        <v>2286</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9">
        <v>0.02</v>
      </c>
      <c r="C46" s="2561" t="s">
        <v>2287</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2">
        <v>0</v>
      </c>
      <c r="C47" s="2564" t="s">
        <v>2294</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3">
        <v>0.03</v>
      </c>
      <c r="C48" s="2561" t="s">
        <v>2286</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9">
        <v>5.0000000000000001E-4</v>
      </c>
      <c r="C49" s="2561" t="s">
        <v>2288</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6">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c r="C53" s="2437" t="s">
        <v>1246</v>
      </c>
      <c r="D53" s="2563" t="s">
        <v>2292</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89" t="s">
        <v>2275</v>
      </c>
      <c r="B1" s="3290"/>
      <c r="C1" s="3290"/>
      <c r="D1" s="3290"/>
      <c r="E1" s="3290"/>
      <c r="F1" s="3290"/>
      <c r="G1" s="329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2272</v>
      </c>
      <c r="D2" s="1592"/>
      <c r="E2" s="2257"/>
      <c r="F2" s="2260"/>
      <c r="G2" s="2259" t="s">
        <v>2273</v>
      </c>
      <c r="H2" s="749"/>
      <c r="I2" s="749"/>
      <c r="J2" s="749"/>
      <c r="K2" s="749"/>
      <c r="L2" s="749"/>
      <c r="M2" s="749"/>
      <c r="N2" s="749"/>
      <c r="O2" s="749"/>
      <c r="P2" s="749"/>
      <c r="Q2" s="749"/>
    </row>
    <row r="3" spans="1:29" ht="24">
      <c r="A3" s="2244" t="s">
        <v>2274</v>
      </c>
      <c r="B3" s="2261" t="s">
        <v>2250</v>
      </c>
      <c r="C3" s="2262"/>
      <c r="D3" s="2263"/>
      <c r="E3" s="2245" t="s">
        <v>2274</v>
      </c>
      <c r="F3" s="2264" t="s">
        <v>2251</v>
      </c>
      <c r="G3" s="2265"/>
      <c r="H3" s="749"/>
      <c r="I3" s="749"/>
      <c r="J3" s="749"/>
      <c r="K3" s="749"/>
      <c r="L3" s="749"/>
      <c r="M3" s="749"/>
      <c r="N3" s="749"/>
      <c r="O3" s="749"/>
      <c r="P3" s="749"/>
      <c r="Q3" s="749"/>
    </row>
    <row r="4" spans="1:29">
      <c r="A4" s="2245"/>
      <c r="B4" s="314" t="s">
        <v>2252</v>
      </c>
      <c r="C4" s="2266"/>
      <c r="D4" s="2263"/>
      <c r="E4" s="2267"/>
      <c r="F4" s="1278" t="s">
        <v>2253</v>
      </c>
      <c r="G4" s="2268"/>
      <c r="H4" s="749"/>
      <c r="I4" s="749"/>
      <c r="J4" s="749"/>
      <c r="K4" s="749"/>
      <c r="L4" s="749"/>
      <c r="M4" s="749"/>
      <c r="N4" s="749"/>
      <c r="O4" s="749"/>
      <c r="P4" s="749"/>
      <c r="Q4" s="749"/>
    </row>
    <row r="5" spans="1:29">
      <c r="A5" s="2245"/>
      <c r="B5" s="314" t="s">
        <v>2254</v>
      </c>
      <c r="C5" s="2266"/>
      <c r="D5" s="2263"/>
      <c r="E5" s="2267"/>
      <c r="F5" s="314" t="s">
        <v>2255</v>
      </c>
      <c r="G5" s="2268"/>
      <c r="H5" s="749"/>
      <c r="I5" s="749"/>
      <c r="J5" s="749"/>
      <c r="K5" s="749"/>
      <c r="L5" s="749"/>
      <c r="M5" s="749"/>
      <c r="N5" s="749"/>
      <c r="O5" s="749"/>
      <c r="P5" s="749"/>
      <c r="Q5" s="749"/>
    </row>
    <row r="6" spans="1:29">
      <c r="A6" s="2245"/>
      <c r="B6" s="314" t="s">
        <v>2256</v>
      </c>
      <c r="C6" s="2268"/>
      <c r="D6" s="2263"/>
      <c r="E6" s="2267"/>
      <c r="F6" s="314" t="s">
        <v>2257</v>
      </c>
      <c r="G6" s="2268"/>
      <c r="H6" s="749"/>
      <c r="I6" s="749"/>
      <c r="J6" s="749"/>
      <c r="K6" s="749"/>
      <c r="L6" s="749"/>
      <c r="M6" s="749"/>
      <c r="N6" s="749"/>
      <c r="O6" s="749"/>
      <c r="P6" s="749"/>
      <c r="Q6" s="749"/>
    </row>
    <row r="7" spans="1:29" ht="15" thickBot="1">
      <c r="A7" s="2245"/>
      <c r="B7" s="314" t="s">
        <v>2255</v>
      </c>
      <c r="C7" s="2268"/>
      <c r="D7" s="2242"/>
      <c r="E7" s="2269"/>
      <c r="F7" s="2270" t="s">
        <v>2258</v>
      </c>
      <c r="G7" s="2271"/>
      <c r="H7" s="749"/>
      <c r="I7" s="749"/>
      <c r="J7" s="749"/>
      <c r="K7" s="749"/>
      <c r="L7" s="749"/>
      <c r="M7" s="749"/>
      <c r="N7" s="749"/>
      <c r="O7" s="749"/>
      <c r="P7" s="749"/>
      <c r="Q7" s="749"/>
    </row>
    <row r="8" spans="1:29">
      <c r="A8" s="2245"/>
      <c r="B8" s="314" t="s">
        <v>2257</v>
      </c>
      <c r="C8" s="2268"/>
      <c r="D8" s="2242"/>
      <c r="E8" s="2242"/>
      <c r="F8" s="120"/>
      <c r="G8" s="120"/>
      <c r="H8" s="749"/>
      <c r="I8" s="749"/>
      <c r="J8" s="749"/>
      <c r="K8" s="749"/>
      <c r="L8" s="749"/>
      <c r="M8" s="749"/>
      <c r="N8" s="749"/>
      <c r="O8" s="749"/>
      <c r="P8" s="749"/>
      <c r="Q8" s="749"/>
    </row>
    <row r="9" spans="1:29">
      <c r="A9" s="2245"/>
      <c r="B9" s="314" t="s">
        <v>2259</v>
      </c>
      <c r="C9" s="2266"/>
      <c r="D9" s="2263"/>
      <c r="E9" s="2242"/>
      <c r="F9" s="120"/>
      <c r="G9" s="120"/>
      <c r="H9" s="749"/>
      <c r="I9" s="749"/>
      <c r="J9" s="749"/>
      <c r="K9" s="749"/>
      <c r="L9" s="749"/>
      <c r="M9" s="749"/>
      <c r="N9" s="749"/>
      <c r="O9" s="749"/>
      <c r="P9" s="749"/>
      <c r="Q9" s="749"/>
    </row>
    <row r="10" spans="1:29" ht="15" thickBot="1">
      <c r="A10" s="2246"/>
      <c r="B10" s="2272" t="s">
        <v>2260</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2276</v>
      </c>
      <c r="B13" s="2277"/>
      <c r="C13" s="2277"/>
      <c r="D13" s="2276"/>
      <c r="E13" s="2277"/>
      <c r="F13" s="2277"/>
      <c r="G13" s="2277"/>
    </row>
    <row r="14" spans="1:29" ht="15" thickBot="1">
      <c r="A14" s="2282"/>
      <c r="B14" s="2282"/>
      <c r="C14" s="2283" t="s">
        <v>2261</v>
      </c>
      <c r="D14" s="2263"/>
      <c r="E14" s="2284"/>
      <c r="F14" s="2284"/>
      <c r="G14" s="2259" t="s">
        <v>2262</v>
      </c>
    </row>
    <row r="15" spans="1:29" ht="24">
      <c r="A15" s="2247" t="s">
        <v>2263</v>
      </c>
      <c r="B15" s="2285" t="s">
        <v>2250</v>
      </c>
      <c r="C15" s="2286">
        <f>C3</f>
        <v>0</v>
      </c>
      <c r="D15" s="2263"/>
      <c r="E15" s="2248" t="s">
        <v>2264</v>
      </c>
      <c r="F15" s="2285" t="s">
        <v>2265</v>
      </c>
      <c r="G15" s="2287">
        <f>G3</f>
        <v>0</v>
      </c>
    </row>
    <row r="16" spans="1:29">
      <c r="A16" s="2249"/>
      <c r="B16" s="2288" t="s">
        <v>2252</v>
      </c>
      <c r="C16" s="2289">
        <f>C4</f>
        <v>0</v>
      </c>
      <c r="D16" s="2263"/>
      <c r="E16" s="2250"/>
      <c r="F16" s="2290" t="s">
        <v>2253</v>
      </c>
      <c r="G16" s="2291">
        <f>G4</f>
        <v>0</v>
      </c>
    </row>
    <row r="17" spans="1:17">
      <c r="A17" s="2249"/>
      <c r="B17" s="2288" t="s">
        <v>2254</v>
      </c>
      <c r="C17" s="2289">
        <f>C5</f>
        <v>0</v>
      </c>
      <c r="D17" s="2242"/>
      <c r="E17" s="2250"/>
      <c r="F17" s="2290" t="s">
        <v>2266</v>
      </c>
      <c r="G17" s="2292"/>
    </row>
    <row r="18" spans="1:17">
      <c r="A18" s="2249"/>
      <c r="B18" s="2290" t="s">
        <v>2256</v>
      </c>
      <c r="C18" s="2291">
        <f>C6</f>
        <v>0</v>
      </c>
      <c r="D18" s="2242"/>
      <c r="E18" s="2250"/>
      <c r="F18" s="2290" t="s">
        <v>2258</v>
      </c>
      <c r="G18" s="2291">
        <f>G7</f>
        <v>0</v>
      </c>
    </row>
    <row r="19" spans="1:17">
      <c r="A19" s="2249"/>
      <c r="B19" s="2290" t="s">
        <v>2267</v>
      </c>
      <c r="C19" s="2292"/>
      <c r="D19" s="2263"/>
      <c r="E19" s="2250"/>
      <c r="F19" s="314" t="s">
        <v>2255</v>
      </c>
      <c r="G19" s="2291">
        <f>G5</f>
        <v>0</v>
      </c>
    </row>
    <row r="20" spans="1:17">
      <c r="A20" s="2249"/>
      <c r="B20" s="2290" t="s">
        <v>2268</v>
      </c>
      <c r="C20" s="2289">
        <f>C9</f>
        <v>0</v>
      </c>
      <c r="D20" s="2242"/>
      <c r="E20" s="2250"/>
      <c r="F20" s="314" t="s">
        <v>2257</v>
      </c>
      <c r="G20" s="2291">
        <f>G6</f>
        <v>0</v>
      </c>
    </row>
    <row r="21" spans="1:17">
      <c r="A21" s="2249"/>
      <c r="B21" s="314" t="s">
        <v>2255</v>
      </c>
      <c r="C21" s="2291">
        <f>C7</f>
        <v>0</v>
      </c>
      <c r="D21" s="2263"/>
      <c r="E21" s="2250"/>
      <c r="F21" s="2290" t="s">
        <v>2269</v>
      </c>
      <c r="G21" s="2293"/>
    </row>
    <row r="22" spans="1:17" ht="13.5" customHeight="1">
      <c r="A22" s="2249"/>
      <c r="B22" s="314" t="s">
        <v>2257</v>
      </c>
      <c r="C22" s="2291">
        <f>C8</f>
        <v>0</v>
      </c>
      <c r="D22" s="2263"/>
      <c r="E22" s="2250"/>
      <c r="F22" s="2290" t="s">
        <v>2260</v>
      </c>
      <c r="G22" s="2292"/>
    </row>
    <row r="23" spans="1:17" s="749" customFormat="1" ht="15" thickBot="1">
      <c r="A23" s="2249"/>
      <c r="B23" s="2290" t="s">
        <v>2269</v>
      </c>
      <c r="C23" s="2293"/>
      <c r="D23" s="1611"/>
      <c r="E23" s="2251"/>
      <c r="F23" s="2294" t="s">
        <v>2270</v>
      </c>
      <c r="G23" s="2295"/>
      <c r="H23" s="2274"/>
      <c r="I23" s="2274"/>
      <c r="J23" s="2274"/>
      <c r="K23" s="2274"/>
      <c r="L23" s="2274"/>
      <c r="M23" s="2274"/>
      <c r="N23" s="2274"/>
      <c r="O23" s="2274"/>
      <c r="P23" s="2274"/>
      <c r="Q23" s="2274"/>
    </row>
    <row r="24" spans="1:17" s="749" customFormat="1" ht="15" thickBot="1">
      <c r="A24" s="2252"/>
      <c r="B24" s="2294" t="s">
        <v>2271</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3" t="str">
        <f>项目基本情况!B1</f>
        <v>北京市房地产抵押价值预评估</v>
      </c>
      <c r="C37" s="3203"/>
      <c r="D37" s="3203"/>
      <c r="E37" s="3203"/>
      <c r="F37" s="3203"/>
      <c r="G37" s="3203"/>
      <c r="H37" s="3203"/>
      <c r="I37" s="3203"/>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0</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45881</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0</v>
      </c>
      <c r="C5" s="2297">
        <f ca="1">IF(B5=D14,结果表!H102,ROUND(B5*10000/$B$1,0))</f>
        <v>39117</v>
      </c>
      <c r="D5" s="2297" t="e">
        <f>ROUND(B5*10000/$B$2,0)</f>
        <v>#DIV/0!</v>
      </c>
      <c r="E5" s="2459"/>
      <c r="F5" s="2460"/>
      <c r="G5" s="2460"/>
      <c r="H5" s="2460"/>
      <c r="I5" s="2460"/>
      <c r="J5" s="2460"/>
      <c r="K5" s="2460"/>
    </row>
    <row r="6" spans="1:11" ht="16.5">
      <c r="A6" s="2297" t="s">
        <v>656</v>
      </c>
      <c r="B6" s="2297">
        <f>SUM(G14:G23)</f>
        <v>0</v>
      </c>
      <c r="C6" s="2297">
        <f ca="1">IF(B6=G14,结果表!H108,ROUND(B6*10000/$B$1,0))</f>
        <v>39117</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3345</v>
      </c>
      <c r="D10" s="2297" t="s">
        <v>3346</v>
      </c>
      <c r="E10" s="3134"/>
      <c r="F10" s="3138" t="s">
        <v>3347</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c r="C14" s="2303"/>
      <c r="D14" s="2303"/>
      <c r="E14" s="2303" t="e">
        <f>ROUND(D14*10000/B14,0)</f>
        <v>#DIV/0!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3537</v>
      </c>
      <c r="D1" s="644"/>
      <c r="E1" s="644"/>
      <c r="F1" s="1618" t="s">
        <v>1263</v>
      </c>
      <c r="G1" s="1450" t="s">
        <v>3783</v>
      </c>
      <c r="H1" s="1618" t="str">
        <f>IF(G1="现房","——","估价对象范围")</f>
        <v>——</v>
      </c>
      <c r="I1" s="1619" t="s">
        <v>3784</v>
      </c>
    </row>
    <row r="2" spans="1:12" ht="21.75" customHeight="1" thickBot="1">
      <c r="A2" s="3358" t="str">
        <f>项目基本情况!S2</f>
        <v>北京市房地产</v>
      </c>
      <c r="B2" s="3359"/>
      <c r="C2" s="3359"/>
      <c r="D2" s="3359"/>
      <c r="E2" s="3359"/>
      <c r="F2" s="3359"/>
      <c r="G2" s="3359"/>
      <c r="H2" s="3359"/>
      <c r="I2" s="3360"/>
    </row>
    <row r="3" spans="1:12" ht="12.75">
      <c r="A3" s="3362" t="s">
        <v>1264</v>
      </c>
      <c r="B3" s="3363"/>
      <c r="C3" s="3363"/>
      <c r="D3" s="3363"/>
      <c r="E3" s="3363"/>
      <c r="F3" s="3363"/>
      <c r="G3" s="3363"/>
      <c r="H3" s="3363"/>
      <c r="I3" s="3363"/>
    </row>
    <row r="4" spans="1:12" ht="14.25">
      <c r="A4" s="1621" t="s">
        <v>1265</v>
      </c>
      <c r="B4" s="1622" t="s">
        <v>1266</v>
      </c>
      <c r="C4" s="1623" t="s">
        <v>3782</v>
      </c>
      <c r="D4" s="1623" t="s">
        <v>3416</v>
      </c>
      <c r="E4" s="3367" t="s">
        <v>1267</v>
      </c>
      <c r="F4" s="3368"/>
      <c r="G4" s="3368"/>
      <c r="H4" s="3368"/>
      <c r="I4" s="336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6" t="s">
        <v>1268</v>
      </c>
      <c r="B5" s="3361">
        <v>25</v>
      </c>
      <c r="C5" s="3364"/>
      <c r="D5" s="3352"/>
      <c r="E5" s="122" t="s">
        <v>1269</v>
      </c>
      <c r="F5" s="1624"/>
      <c r="G5" s="1624"/>
      <c r="H5" s="1624"/>
      <c r="I5" s="1278"/>
    </row>
    <row r="6" spans="1:12" ht="12.75">
      <c r="A6" s="3306"/>
      <c r="B6" s="3361"/>
      <c r="C6" s="3366"/>
      <c r="D6" s="3352"/>
      <c r="E6" s="122" t="s">
        <v>1270</v>
      </c>
      <c r="F6" s="1624"/>
      <c r="G6" s="1624"/>
      <c r="H6" s="1624"/>
      <c r="I6" s="1278"/>
    </row>
    <row r="7" spans="1:12" ht="12.75">
      <c r="A7" s="3306"/>
      <c r="B7" s="3361"/>
      <c r="C7" s="3365"/>
      <c r="D7" s="3352"/>
      <c r="E7" s="122" t="s">
        <v>1271</v>
      </c>
      <c r="F7" s="1624"/>
      <c r="G7" s="1624"/>
      <c r="H7" s="1624"/>
      <c r="I7" s="1278"/>
    </row>
    <row r="8" spans="1:12" ht="12.75">
      <c r="A8" s="3306" t="s">
        <v>1272</v>
      </c>
      <c r="B8" s="3361">
        <v>15</v>
      </c>
      <c r="C8" s="3364"/>
      <c r="D8" s="3352"/>
      <c r="E8" s="122" t="s">
        <v>1273</v>
      </c>
      <c r="F8" s="1624"/>
      <c r="G8" s="1624"/>
      <c r="H8" s="1624"/>
      <c r="I8" s="1278"/>
    </row>
    <row r="9" spans="1:12" ht="12.75">
      <c r="A9" s="3306"/>
      <c r="B9" s="3361"/>
      <c r="C9" s="3365"/>
      <c r="D9" s="3352"/>
      <c r="E9" s="122" t="s">
        <v>1274</v>
      </c>
      <c r="F9" s="1624"/>
      <c r="G9" s="1624"/>
      <c r="H9" s="1624"/>
      <c r="I9" s="1278"/>
    </row>
    <row r="10" spans="1:12" ht="12.75">
      <c r="A10" s="3306" t="s">
        <v>1275</v>
      </c>
      <c r="B10" s="3361">
        <v>15</v>
      </c>
      <c r="C10" s="3364"/>
      <c r="D10" s="3352"/>
      <c r="E10" s="122" t="s">
        <v>1276</v>
      </c>
      <c r="F10" s="1624"/>
      <c r="G10" s="1624"/>
      <c r="H10" s="1624"/>
      <c r="I10" s="1278"/>
    </row>
    <row r="11" spans="1:12" ht="12.75">
      <c r="A11" s="3306"/>
      <c r="B11" s="3361"/>
      <c r="C11" s="3365"/>
      <c r="D11" s="3352"/>
      <c r="E11" s="122" t="s">
        <v>1277</v>
      </c>
      <c r="F11" s="1624"/>
      <c r="G11" s="1624"/>
      <c r="H11" s="1624"/>
      <c r="I11" s="1278"/>
    </row>
    <row r="12" spans="1:12" ht="12.75">
      <c r="A12" s="3306" t="s">
        <v>1278</v>
      </c>
      <c r="B12" s="3361">
        <v>15</v>
      </c>
      <c r="C12" s="3364"/>
      <c r="D12" s="3352"/>
      <c r="E12" s="122" t="s">
        <v>1279</v>
      </c>
      <c r="F12" s="1624"/>
      <c r="G12" s="1624"/>
      <c r="H12" s="1624"/>
      <c r="I12" s="1278"/>
    </row>
    <row r="13" spans="1:12" ht="12.75">
      <c r="A13" s="3306"/>
      <c r="B13" s="3361"/>
      <c r="C13" s="3365"/>
      <c r="D13" s="3352"/>
      <c r="E13" s="122" t="s">
        <v>1280</v>
      </c>
      <c r="F13" s="1624"/>
      <c r="G13" s="1624"/>
      <c r="H13" s="1624"/>
      <c r="I13" s="1278"/>
    </row>
    <row r="14" spans="1:12" ht="12.75">
      <c r="A14" s="3306" t="s">
        <v>1281</v>
      </c>
      <c r="B14" s="3361">
        <v>30</v>
      </c>
      <c r="C14" s="3364">
        <v>6</v>
      </c>
      <c r="D14" s="3352">
        <v>4</v>
      </c>
      <c r="E14" s="122" t="s">
        <v>1282</v>
      </c>
      <c r="F14" s="1624"/>
      <c r="G14" s="1624"/>
      <c r="H14" s="1624"/>
      <c r="I14" s="1278"/>
    </row>
    <row r="15" spans="1:12" ht="12.75">
      <c r="A15" s="3306"/>
      <c r="B15" s="3361"/>
      <c r="C15" s="3366"/>
      <c r="D15" s="3352"/>
      <c r="E15" s="122" t="s">
        <v>1283</v>
      </c>
      <c r="F15" s="1624"/>
      <c r="G15" s="1624"/>
      <c r="H15" s="1624"/>
      <c r="I15" s="1278"/>
    </row>
    <row r="16" spans="1:12" ht="12.75">
      <c r="A16" s="3306"/>
      <c r="B16" s="3361"/>
      <c r="C16" s="3365"/>
      <c r="D16" s="3352"/>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83" t="s">
        <v>2129</v>
      </c>
      <c r="F18" s="3384"/>
      <c r="G18" s="3384"/>
      <c r="H18" s="3384"/>
      <c r="I18" s="3384"/>
      <c r="K18" s="293" t="s">
        <v>1289</v>
      </c>
      <c r="L18" s="293">
        <f>IF(C1="",'数据-汇总表'!E3,SUMIF(项目类型,C1,'数据-汇总表'!E17:E26)+SUMIF(项目类型,C1,'数据-汇总表'!I17:I26))</f>
        <v>34499.08</v>
      </c>
      <c r="M18" s="293">
        <f>IF(C1="",'数据-汇总表'!E3,SUMIF(项目类型,C1,'数据-汇总表'!E17:E26))</f>
        <v>34499.08</v>
      </c>
    </row>
    <row r="19" spans="1:36" ht="15">
      <c r="A19" s="1627" t="s">
        <v>1290</v>
      </c>
      <c r="B19" s="1628" t="s">
        <v>1291</v>
      </c>
      <c r="C19" s="125">
        <f ca="1">SUMIF(INDIRECT("'"&amp;C4&amp;"'"&amp;"!A:A"),结果表!B19,INDIRECT("'"&amp;C4&amp;"'"&amp;"!B:B"))</f>
        <v>147180</v>
      </c>
      <c r="D19" s="126">
        <f ca="1">SUMIF(INDIRECT("'"&amp;D4&amp;"'"&amp;"!A:A"),结果表!B19,INDIRECT("'"&amp;D4&amp;"'"&amp;"!B:B"))</f>
        <v>116607</v>
      </c>
      <c r="E19" s="1627" t="s">
        <v>1292</v>
      </c>
      <c r="F19" s="1628" t="s">
        <v>1291</v>
      </c>
      <c r="G19" s="127">
        <f ca="1">ROUND(C19*$C$18+D19*$D$18,0)</f>
        <v>134951</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42662</v>
      </c>
      <c r="D20" s="129">
        <f ca="1">SUMIF(INDIRECT("'"&amp;D4&amp;"'"&amp;"!A:A"),结果表!B20,INDIRECT("'"&amp;D4&amp;"'"&amp;"!B:B"))</f>
        <v>33800</v>
      </c>
      <c r="E20" s="1630"/>
      <c r="F20" s="43" t="s">
        <v>1295</v>
      </c>
      <c r="G20" s="130">
        <f ca="1">ROUND(C20*$C$18+D20*$D$18,0)</f>
        <v>39117</v>
      </c>
      <c r="H20" s="758" t="s">
        <v>1296</v>
      </c>
      <c r="I20" s="120">
        <v>40000</v>
      </c>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f>I20*L18/10000</f>
        <v>137996.32</v>
      </c>
    </row>
    <row r="22" spans="1:36" ht="15" thickBot="1">
      <c r="A22" s="1561" t="s">
        <v>1298</v>
      </c>
      <c r="B22" s="1632"/>
      <c r="C22" s="1633"/>
      <c r="D22" s="678">
        <f ca="1">IF(C19&lt;D19,D19/C19-1,C19/D19-1)</f>
        <v>0.26218837634104308</v>
      </c>
      <c r="E22" s="120"/>
      <c r="F22" s="120"/>
      <c r="G22" s="120"/>
      <c r="H22" s="120"/>
      <c r="I22" s="120"/>
    </row>
    <row r="23" spans="1:36" ht="13.5" thickBot="1">
      <c r="A23" s="644"/>
      <c r="B23" s="644"/>
      <c r="C23" s="644"/>
      <c r="D23" s="644"/>
      <c r="E23" s="120"/>
      <c r="F23" s="120"/>
      <c r="G23" s="120"/>
      <c r="H23" s="120"/>
      <c r="I23" s="120"/>
    </row>
    <row r="24" spans="1:36" ht="14.25">
      <c r="A24" s="3376" t="s">
        <v>1299</v>
      </c>
      <c r="B24" s="1628" t="s">
        <v>1291</v>
      </c>
      <c r="C24" s="127">
        <f>IF(B30=0,0,D30)</f>
        <v>0</v>
      </c>
      <c r="D24" s="1634"/>
      <c r="E24" s="120"/>
      <c r="F24" s="120"/>
      <c r="G24" s="120"/>
      <c r="H24" s="120"/>
      <c r="I24" s="120"/>
    </row>
    <row r="25" spans="1:36" ht="14.25">
      <c r="A25" s="3377"/>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2130</v>
      </c>
      <c r="F30" s="120"/>
      <c r="G30" s="120"/>
      <c r="H30" s="120"/>
      <c r="I30" s="120"/>
    </row>
    <row r="31" spans="1:36" s="2130" customFormat="1" ht="26.45" customHeight="1" thickTop="1" thickBot="1">
      <c r="A31" s="2125"/>
      <c r="B31" s="2126"/>
      <c r="C31" s="2126"/>
      <c r="D31" s="2126"/>
      <c r="E31" s="2126"/>
      <c r="F31" s="2126"/>
      <c r="G31" s="2126"/>
      <c r="H31" s="2126"/>
      <c r="I31" s="2127" t="s">
        <v>2131</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134951</v>
      </c>
      <c r="D32" s="1638" t="s">
        <v>3427</v>
      </c>
      <c r="E32" s="120"/>
      <c r="F32" s="120"/>
      <c r="G32" s="120"/>
      <c r="H32" s="120"/>
      <c r="I32" s="120"/>
    </row>
    <row r="33" spans="1:15" ht="15">
      <c r="A33" s="738" t="s">
        <v>1306</v>
      </c>
      <c r="B33" s="122"/>
      <c r="C33" s="1639" t="s">
        <v>3428</v>
      </c>
      <c r="D33" s="1640" t="s">
        <v>3426</v>
      </c>
      <c r="E33" s="1641" t="s">
        <v>1307</v>
      </c>
      <c r="F33" s="1642" t="str">
        <f>IF(D32="楼面单价","取值（单价）","取值（总价）")</f>
        <v>取值（总价）</v>
      </c>
      <c r="G33" s="120"/>
      <c r="H33" s="120"/>
      <c r="I33" s="120"/>
    </row>
    <row r="34" spans="1:15" ht="15">
      <c r="A34" s="1643"/>
      <c r="B34" s="1644" t="s">
        <v>1308</v>
      </c>
      <c r="C34" s="139">
        <f ca="1">IF(C33="自定义",F34,C32-C35)</f>
        <v>111874</v>
      </c>
      <c r="D34" s="806">
        <f ca="1">IF(C33="自定义",ROUND(C34/C32,3),IF(C33="收益比率",SUMIF(INDIRECT("'"&amp;D33&amp;"'"&amp;"!b:b"),"土地收益比率",INDIRECT("'"&amp;D33&amp;"'"&amp;"!c:c")),SUMIF(INDIRECT("'"&amp;D33&amp;"'"&amp;"!b:b"),"土地成本比率",INDIRECT("'"&amp;D33&amp;"'"&amp;"!c:c"))))</f>
        <v>0.82899999999999996</v>
      </c>
      <c r="E34" s="1645" t="s">
        <v>1309</v>
      </c>
      <c r="F34" s="1240"/>
      <c r="G34" s="120"/>
      <c r="H34" s="120"/>
      <c r="I34" s="120"/>
    </row>
    <row r="35" spans="1:15" ht="15.75" thickBot="1">
      <c r="A35" s="1646"/>
      <c r="B35" s="1647" t="s">
        <v>1310</v>
      </c>
      <c r="C35" s="1087">
        <f ca="1">IF(C33="自定义",F35,ROUND(C32*D35,0))</f>
        <v>23077</v>
      </c>
      <c r="D35" s="1088">
        <f ca="1">IF(C33="自定义",ROUND(C35/C32,3),IF(C33="收益比率",SUMIF(INDIRECT("'"&amp;D33&amp;"'"&amp;"!b:b"),"建筑物收益比率",INDIRECT("'"&amp;D33&amp;"'"&amp;"!c:c")),SUMIF(INDIRECT("'"&amp;D33&amp;"'"&amp;"!b:b"),"建筑物成本比率",INDIRECT("'"&amp;D33&amp;"'"&amp;"!c:c"))))</f>
        <v>0.17100000000000001</v>
      </c>
      <c r="E35" s="1648" t="s">
        <v>1311</v>
      </c>
      <c r="F35" s="145"/>
      <c r="G35" s="120"/>
      <c r="H35" s="120"/>
      <c r="I35" s="120"/>
    </row>
    <row r="36" spans="1:15" ht="15.75" thickBot="1">
      <c r="A36" s="3353" t="s">
        <v>1312</v>
      </c>
      <c r="B36" s="1649" t="s">
        <v>1313</v>
      </c>
      <c r="C36" s="136"/>
      <c r="D36" s="1650"/>
      <c r="E36" s="1564"/>
      <c r="F36" s="1651"/>
      <c r="G36" s="120"/>
      <c r="H36" s="120"/>
      <c r="I36" s="120"/>
    </row>
    <row r="37" spans="1:15" ht="15.75" thickBot="1">
      <c r="A37" s="3354"/>
      <c r="B37" s="1552" t="s">
        <v>1314</v>
      </c>
      <c r="C37" s="138"/>
      <c r="D37" s="1068"/>
      <c r="E37" s="1068"/>
      <c r="F37" s="1651"/>
      <c r="G37" s="120"/>
      <c r="H37" s="120"/>
      <c r="I37" s="120"/>
    </row>
    <row r="38" spans="1:15" ht="15.75" thickBot="1">
      <c r="A38" s="3355"/>
      <c r="B38" s="1652" t="s">
        <v>1315</v>
      </c>
      <c r="C38" s="639"/>
      <c r="D38" s="1653" t="s">
        <v>1316</v>
      </c>
      <c r="E38" s="1068"/>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73" t="s">
        <v>1326</v>
      </c>
      <c r="B45" s="3374"/>
      <c r="C45" s="3375"/>
      <c r="D45" s="146">
        <f ca="1">ROUND(H101*F45,0)</f>
        <v>134951</v>
      </c>
      <c r="E45" s="147" t="s">
        <v>1327</v>
      </c>
      <c r="F45" s="148">
        <v>1</v>
      </c>
      <c r="G45" s="149" t="s">
        <v>1328</v>
      </c>
      <c r="H45" s="120"/>
      <c r="I45" s="120"/>
      <c r="J45" s="3293" t="s">
        <v>1329</v>
      </c>
      <c r="K45" s="3293"/>
      <c r="L45" s="3293"/>
      <c r="M45" s="3293"/>
      <c r="N45" s="3293"/>
      <c r="O45" s="3293"/>
    </row>
    <row r="46" spans="1:15" ht="14.25" customHeight="1">
      <c r="A46" s="3370" t="s">
        <v>1330</v>
      </c>
      <c r="B46" s="3371"/>
      <c r="C46" s="3371"/>
      <c r="D46" s="3371"/>
      <c r="E46" s="3371"/>
      <c r="F46" s="3371"/>
      <c r="G46" s="3372"/>
      <c r="H46" s="1665"/>
      <c r="I46" s="150"/>
      <c r="J46" s="2307">
        <v>1</v>
      </c>
      <c r="K46" s="3294" t="s">
        <v>1331</v>
      </c>
      <c r="L46" s="3294"/>
      <c r="M46" s="3295"/>
      <c r="N46" s="3295"/>
      <c r="O46" s="3295"/>
    </row>
    <row r="47" spans="1:15" ht="12" customHeight="1">
      <c r="A47" s="151" t="s">
        <v>1332</v>
      </c>
      <c r="B47" s="152"/>
      <c r="C47" s="153"/>
      <c r="D47" s="1021" t="s">
        <v>1333</v>
      </c>
      <c r="E47" s="293" t="s">
        <v>1334</v>
      </c>
      <c r="F47" s="154" t="s">
        <v>1335</v>
      </c>
      <c r="G47" s="2330" t="s">
        <v>1336</v>
      </c>
      <c r="H47" s="2331"/>
      <c r="I47" s="150"/>
      <c r="J47" s="2307">
        <v>2</v>
      </c>
      <c r="K47" s="3294" t="s">
        <v>1337</v>
      </c>
      <c r="L47" s="3294"/>
      <c r="M47" s="3296">
        <f>'数据-取费表'!B2</f>
        <v>45881</v>
      </c>
      <c r="N47" s="3296"/>
      <c r="O47" s="3296"/>
    </row>
    <row r="48" spans="1:15" ht="25.5">
      <c r="A48" s="3356" t="s">
        <v>1338</v>
      </c>
      <c r="B48" s="3357"/>
      <c r="C48" s="3357"/>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94" t="s">
        <v>1340</v>
      </c>
      <c r="L48" s="3294"/>
      <c r="M48" s="3297">
        <f ca="1">H101</f>
        <v>134951</v>
      </c>
      <c r="N48" s="3297"/>
      <c r="O48" s="3297"/>
    </row>
    <row r="49" spans="1:35" ht="25.5" customHeight="1">
      <c r="A49" s="2149" t="s">
        <v>1341</v>
      </c>
      <c r="B49" s="3342" t="s">
        <v>1342</v>
      </c>
      <c r="C49" s="3342"/>
      <c r="D49" s="1475">
        <v>0</v>
      </c>
      <c r="E49" s="315" t="s">
        <v>1343</v>
      </c>
      <c r="F49" s="2230" t="s">
        <v>28</v>
      </c>
      <c r="G49" s="3325"/>
      <c r="H49" s="2131" t="s">
        <v>2132</v>
      </c>
      <c r="I49" s="2132"/>
      <c r="J49" s="2307">
        <v>4</v>
      </c>
      <c r="K49" s="3294" t="str">
        <f>IF(项目基本情况!E8="房地产抵押价值","房地产抵押价值","抵押担保权已注销时的房地产抵押价值")</f>
        <v>房地产抵押价值</v>
      </c>
      <c r="L49" s="3294"/>
      <c r="M49" s="3297">
        <f ca="1">IF(项目基本情况!E8="房地产抵押价值",H107,H109)</f>
        <v>134951</v>
      </c>
      <c r="N49" s="3297"/>
      <c r="O49" s="3297"/>
    </row>
    <row r="50" spans="1:35" ht="25.5" customHeight="1">
      <c r="A50" s="2335"/>
      <c r="B50" s="3342" t="s">
        <v>1344</v>
      </c>
      <c r="C50" s="3342"/>
      <c r="D50" s="2186"/>
      <c r="E50" s="322"/>
      <c r="F50" s="2230"/>
      <c r="G50" s="3326"/>
      <c r="H50" s="2133" t="s">
        <v>2133</v>
      </c>
      <c r="I50" s="2132"/>
      <c r="J50" s="3293" t="s">
        <v>1345</v>
      </c>
      <c r="K50" s="3293"/>
      <c r="L50" s="3293"/>
      <c r="M50" s="3293"/>
      <c r="N50" s="3293"/>
      <c r="O50" s="3293"/>
    </row>
    <row r="51" spans="1:35" ht="20.45" customHeight="1">
      <c r="A51" s="2336"/>
      <c r="B51" s="3342" t="s">
        <v>1346</v>
      </c>
      <c r="C51" s="3342"/>
      <c r="D51" s="1021"/>
      <c r="E51" s="318"/>
      <c r="F51" s="2230"/>
      <c r="G51" s="3327"/>
      <c r="H51" s="2133" t="s">
        <v>2134</v>
      </c>
      <c r="I51" s="2132"/>
      <c r="J51" s="2308" t="s">
        <v>1347</v>
      </c>
      <c r="K51" s="3294" t="s">
        <v>1348</v>
      </c>
      <c r="L51" s="3294"/>
      <c r="M51" s="2308" t="s">
        <v>1349</v>
      </c>
      <c r="N51" s="2308" t="s">
        <v>1350</v>
      </c>
      <c r="O51" s="2308" t="s">
        <v>1351</v>
      </c>
    </row>
    <row r="52" spans="1:35" ht="24" customHeight="1">
      <c r="A52" s="2150" t="s">
        <v>1352</v>
      </c>
      <c r="B52" s="3342" t="s">
        <v>1353</v>
      </c>
      <c r="C52" s="3342"/>
      <c r="D52" s="1021">
        <f ca="1">ROUND(D45*'数据-取费表'!B41/(1+'数据-取费表'!C42),0)</f>
        <v>7197</v>
      </c>
      <c r="E52" s="1253" t="s">
        <v>1354</v>
      </c>
      <c r="F52" s="2337">
        <f>'数据-取费表'!B41</f>
        <v>5.6000000000000001E-2</v>
      </c>
      <c r="G52" s="2338"/>
      <c r="H52" s="2328"/>
      <c r="I52" s="1666"/>
      <c r="J52" s="2307">
        <v>1</v>
      </c>
      <c r="K52" s="3319" t="s">
        <v>1355</v>
      </c>
      <c r="L52" s="3319"/>
      <c r="M52" s="2309" t="b">
        <f>D48</f>
        <v>0</v>
      </c>
      <c r="N52" s="2307" t="str">
        <f>E48</f>
        <v>销售额×税（费）率</v>
      </c>
      <c r="O52" s="2310">
        <f>F48</f>
        <v>5.6000000000000001E-2</v>
      </c>
    </row>
    <row r="53" spans="1:35" ht="12" customHeight="1">
      <c r="A53" s="2150" t="s">
        <v>1356</v>
      </c>
      <c r="B53" s="3343" t="s">
        <v>2280</v>
      </c>
      <c r="C53" s="3344"/>
      <c r="D53" s="1021">
        <f ca="1">ROUND(D45*'数据-取费表'!B41/(1+'数据-取费表'!C42),0)</f>
        <v>7197</v>
      </c>
      <c r="E53" s="1253" t="s">
        <v>1354</v>
      </c>
      <c r="F53" s="2337">
        <f>'数据-取费表'!B41</f>
        <v>5.6000000000000001E-2</v>
      </c>
      <c r="G53" s="2338"/>
      <c r="H53" s="2328"/>
      <c r="I53" s="1666"/>
      <c r="J53" s="2307">
        <v>2</v>
      </c>
      <c r="K53" s="3319" t="s">
        <v>1357</v>
      </c>
      <c r="L53" s="3319"/>
      <c r="M53" s="2309">
        <f t="shared" ref="M53:O54" ca="1" si="0">D55</f>
        <v>67</v>
      </c>
      <c r="N53" s="2307" t="str">
        <f t="shared" si="0"/>
        <v>销售额×税（费）率</v>
      </c>
      <c r="O53" s="2310" t="str">
        <f t="shared" si="0"/>
        <v>免征</v>
      </c>
    </row>
    <row r="54" spans="1:35" ht="12" customHeight="1">
      <c r="A54" s="2150" t="s">
        <v>1358</v>
      </c>
      <c r="B54" s="3343" t="s">
        <v>2281</v>
      </c>
      <c r="C54" s="3344"/>
      <c r="D54" s="1021">
        <f ca="1">C68</f>
        <v>7197</v>
      </c>
      <c r="E54" s="318" t="s">
        <v>1359</v>
      </c>
      <c r="F54" s="2337">
        <f>'数据-取费表'!B41</f>
        <v>5.6000000000000001E-2</v>
      </c>
      <c r="G54" s="2338"/>
      <c r="H54" s="2339"/>
      <c r="I54" s="1666"/>
      <c r="J54" s="2307">
        <v>3</v>
      </c>
      <c r="K54" s="3319" t="s">
        <v>1360</v>
      </c>
      <c r="L54" s="3319"/>
      <c r="M54" s="2309">
        <f t="shared" ca="1" si="0"/>
        <v>76383</v>
      </c>
      <c r="N54" s="2307" t="str">
        <f t="shared" si="0"/>
        <v>增值额×税（费）率</v>
      </c>
      <c r="O54" s="2311" t="str">
        <f t="shared" si="0"/>
        <v>免征</v>
      </c>
    </row>
    <row r="55" spans="1:35" ht="24" customHeight="1">
      <c r="A55" s="3379" t="s">
        <v>1361</v>
      </c>
      <c r="B55" s="3357"/>
      <c r="C55" s="3357"/>
      <c r="D55" s="12">
        <f ca="1">IF(H55="个人住宅",0,ROUND(D45*I55,0))</f>
        <v>67</v>
      </c>
      <c r="E55" s="1253" t="s">
        <v>1362</v>
      </c>
      <c r="F55" s="2337" t="str">
        <f>IF(H55="正常",I55,"免征")</f>
        <v>免征</v>
      </c>
      <c r="G55" s="2338"/>
      <c r="H55" s="2334"/>
      <c r="I55" s="156">
        <f>'数据-取费表'!B49</f>
        <v>5.0000000000000001E-4</v>
      </c>
      <c r="J55" s="2307">
        <f>IF(H59="非个人房产","",4)</f>
        <v>4</v>
      </c>
      <c r="K55" s="3319" t="str">
        <f>IF(H59="非个人房产","——","个人所得税")</f>
        <v>个人所得税</v>
      </c>
      <c r="L55" s="3319"/>
      <c r="M55" s="2312">
        <f ca="1">D59</f>
        <v>1285</v>
      </c>
      <c r="N55" s="1880" t="str">
        <f>E59</f>
        <v>差额计税</v>
      </c>
      <c r="O55" s="2313">
        <f>F59</f>
        <v>0.01</v>
      </c>
    </row>
    <row r="56" spans="1:35" ht="24.75">
      <c r="A56" s="3379" t="s">
        <v>1363</v>
      </c>
      <c r="B56" s="3357"/>
      <c r="C56" s="3357"/>
      <c r="D56" s="12">
        <f ca="1">IF(H56="个人住宅",D57,D58)</f>
        <v>76383</v>
      </c>
      <c r="E56" s="1253" t="s">
        <v>1364</v>
      </c>
      <c r="F56" s="2337" t="str">
        <f>IF(H56="正常",F58,"免征")</f>
        <v>免征</v>
      </c>
      <c r="G56" s="2340" t="s">
        <v>1365</v>
      </c>
      <c r="H56" s="2341"/>
      <c r="I56" s="1667"/>
      <c r="J56" s="2307" t="str">
        <f>IF(项目基本情况!K6="上海银行",IF(J55="",4,J55+1),"")</f>
        <v/>
      </c>
      <c r="K56" s="3300" t="str">
        <f>IF(项目基本情况!K6="上海银行","其他处置费用","")</f>
        <v/>
      </c>
      <c r="L56" s="3301"/>
      <c r="M56" s="2309" t="str">
        <f>IF(项目基本情况!K6="上海银行",M69,"")</f>
        <v/>
      </c>
      <c r="N56" s="3300" t="str">
        <f>IF(项目基本情况!K6="上海银行","包含处置中涉及的律师、诉讼、拍卖、评估等费用","")</f>
        <v/>
      </c>
      <c r="O56" s="3303"/>
    </row>
    <row r="57" spans="1:35" ht="12.75">
      <c r="A57" s="2150" t="s">
        <v>1341</v>
      </c>
      <c r="B57" s="3343" t="s">
        <v>1366</v>
      </c>
      <c r="C57" s="3344"/>
      <c r="D57" s="1475">
        <v>0</v>
      </c>
      <c r="E57" s="315" t="s">
        <v>1343</v>
      </c>
      <c r="F57" s="293"/>
      <c r="G57" s="2338"/>
      <c r="H57" s="2342"/>
      <c r="I57" s="1667"/>
      <c r="J57" s="3319">
        <f>IF(AND(J55="",J56=""),4,IF(项目基本情况!K6="上海银行",结果表!J56+1,结果表!J55+1))</f>
        <v>5</v>
      </c>
      <c r="K57" s="3319" t="s">
        <v>1367</v>
      </c>
      <c r="L57" s="2314" t="s">
        <v>1368</v>
      </c>
      <c r="M57" s="2315"/>
      <c r="N57" s="2316">
        <f ca="1">SUMIF(M52:M56,"&lt;9e307")</f>
        <v>77735</v>
      </c>
      <c r="O57" s="2317"/>
      <c r="P57" s="2462">
        <f ca="1">N57/M49</f>
        <v>0.57602389015272215</v>
      </c>
    </row>
    <row r="58" spans="1:35" ht="24.75">
      <c r="A58" s="2150" t="s">
        <v>1352</v>
      </c>
      <c r="B58" s="3343" t="s">
        <v>1369</v>
      </c>
      <c r="C58" s="3342"/>
      <c r="D58" s="12">
        <f ca="1">IF(H58="转让取得",C81,C97)</f>
        <v>76383</v>
      </c>
      <c r="E58" s="1253" t="s">
        <v>1364</v>
      </c>
      <c r="F58" s="293" t="s">
        <v>28</v>
      </c>
      <c r="G58" s="2338"/>
      <c r="H58" s="2341"/>
      <c r="I58" s="1667"/>
      <c r="J58" s="3319"/>
      <c r="K58" s="3319"/>
      <c r="L58" s="2314" t="s">
        <v>1370</v>
      </c>
      <c r="M58" s="2318"/>
      <c r="N58" s="2319" t="str">
        <f ca="1">NUMBERSTRING(INT(N57*10000),2)&amp;"元整"</f>
        <v>柒亿柒仟柒佰叁拾伍万元整</v>
      </c>
      <c r="O58" s="2320"/>
    </row>
    <row r="59" spans="1:35" ht="24.75" thickBot="1">
      <c r="A59" s="3323" t="s">
        <v>1371</v>
      </c>
      <c r="B59" s="3324"/>
      <c r="C59" s="3324"/>
      <c r="D59" s="2343">
        <f ca="1">IF(H59="非个人房产","——",IF(H59="个人住宅（满五唯一有凭证）",0,IF(H59="个人其他（无凭证）",ROUND(D45*F59,0),ROUND(C67*F59,0))))</f>
        <v>1285</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2135</v>
      </c>
      <c r="J59" s="3321">
        <f>J57+1</f>
        <v>6</v>
      </c>
      <c r="K59" s="3319" t="s">
        <v>1372</v>
      </c>
      <c r="L59" s="2307" t="s">
        <v>1368</v>
      </c>
      <c r="M59" s="2321"/>
      <c r="N59" s="2322">
        <f ca="1">M49-N57</f>
        <v>57216</v>
      </c>
      <c r="O59" s="2323"/>
    </row>
    <row r="60" spans="1:35" ht="12" customHeight="1">
      <c r="A60" s="1668"/>
      <c r="B60" s="644"/>
      <c r="C60" s="644"/>
      <c r="D60" s="644"/>
      <c r="E60" s="1463"/>
      <c r="F60" s="1667"/>
      <c r="G60" s="1667"/>
      <c r="H60" s="150"/>
      <c r="I60" s="120"/>
      <c r="J60" s="3322"/>
      <c r="K60" s="3319"/>
      <c r="L60" s="2314" t="s">
        <v>1370</v>
      </c>
      <c r="M60" s="2318"/>
      <c r="N60" s="2319" t="str">
        <f ca="1">NUMBERSTRING(INT(N59*10000),2)&amp;"元整"</f>
        <v>伍亿柒仟贰佰壹拾陆万元整</v>
      </c>
      <c r="O60" s="2320"/>
    </row>
    <row r="61" spans="1:35" ht="13.5" thickBot="1">
      <c r="A61" s="3378" t="s">
        <v>1373</v>
      </c>
      <c r="B61" s="3378"/>
      <c r="C61" s="3378"/>
      <c r="D61" s="3378"/>
      <c r="E61" s="3378"/>
      <c r="F61" s="1667"/>
      <c r="G61" s="1667"/>
      <c r="H61" s="150"/>
      <c r="I61" s="120"/>
      <c r="J61" s="2307">
        <f>J59+1</f>
        <v>7</v>
      </c>
      <c r="K61" s="3319" t="s">
        <v>1374</v>
      </c>
      <c r="L61" s="3319"/>
      <c r="M61" s="2324"/>
      <c r="N61" s="2325">
        <f ca="1">ROUND(N59*10000/'数据-汇总表'!E3,0)</f>
        <v>6852</v>
      </c>
      <c r="O61" s="2326"/>
    </row>
    <row r="62" spans="1:35" ht="12.75">
      <c r="A62" s="3338" t="s">
        <v>1375</v>
      </c>
      <c r="B62" s="3339"/>
      <c r="C62" s="1862"/>
      <c r="D62" s="1862" t="s">
        <v>1376</v>
      </c>
      <c r="E62" s="157" t="s">
        <v>1377</v>
      </c>
      <c r="F62" s="1667"/>
      <c r="G62" s="1667"/>
      <c r="H62" s="150"/>
      <c r="I62" s="120"/>
    </row>
    <row r="63" spans="1:35" ht="12.75">
      <c r="A63" s="164" t="s">
        <v>330</v>
      </c>
      <c r="B63" s="158" t="s">
        <v>1378</v>
      </c>
      <c r="C63" s="2347">
        <f ca="1">ROUND((C64+C65)/(1+'数据-取费表'!C42),0)</f>
        <v>128525</v>
      </c>
      <c r="D63" s="158"/>
      <c r="E63" s="159"/>
      <c r="F63" s="1667"/>
      <c r="G63" s="1667"/>
      <c r="H63" s="150"/>
      <c r="I63" s="120"/>
      <c r="J63" s="3302" t="s">
        <v>1379</v>
      </c>
      <c r="K63" s="1242" t="s">
        <v>1380</v>
      </c>
      <c r="L63" s="1242">
        <f ca="1">IF(M49&gt;10000,M49*0.5%,IF(AND(M49&gt;1000,M49&lt;=10000),M49*1%,IF(AND(M49&gt;100,M49&lt;=1000),M49*3%,IF(AND(M49&gt;10,M49&lt;=100),M49*5%,M49*8%))))</f>
        <v>674.755</v>
      </c>
      <c r="M63" s="293">
        <f ca="1">ROUND(L63,1)</f>
        <v>674.8</v>
      </c>
      <c r="N63" s="2327"/>
      <c r="Z63" s="1620"/>
      <c r="AI63" s="1558"/>
    </row>
    <row r="64" spans="1:35" ht="14.25" customHeight="1">
      <c r="A64" s="160" t="s">
        <v>325</v>
      </c>
      <c r="B64" s="161" t="s">
        <v>1381</v>
      </c>
      <c r="C64" s="2348">
        <f ca="1">D45</f>
        <v>134951</v>
      </c>
      <c r="D64" s="161" t="s">
        <v>26</v>
      </c>
      <c r="E64" s="163"/>
      <c r="F64" s="1667"/>
      <c r="G64" s="1667"/>
      <c r="H64" s="150"/>
      <c r="I64" s="120"/>
      <c r="J64" s="3302"/>
      <c r="K64" s="1242" t="s">
        <v>1382</v>
      </c>
      <c r="L64" s="1242">
        <f ca="1">IF(M49&gt;2000,M49*0.5%,IF(AND(M49&gt;1000,M49&lt;=2000),M49*0.6%,IF(AND(M49&gt;500,M49&lt;=1000),M49*0.7%,IF(AND(M49&gt;200,M49&lt;=500),M49*0.8%,IF(AND(M49&gt;100,M49&lt;=200),M49*0.9%,IF(AND(M49&gt;50,M49&lt;=100),M49*1%,IF(AND(M49&gt;20,M49&lt;=50),M49*1.5%,IF(AND(M49&gt;10,M49&lt;=20),M49*2%,IF(AND(M49&gt;1,M49&lt;=10),M49*2.5%)))))))))</f>
        <v>674.755</v>
      </c>
      <c r="M64" s="293">
        <f t="shared" ref="M64:M65" ca="1" si="1">ROUND(L64,1)</f>
        <v>674.8</v>
      </c>
      <c r="N64" s="2328" t="s">
        <v>1383</v>
      </c>
      <c r="Z64" s="1620"/>
      <c r="AI64" s="1558"/>
    </row>
    <row r="65" spans="1:35" ht="14.25" customHeight="1">
      <c r="A65" s="160" t="s">
        <v>326</v>
      </c>
      <c r="B65" s="161" t="s">
        <v>1384</v>
      </c>
      <c r="C65" s="2349"/>
      <c r="D65" s="161"/>
      <c r="E65" s="163"/>
      <c r="F65" s="1667"/>
      <c r="G65" s="1667"/>
      <c r="H65" s="150"/>
      <c r="I65" s="120"/>
      <c r="J65" s="3302"/>
      <c r="K65" s="1242" t="s">
        <v>1385</v>
      </c>
      <c r="L65" s="1242">
        <f ca="1">IF(M49&gt;1000,M49*0.1%,IF(AND(M49&gt;500,M49&lt;=1000),M49*0.5%,IF(AND(M49&gt;50,M49&lt;=500),M49*1%,IF(AND(M49&gt;1,M49&lt;=50),M49*1.5%))))</f>
        <v>134.95099999999999</v>
      </c>
      <c r="M65" s="293">
        <f t="shared" ca="1" si="1"/>
        <v>135</v>
      </c>
      <c r="N65" s="2328" t="s">
        <v>1383</v>
      </c>
      <c r="Z65" s="1620"/>
      <c r="AI65" s="1558"/>
    </row>
    <row r="66" spans="1:35" ht="14.25" customHeight="1">
      <c r="A66" s="164" t="s">
        <v>327</v>
      </c>
      <c r="B66" s="165" t="s">
        <v>1386</v>
      </c>
      <c r="C66" s="2350"/>
      <c r="D66" s="165" t="s">
        <v>26</v>
      </c>
      <c r="E66" s="1248" t="s">
        <v>671</v>
      </c>
      <c r="F66" s="1667"/>
      <c r="G66" s="1667"/>
      <c r="H66" s="150"/>
      <c r="I66" s="120"/>
      <c r="J66" s="3302"/>
      <c r="K66" s="1242" t="s">
        <v>1387</v>
      </c>
      <c r="L66" s="1242">
        <f ca="1">M49*0.5%</f>
        <v>674.755</v>
      </c>
      <c r="M66" s="293">
        <f ca="1">IF(L66&gt;0.5,0.5,ROUND(L66,0))</f>
        <v>0.5</v>
      </c>
      <c r="N66" s="2328" t="s">
        <v>1388</v>
      </c>
      <c r="Z66" s="1620"/>
      <c r="AI66" s="1558"/>
    </row>
    <row r="67" spans="1:35" ht="14.25" customHeight="1">
      <c r="A67" s="164" t="s">
        <v>328</v>
      </c>
      <c r="B67" s="165" t="s">
        <v>1389</v>
      </c>
      <c r="C67" s="2351">
        <f ca="1">C63-C66</f>
        <v>128525</v>
      </c>
      <c r="D67" s="161" t="s">
        <v>26</v>
      </c>
      <c r="E67" s="163"/>
      <c r="F67" s="1667"/>
      <c r="G67" s="1667"/>
      <c r="H67" s="150"/>
      <c r="I67" s="120"/>
      <c r="J67" s="3302"/>
      <c r="K67" s="1242" t="s">
        <v>1390</v>
      </c>
      <c r="L67" s="1242">
        <f ca="1">IF(M49&gt;=10000,(8.25+(M49-10000)*0.01%),IF(AND(M49&gt;=8000,M49&lt;10000),(7.85+(M49-8000)*0.02%),IF(AND(M49&gt;=5000,M49&lt;8000),(6.65+(M49-5000)*0.04%),IF(AND(M49&gt;=2000,M49&lt;5000),(4.25+(PM49-2000)*0.08%),IF(AND(M49&gt;=1000,M49&lt;2000),(2.75+(M49-1000)*0.15%),IF(AND(M49&gt;=100,M49&lt;1000),(0.5+(M49-100)*0.25%),IF(AND(M49&gt;0,M49&lt;100),M49*0.5%)))))))</f>
        <v>20.745100000000001</v>
      </c>
      <c r="M67" s="293">
        <f ca="1">ROUND(L67*0.9,1)</f>
        <v>18.7</v>
      </c>
      <c r="N67" s="2327"/>
      <c r="Z67" s="1620"/>
      <c r="AI67" s="1558"/>
    </row>
    <row r="68" spans="1:35" ht="14.25" customHeight="1" thickBot="1">
      <c r="A68" s="167" t="s">
        <v>329</v>
      </c>
      <c r="B68" s="168" t="s">
        <v>1391</v>
      </c>
      <c r="C68" s="2352">
        <f ca="1">IF(C67&lt;=0,0,ROUND(C67*D68,0))</f>
        <v>7197</v>
      </c>
      <c r="D68" s="2353">
        <f>'数据-取费表'!B41</f>
        <v>5.6000000000000001E-2</v>
      </c>
      <c r="E68" s="169"/>
      <c r="F68" s="1667"/>
      <c r="G68" s="1667"/>
      <c r="H68" s="150"/>
      <c r="I68" s="120"/>
      <c r="J68" s="3302"/>
      <c r="K68" s="1242" t="s">
        <v>1392</v>
      </c>
      <c r="L68" s="1242">
        <f ca="1">IF(M49&gt;10000,M49*0.5%,IF(AND(M49&gt;5000,M49&lt;=10000),M49*1%,IF(AND(M49&gt;1000,M49&lt;=5000),M49*2%,IF(AND(M49&gt;200,M49&lt;=1000),M49*3%,M49*5%))))</f>
        <v>674.755</v>
      </c>
      <c r="M68" s="293">
        <f ca="1">ROUND(L68,1)</f>
        <v>674.8</v>
      </c>
      <c r="N68" s="2327"/>
      <c r="Z68" s="1620"/>
      <c r="AI68" s="1558"/>
    </row>
    <row r="69" spans="1:35" ht="16.5" customHeight="1">
      <c r="A69" s="1669"/>
      <c r="B69" s="1670"/>
      <c r="C69" s="1671"/>
      <c r="D69" s="1672"/>
      <c r="E69" s="1673"/>
      <c r="F69" s="1463"/>
      <c r="G69" s="1463"/>
      <c r="H69" s="1464"/>
      <c r="I69" s="644"/>
      <c r="J69" s="3302"/>
      <c r="K69" s="1242" t="s">
        <v>1393</v>
      </c>
      <c r="L69" s="1242"/>
      <c r="M69" s="293">
        <f ca="1">ROUND(SUM(M63:M68),0)</f>
        <v>2179</v>
      </c>
      <c r="N69" s="2329">
        <f ca="1">M69/M49</f>
        <v>1.6146601359011789E-2</v>
      </c>
      <c r="Z69" s="1620"/>
      <c r="AI69" s="1558"/>
    </row>
    <row r="70" spans="1:35" s="640" customFormat="1" ht="15" thickBot="1">
      <c r="A70" s="3346" t="s">
        <v>1394</v>
      </c>
      <c r="B70" s="3347"/>
      <c r="C70" s="3347"/>
      <c r="D70" s="3347"/>
      <c r="E70" s="3347"/>
      <c r="F70" s="3347"/>
      <c r="G70" s="3347"/>
      <c r="H70" s="3347"/>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38" t="s">
        <v>1375</v>
      </c>
      <c r="B71" s="333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51">
        <f ca="1">ROUND(D45/(1+'数据-取费表'!C42),0)</f>
        <v>128525</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51">
        <f ca="1">C74+C78</f>
        <v>771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7">
        <v>0.05</v>
      </c>
      <c r="E76" s="3343" t="s">
        <v>1402</v>
      </c>
      <c r="F76" s="3342"/>
      <c r="G76" s="3342"/>
      <c r="H76" s="334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9">
        <f ca="1">ROUND(D45*D78/(1+'数据-取费表'!C42),0)</f>
        <v>771</v>
      </c>
      <c r="D78" s="2360">
        <f>'数据-取费表'!B43</f>
        <v>6.000000000000001E-3</v>
      </c>
      <c r="E78" s="3335" t="s">
        <v>1406</v>
      </c>
      <c r="F78" s="3336"/>
      <c r="G78" s="3336"/>
      <c r="H78" s="333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51">
        <f ca="1">C72-C73</f>
        <v>127754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61">
        <f ca="1">IF(C79&lt;=0,0,C79/C73)</f>
        <v>165.69909208819715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62">
        <f ca="1">ROUND(IF(C79&lt;=0,0,IF(C80&gt;=200%,C79*60%-C73*35%,IF(C80&gt;=100%,C79*50%-C73*15%,IF(C80&gt;=50%,C79*40%-C73*5%,IF(C80&lt;50%,C79*30%,0))))),0)</f>
        <v>76383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46" t="s">
        <v>1410</v>
      </c>
      <c r="B83" s="3347"/>
      <c r="C83" s="3347"/>
      <c r="D83" s="3347"/>
      <c r="E83" s="3347"/>
      <c r="F83" s="3347"/>
      <c r="G83" s="3347"/>
      <c r="H83" s="334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38" t="s">
        <v>1375</v>
      </c>
      <c r="B84" s="3339"/>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51">
        <f ca="1">ROUND(D45/(1+'数据-取费表'!C42),0)</f>
        <v>128525</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51">
        <f ca="1">IF(H88="仅含出让金",C87+C90+C91+C92+C93+C94,C87+C91+C92+C93+C94)</f>
        <v>771</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65"/>
      <c r="D88" s="2360"/>
      <c r="E88" s="184" t="s">
        <v>1413</v>
      </c>
      <c r="F88" s="2145"/>
      <c r="G88" s="185" t="s">
        <v>1414</v>
      </c>
      <c r="H88" s="1681"/>
      <c r="I88" s="1678"/>
      <c r="J88" s="2305" t="s">
        <v>2277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9">
        <f>ROUND(C88*D89,0)</f>
        <v>0</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65"/>
      <c r="D90" s="2360"/>
      <c r="E90" s="184" t="str">
        <f>IF(H88="-","土地取得成本中已包含该笔费用"," ")</f>
        <v xml:space="preserve"> </v>
      </c>
      <c r="F90" s="2145"/>
      <c r="G90" s="3304" t="s">
        <v>2127</v>
      </c>
      <c r="H90" s="3305"/>
      <c r="I90" s="1678"/>
      <c r="J90" s="2305" t="s">
        <v>2278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9">
        <f>IF(H91="——",成本法!C33,I91)</f>
        <v>0</v>
      </c>
      <c r="D91" s="2360"/>
      <c r="E91" s="3335" t="s">
        <v>1419</v>
      </c>
      <c r="F91" s="3336"/>
      <c r="G91" s="3336"/>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9">
        <f>ROUND((C87+C90+C91)*D92,0)</f>
        <v>0</v>
      </c>
      <c r="D92" s="2366"/>
      <c r="E92" s="3335" t="s">
        <v>1422</v>
      </c>
      <c r="F92" s="3336"/>
      <c r="G92" s="3336"/>
      <c r="H92" s="3337"/>
      <c r="I92" s="1678"/>
      <c r="J92" s="2306" t="s">
        <v>2279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9">
        <f ca="1">ROUND(D45*D93/(1+'数据-取费表'!C42),0)</f>
        <v>771</v>
      </c>
      <c r="D93" s="2360">
        <f>'数据-取费表'!B43</f>
        <v>6.000000000000001E-3</v>
      </c>
      <c r="E93" s="3335" t="s">
        <v>1406</v>
      </c>
      <c r="F93" s="3336"/>
      <c r="G93" s="3336"/>
      <c r="H93" s="333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5">
        <f>ROUND((C87+C90+C91)*D94,0)</f>
        <v>0</v>
      </c>
      <c r="D94" s="2360">
        <v>0.2</v>
      </c>
      <c r="E94" s="3380" t="s">
        <v>1426</v>
      </c>
      <c r="F94" s="3381"/>
      <c r="G94" s="3381"/>
      <c r="H94" s="338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51">
        <f ca="1">ROUND(C85-C86,0)</f>
        <v>127754</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61">
        <f ca="1">IF(C95&lt;=0,0,C95/C86)</f>
        <v>165.69909208819715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62">
        <f ca="1">ROUND(IF(C95&lt;=0,0,IF(C96&gt;=200%,C95*60%-C86*35%,IF(C96&gt;=100%,C95*50%-C86*15%,IF(C96&gt;=50%,C95*40%-C86*5%,IF(C96&lt;50%,C95*30%,0))))),0)</f>
        <v>76383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85" t="s">
        <v>1428</v>
      </c>
      <c r="B100" s="3286"/>
      <c r="C100" s="3286"/>
      <c r="D100" s="3320"/>
      <c r="E100" s="3286" t="s">
        <v>1429</v>
      </c>
      <c r="F100" s="3286"/>
      <c r="G100" s="3286"/>
      <c r="H100" s="3320"/>
      <c r="I100" s="120"/>
    </row>
    <row r="101" spans="1:35" ht="18.75" customHeight="1">
      <c r="A101" s="3328" t="s">
        <v>1430</v>
      </c>
      <c r="B101" s="3329"/>
      <c r="C101" s="2368" t="str">
        <f>C4</f>
        <v>比较法-办公</v>
      </c>
      <c r="D101" s="2369" t="str">
        <f>D4</f>
        <v>收益法</v>
      </c>
      <c r="E101" s="3298" t="s">
        <v>1431</v>
      </c>
      <c r="F101" s="3299"/>
      <c r="G101" s="1684" t="s">
        <v>1432</v>
      </c>
      <c r="H101" s="2378">
        <f ca="1">H118</f>
        <v>134951</v>
      </c>
      <c r="I101" s="120"/>
    </row>
    <row r="102" spans="1:35" ht="18.75" customHeight="1">
      <c r="A102" s="3330" t="s">
        <v>1433</v>
      </c>
      <c r="B102" s="2367" t="s">
        <v>1432</v>
      </c>
      <c r="C102" s="2368">
        <f ca="1">IF(D32="楼面单价",ROUND(C19,0),C19)</f>
        <v>147180</v>
      </c>
      <c r="D102" s="2369">
        <f ca="1">IF(D32="楼面单价",ROUND(D19,0),D19)</f>
        <v>116607</v>
      </c>
      <c r="E102" s="3298"/>
      <c r="F102" s="3299"/>
      <c r="G102" s="1684" t="s">
        <v>1434</v>
      </c>
      <c r="H102" s="2338">
        <f ca="1">I118</f>
        <v>39117</v>
      </c>
      <c r="I102" s="120"/>
    </row>
    <row r="103" spans="1:35" ht="42.75" customHeight="1">
      <c r="A103" s="3330"/>
      <c r="B103" s="2367" t="s">
        <v>1434</v>
      </c>
      <c r="C103" s="2370">
        <f ca="1">C20</f>
        <v>42662</v>
      </c>
      <c r="D103" s="2371">
        <f ca="1">D20</f>
        <v>33800</v>
      </c>
      <c r="E103" s="3291" t="s">
        <v>1435</v>
      </c>
      <c r="F103" s="3292"/>
      <c r="G103" s="1685" t="s">
        <v>1436</v>
      </c>
      <c r="H103" s="2378">
        <f>IF(D36="正常操作",H104+H105+H106,H105+H106)</f>
        <v>0</v>
      </c>
      <c r="I103" s="120"/>
    </row>
    <row r="104" spans="1:35" ht="18.75" customHeight="1">
      <c r="A104" s="3330" t="s">
        <v>1437</v>
      </c>
      <c r="B104" s="2372" t="s">
        <v>1432</v>
      </c>
      <c r="C104" s="2373">
        <f ca="1">H118</f>
        <v>134951</v>
      </c>
      <c r="D104" s="2374"/>
      <c r="E104" s="1552" t="s">
        <v>1438</v>
      </c>
      <c r="F104" s="1545"/>
      <c r="G104" s="1685" t="s">
        <v>1436</v>
      </c>
      <c r="H104" s="2379">
        <f>IF(D36="同一抵押权人同一抵押物续贷",C36&amp;"（续贷，未扣减，详见特别提示）",C36)</f>
        <v>0</v>
      </c>
      <c r="I104" s="120"/>
    </row>
    <row r="105" spans="1:35" ht="18.75" customHeight="1" thickBot="1">
      <c r="A105" s="3340"/>
      <c r="B105" s="2375" t="s">
        <v>1434</v>
      </c>
      <c r="C105" s="2376">
        <f ca="1">I118</f>
        <v>39117</v>
      </c>
      <c r="D105" s="2377"/>
      <c r="E105" s="1552" t="s">
        <v>1439</v>
      </c>
      <c r="F105" s="1545"/>
      <c r="G105" s="1685" t="s">
        <v>1436</v>
      </c>
      <c r="H105" s="2380">
        <f>C37</f>
        <v>0</v>
      </c>
      <c r="I105" s="120"/>
    </row>
    <row r="106" spans="1:35" ht="18.75" customHeight="1">
      <c r="A106" s="644" t="s">
        <v>1440</v>
      </c>
      <c r="B106" s="644"/>
      <c r="C106" s="644"/>
      <c r="D106" s="644"/>
      <c r="E106" s="1686" t="s">
        <v>1441</v>
      </c>
      <c r="F106" s="1545"/>
      <c r="G106" s="1685" t="s">
        <v>1436</v>
      </c>
      <c r="H106" s="2380">
        <f>C38</f>
        <v>0</v>
      </c>
      <c r="I106" s="120"/>
    </row>
    <row r="107" spans="1:35" ht="18.75" customHeight="1">
      <c r="A107" s="120"/>
      <c r="B107" s="120"/>
      <c r="C107" s="120"/>
      <c r="D107" s="120"/>
      <c r="E107" s="3331" t="str">
        <f>IF(项目基本情况!E8="已注销","——","3.房地产抵押价值")</f>
        <v>3.房地产抵押价值</v>
      </c>
      <c r="F107" s="3299"/>
      <c r="G107" s="1684" t="s">
        <v>1432</v>
      </c>
      <c r="H107" s="2378">
        <f ca="1">IF(E107="——","——",H101-H103)</f>
        <v>134951</v>
      </c>
      <c r="I107" s="120"/>
    </row>
    <row r="108" spans="1:35" ht="18.75" customHeight="1">
      <c r="A108" s="120"/>
      <c r="B108" s="120"/>
      <c r="C108" s="120"/>
      <c r="D108" s="120"/>
      <c r="E108" s="3331"/>
      <c r="F108" s="3299"/>
      <c r="G108" s="1684" t="s">
        <v>1434</v>
      </c>
      <c r="H108" s="2338">
        <f ca="1">IF(H107=H101,H102,ROUND(H107*10000/'数据-汇总表'!E3,0))</f>
        <v>39117</v>
      </c>
      <c r="I108" s="120"/>
    </row>
    <row r="109" spans="1:35" ht="18.75" customHeight="1">
      <c r="A109" s="120"/>
      <c r="B109" s="120"/>
      <c r="C109" s="120"/>
      <c r="D109" s="120"/>
      <c r="E109" s="3331" t="str">
        <f>IF(项目基本情况!E8="已注销及未注销","4.抵押担保权已注销时的房地产抵押价值",IF(项目基本情况!E8="已注销","3.抵押担保权已注销时的房地产抵押价值","——"))</f>
        <v>——</v>
      </c>
      <c r="F109" s="3299"/>
      <c r="G109" s="1684" t="s">
        <v>1432</v>
      </c>
      <c r="H109" s="2381" t="str">
        <f>IF(E109="——","——",H101-H105-H106)</f>
        <v>——</v>
      </c>
      <c r="I109" s="120"/>
    </row>
    <row r="110" spans="1:35" ht="18.75" customHeight="1">
      <c r="A110" s="120"/>
      <c r="B110" s="120"/>
      <c r="C110" s="120"/>
      <c r="D110" s="120"/>
      <c r="E110" s="3331"/>
      <c r="F110" s="3299"/>
      <c r="G110" s="1684" t="s">
        <v>1434</v>
      </c>
      <c r="H110" s="2338" t="str">
        <f>IF(H109="——","——",ROUND(H109*10000/'数据-汇总表'!E3,0))</f>
        <v>——</v>
      </c>
      <c r="I110" s="120"/>
    </row>
    <row r="111" spans="1:35" ht="18.75" customHeight="1">
      <c r="A111" s="120"/>
      <c r="B111" s="120"/>
      <c r="C111" s="120"/>
      <c r="D111" s="120"/>
      <c r="E111" s="3332" t="str">
        <f>IF(项目基本情况!E9="抵押净值",IF(OR(项目基本情况!E8="已注销",项目基本情况!E8="房地产抵押价值"),"4.抵押净值","5.抵押净值"),"——")</f>
        <v>——</v>
      </c>
      <c r="F111" s="3318"/>
      <c r="G111" s="1684" t="s">
        <v>1432</v>
      </c>
      <c r="H111" s="2378" t="str">
        <f>IF(E111="——","——",N59)</f>
        <v>——</v>
      </c>
      <c r="I111" s="120"/>
    </row>
    <row r="112" spans="1:35" ht="18.75" customHeight="1" thickBot="1">
      <c r="A112" s="120"/>
      <c r="B112" s="120"/>
      <c r="C112" s="120"/>
      <c r="D112" s="120"/>
      <c r="E112" s="3333"/>
      <c r="F112" s="3334"/>
      <c r="G112" s="1687" t="s">
        <v>1434</v>
      </c>
      <c r="H112" s="2382" t="str">
        <f>IF(E111="——","——",N61)</f>
        <v>——</v>
      </c>
      <c r="I112" s="120"/>
    </row>
    <row r="113" spans="1:27" ht="18.75" customHeight="1">
      <c r="A113" s="120"/>
      <c r="B113" s="120"/>
      <c r="C113" s="120"/>
      <c r="D113" s="120"/>
      <c r="E113" s="3341" t="s">
        <v>1440</v>
      </c>
      <c r="F113" s="3341"/>
      <c r="G113" s="3341"/>
      <c r="H113" s="3341"/>
      <c r="I113" s="120"/>
    </row>
    <row r="114" spans="1:27" ht="3.75" customHeight="1">
      <c r="A114" s="644"/>
      <c r="B114" s="644"/>
      <c r="C114" s="644"/>
      <c r="D114" s="644"/>
      <c r="E114" s="1668"/>
      <c r="F114" s="1668"/>
      <c r="G114" s="1668"/>
      <c r="H114" s="1668"/>
      <c r="I114" s="644"/>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34499.08</v>
      </c>
      <c r="C118" s="2147">
        <f>M19</f>
        <v>0</v>
      </c>
      <c r="D118" s="2147">
        <f ca="1">ROUND(IF(D32="总价",C34,E118*B118/10000),0)</f>
        <v>111874</v>
      </c>
      <c r="E118" s="2147">
        <f ca="1">ROUND(IF(C33="自定义",IF(D32="楼面单价",C34,D118*10000/B118),I118-G118),0)</f>
        <v>32428</v>
      </c>
      <c r="F118" s="2147">
        <f ca="1">ROUND(IF(D32="总价",C35,G118*B118/10000),0)</f>
        <v>23077</v>
      </c>
      <c r="G118" s="2147">
        <f ca="1">ROUND(IF(D32="楼面单价",C35,F118*10000/B118),0)</f>
        <v>6689</v>
      </c>
      <c r="H118" s="2147">
        <f ca="1">ROUND(IF(D32="总价",C32,I118*B118/10000),0)</f>
        <v>134951</v>
      </c>
      <c r="I118" s="2147">
        <f ca="1">ROUND(IF(D32="楼面单价",C32,H118*10000/B118),0)</f>
        <v>39117</v>
      </c>
    </row>
    <row r="119" spans="1:27" ht="18.75" customHeight="1">
      <c r="A119" s="3306" t="s">
        <v>1452</v>
      </c>
      <c r="B119" s="3306"/>
      <c r="C119" s="3306"/>
      <c r="D119" s="3312" t="str">
        <f ca="1">NUMBERSTRING(INT(D118*10000),2)&amp;"元整"</f>
        <v>壹拾壹亿壹仟捌佰柒拾肆万元整</v>
      </c>
      <c r="E119" s="3313"/>
      <c r="F119" s="3312" t="str">
        <f ca="1">NUMBERSTRING(INT(F118*10000),2)&amp;"元整"</f>
        <v>贰亿叁仟零柒拾柒万元整</v>
      </c>
      <c r="G119" s="3313"/>
      <c r="H119" s="3312" t="str">
        <f ca="1">NUMBERSTRING(INT(H118*10000),2)&amp;"元整"</f>
        <v>壹拾叁亿肆仟玖佰伍拾壹万元整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2" t="s">
        <v>1452</v>
      </c>
      <c r="B121" s="3314"/>
      <c r="C121" s="3313"/>
      <c r="D121" s="3312" t="str">
        <f>IF(D120=0,"零元整",NUMBERSTRING(INT(D120*10000),2)&amp;"元整")</f>
        <v>零元整</v>
      </c>
      <c r="E121" s="3314"/>
      <c r="F121" s="3314"/>
      <c r="G121" s="3314"/>
      <c r="H121" s="3314"/>
      <c r="I121" s="3313"/>
      <c r="AA121" s="682"/>
    </row>
    <row r="122" spans="1:27" ht="18.75" customHeight="1">
      <c r="A122" s="3318" t="str">
        <f>IF(项目基本情况!B9="房地产市场价值","",MID(E107,3,LEN(E107)-2))</f>
        <v>房地产抵押价值</v>
      </c>
      <c r="B122" s="3318"/>
      <c r="C122" s="3318"/>
      <c r="D122" s="3307">
        <f ca="1">H107</f>
        <v>134951</v>
      </c>
      <c r="E122" s="3308"/>
      <c r="F122" s="3308"/>
      <c r="G122" s="3308"/>
      <c r="H122" s="3308"/>
      <c r="I122" s="3309"/>
      <c r="AA122" s="682"/>
    </row>
    <row r="123" spans="1:27" ht="18.75" customHeight="1">
      <c r="A123" s="3306" t="s">
        <v>1452</v>
      </c>
      <c r="B123" s="3306"/>
      <c r="C123" s="3306"/>
      <c r="D123" s="3312" t="str">
        <f ca="1">NUMBERSTRING(INT(D122*10000),2)&amp;"元整"</f>
        <v>壹拾叁亿肆仟玖佰伍拾壹万元整</v>
      </c>
      <c r="E123" s="3314"/>
      <c r="F123" s="3314"/>
      <c r="G123" s="3314"/>
      <c r="H123" s="3314"/>
      <c r="I123" s="3313"/>
      <c r="AA123" s="682"/>
    </row>
    <row r="124" spans="1:27" ht="18.75" customHeight="1">
      <c r="A124" s="3318" t="str">
        <f>IF(项目基本情况!B9="房地产市场价值","",MID(E109,3,LEN(E109)-2))</f>
        <v/>
      </c>
      <c r="B124" s="3318"/>
      <c r="C124" s="3318"/>
      <c r="D124" s="3307" t="str">
        <f>H109</f>
        <v>——</v>
      </c>
      <c r="E124" s="3308"/>
      <c r="F124" s="3308"/>
      <c r="G124" s="3308"/>
      <c r="H124" s="3308"/>
      <c r="I124" s="3309"/>
      <c r="AA124" s="682"/>
    </row>
    <row r="125" spans="1:27" ht="18.75" customHeight="1">
      <c r="A125" s="3306" t="s">
        <v>1452</v>
      </c>
      <c r="B125" s="3306"/>
      <c r="C125" s="3306"/>
      <c r="D125" s="3312" t="e">
        <f>NUMBERSTRING(INT(D124*10000),2)&amp;"元整"</f>
        <v>#VALUE!</v>
      </c>
      <c r="E125" s="3314"/>
      <c r="F125" s="3314"/>
      <c r="G125" s="3314"/>
      <c r="H125" s="3314"/>
      <c r="I125" s="3313"/>
      <c r="AA125" s="682"/>
    </row>
    <row r="126" spans="1:27" ht="18.75" customHeight="1">
      <c r="A126" s="3318" t="str">
        <f>IF(项目基本情况!B9="房地产市场价值","",MID(E111,3,LEN(E111)-2))</f>
        <v/>
      </c>
      <c r="B126" s="3318"/>
      <c r="C126" s="3318"/>
      <c r="D126" s="3307" t="str">
        <f>H111</f>
        <v>——</v>
      </c>
      <c r="E126" s="3308"/>
      <c r="F126" s="3308"/>
      <c r="G126" s="3308"/>
      <c r="H126" s="3308"/>
      <c r="I126" s="3309"/>
      <c r="AA126" s="682"/>
    </row>
    <row r="127" spans="1:27" ht="18.75" customHeight="1">
      <c r="A127" s="3306" t="s">
        <v>1452</v>
      </c>
      <c r="B127" s="3306"/>
      <c r="C127" s="3306"/>
      <c r="D127" s="3312" t="e">
        <f>NUMBERSTRING(INT(D126*10000),2)&amp;"元整"</f>
        <v>#VALUE!</v>
      </c>
      <c r="E127" s="3314"/>
      <c r="F127" s="3314"/>
      <c r="G127" s="3314"/>
      <c r="H127" s="3314"/>
      <c r="I127" s="3313"/>
      <c r="AA127" s="682"/>
    </row>
    <row r="128" spans="1:27" ht="21.75" customHeight="1">
      <c r="A128" s="3315" t="s">
        <v>1453</v>
      </c>
      <c r="B128" s="3315"/>
      <c r="C128" s="3315"/>
      <c r="D128" s="3315"/>
      <c r="E128" s="3315"/>
      <c r="F128" s="3315"/>
      <c r="G128" s="3315"/>
      <c r="H128" s="3315"/>
      <c r="I128" s="331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t="s">
        <v>3537</v>
      </c>
      <c r="C1" s="189"/>
      <c r="D1" s="189"/>
      <c r="E1" s="189"/>
      <c r="F1" s="189"/>
      <c r="G1" s="1059">
        <f>MATCH(B1,'数据-取费表'!A6:A16,0)+5</f>
        <v>6</v>
      </c>
    </row>
    <row r="2" spans="1:9" s="191" customFormat="1" ht="18" customHeight="1">
      <c r="A2" s="192" t="s">
        <v>1462</v>
      </c>
      <c r="B2" s="193">
        <f ca="1">IF(D2="——",C52,C52-E2)</f>
        <v>144161</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41787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85100</v>
      </c>
      <c r="D5" s="202" t="s">
        <v>1469</v>
      </c>
      <c r="E5" s="203" t="s">
        <v>1470</v>
      </c>
      <c r="F5" s="203" t="s">
        <v>1471</v>
      </c>
      <c r="G5" s="204"/>
    </row>
    <row r="6" spans="1:9" s="205" customFormat="1" ht="13.5" customHeight="1">
      <c r="A6" s="730" t="s">
        <v>1472</v>
      </c>
      <c r="B6" s="206" t="s">
        <v>1473</v>
      </c>
      <c r="C6" s="207">
        <f>基准地价修正!B2</f>
        <v>81912</v>
      </c>
      <c r="D6" s="208"/>
      <c r="E6" s="209"/>
      <c r="F6" s="209"/>
      <c r="G6" s="210"/>
    </row>
    <row r="7" spans="1:9" s="205" customFormat="1" ht="13.5" customHeight="1">
      <c r="A7" s="730" t="s">
        <v>1474</v>
      </c>
      <c r="B7" s="206" t="s">
        <v>1475</v>
      </c>
      <c r="C7" s="211">
        <f>ROUND(C6*F7,0)</f>
        <v>2498</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690</v>
      </c>
      <c r="D8" s="213"/>
      <c r="E8" s="211"/>
      <c r="F8" s="212"/>
      <c r="G8" s="1711" t="s">
        <v>3423</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2" t="s">
        <v>3424</v>
      </c>
      <c r="H9" s="1067"/>
      <c r="I9" s="1713" t="s">
        <v>1479</v>
      </c>
    </row>
    <row r="10" spans="1:9" s="205" customFormat="1" ht="13.5" customHeight="1">
      <c r="A10" s="731" t="s">
        <v>356</v>
      </c>
      <c r="B10" s="215" t="s">
        <v>1480</v>
      </c>
      <c r="C10" s="216">
        <f ca="1">ROUND(D10*E10/10000,0)</f>
        <v>690</v>
      </c>
      <c r="D10" s="793">
        <f ca="1">IF(B1="",'数据-汇总表'!E6,IF(INDIRECT("'数据-取费表'!c"&amp;$G$1)="住宅",INDIRECT("'数据-取费表'!s"&amp;$G$1),INDIRECT("'数据-取费表'!k"&amp;$G$1)+INDIRECT("'数据-取费表'!s"&amp;$G$1)))</f>
        <v>34499.08</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34499.08</v>
      </c>
      <c r="E19" s="202">
        <f>'数据-取费表'!B31</f>
        <v>200</v>
      </c>
      <c r="F19" s="222"/>
      <c r="G19" s="1711" t="s">
        <v>3425</v>
      </c>
    </row>
    <row r="20" spans="1:7" s="205" customFormat="1" ht="13.5" customHeight="1">
      <c r="A20" s="246" t="s">
        <v>1493</v>
      </c>
      <c r="B20" s="201" t="s">
        <v>1494</v>
      </c>
      <c r="C20" s="223">
        <f ca="1">ROUND((C5+C19)*F20,0)</f>
        <v>2553</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8007</v>
      </c>
      <c r="D22" s="226">
        <f ca="1">C26</f>
        <v>1.4E-3</v>
      </c>
      <c r="E22" s="227" t="s">
        <v>1498</v>
      </c>
      <c r="F22" s="228">
        <f ca="1">'数据-取费表'!B40</f>
        <v>0.03</v>
      </c>
      <c r="G22" s="225" t="str">
        <f>IF('数据-取费表'!B22&lt;=1,"单利计息","复利计息")</f>
        <v>复利计息</v>
      </c>
    </row>
    <row r="23" spans="1:7" s="205" customFormat="1" ht="13.5" customHeight="1">
      <c r="A23" s="732" t="s">
        <v>1502</v>
      </c>
      <c r="B23" s="206" t="s">
        <v>1503</v>
      </c>
      <c r="C23" s="1039">
        <f ca="1">ROUND(IF('数据-取费表'!B22&lt;=1,C5*F22*'数据-取费表'!B23,C5*(POWER((1+F22),'数据-取费表'!B23)-1)),0)</f>
        <v>7891</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39">
        <f ca="1">ROUND(IF('数据-取费表'!B22&lt;=1,C20*F22*'数据-取费表'!B23/2,C20*(POWER((1+F22),'数据-取费表'!B23/2)-1)),0)</f>
        <v>116</v>
      </c>
      <c r="D25" s="229"/>
      <c r="E25" s="232"/>
      <c r="F25" s="230"/>
      <c r="G25" s="233" t="s">
        <v>1510</v>
      </c>
    </row>
    <row r="26" spans="1:7" s="205" customFormat="1">
      <c r="A26" s="732"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13148</v>
      </c>
      <c r="D27" s="226">
        <f ca="1">C29</f>
        <v>4.4999999999999997E-3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13148</v>
      </c>
      <c r="D28" s="226"/>
      <c r="E28" s="227"/>
      <c r="F28" s="237"/>
      <c r="G28" s="238"/>
    </row>
    <row r="29" spans="1:7" s="205" customFormat="1" ht="13.5" customHeight="1">
      <c r="A29" s="732" t="s">
        <v>347</v>
      </c>
      <c r="B29" s="239" t="s">
        <v>1517</v>
      </c>
      <c r="C29" s="229">
        <f ca="1">ROUND(C21*F27*'数据-取费表'!B21/'数据-取费表'!B20,4)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119464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22838</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20699</v>
      </c>
      <c r="D34" s="208"/>
      <c r="E34" s="211"/>
      <c r="F34" s="248">
        <f ca="1">IF('数据-取费表'!B24=0,1,IF(B1="",'数据-取费表'!N16,INDIRECT("'数据-取费表'!n"&amp;$G$1)))</f>
        <v>1</v>
      </c>
      <c r="G34" s="210" t="s">
        <v>1526</v>
      </c>
    </row>
    <row r="35" spans="1:7" ht="13.5" customHeight="1">
      <c r="A35" s="732" t="s">
        <v>351</v>
      </c>
      <c r="B35" s="206" t="s">
        <v>1527</v>
      </c>
      <c r="C35" s="211">
        <f ca="1">ROUND(C34*F35,0)</f>
        <v>1035</v>
      </c>
      <c r="D35" s="211"/>
      <c r="E35" s="211"/>
      <c r="F35" s="250">
        <f>'数据-取费表'!B33</f>
        <v>0.05</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690</v>
      </c>
      <c r="D37" s="208">
        <f ca="1">D19</f>
        <v>34499.08</v>
      </c>
      <c r="E37" s="240">
        <f>'数据-取费表'!B35</f>
        <v>200</v>
      </c>
      <c r="F37" s="250"/>
      <c r="G37" s="252" t="s">
        <v>1532</v>
      </c>
    </row>
    <row r="38" spans="1:7" ht="13.5" customHeight="1">
      <c r="A38" s="732" t="s">
        <v>354</v>
      </c>
      <c r="B38" s="206" t="s">
        <v>1533</v>
      </c>
      <c r="C38" s="211">
        <f ca="1">ROUND(C34*F38,0)</f>
        <v>414</v>
      </c>
      <c r="D38" s="211"/>
      <c r="E38" s="211"/>
      <c r="F38" s="250">
        <f>'数据-取费表'!B36</f>
        <v>0.02</v>
      </c>
      <c r="G38" s="210" t="s">
        <v>1528</v>
      </c>
    </row>
    <row r="39" spans="1:7" s="205" customFormat="1" ht="13.5" customHeight="1">
      <c r="A39" s="246" t="s">
        <v>1534</v>
      </c>
      <c r="B39" s="201" t="s">
        <v>1535</v>
      </c>
      <c r="C39" s="223">
        <f ca="1">ROUND(C33*F20,0)</f>
        <v>685</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1066</v>
      </c>
      <c r="D41" s="226">
        <f ca="1">C44</f>
        <v>1.4E-3</v>
      </c>
      <c r="E41" s="227" t="s">
        <v>1539</v>
      </c>
      <c r="F41" s="228">
        <f ca="1">F22</f>
        <v>0.03</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1035</v>
      </c>
      <c r="D42" s="229"/>
      <c r="E42" s="229"/>
      <c r="F42" s="230"/>
      <c r="G42" s="3385" t="s">
        <v>1544</v>
      </c>
    </row>
    <row r="43" spans="1:7" ht="13.5" customHeight="1">
      <c r="A43" s="732" t="s">
        <v>347</v>
      </c>
      <c r="B43" s="206" t="s">
        <v>1545</v>
      </c>
      <c r="C43" s="229">
        <f ca="1">ROUND(IF('数据-取费表'!B22&lt;=1,C39*F22*'数据-取费表'!B21/2,C39*(POWER((1+F22),'数据-取费表'!B21/2)-1)),0)</f>
        <v>31</v>
      </c>
      <c r="D43" s="229"/>
      <c r="E43" s="229"/>
      <c r="F43" s="230"/>
      <c r="G43" s="3386"/>
    </row>
    <row r="44" spans="1:7" ht="13.5" customHeight="1">
      <c r="A44" s="732" t="s">
        <v>348</v>
      </c>
      <c r="B44" s="206" t="s">
        <v>1546</v>
      </c>
      <c r="C44" s="229">
        <f ca="1">ROUND(IF('数据-取费表'!B22&lt;=1,C40*F22*'数据-取费表'!B21/2,C40*(POWER((1+F22),'数据-取费表'!B21/2)-1)),4)</f>
        <v>1.4E-3</v>
      </c>
      <c r="D44" s="229"/>
      <c r="E44" s="229"/>
      <c r="F44" s="230"/>
      <c r="G44" s="3387"/>
    </row>
    <row r="45" spans="1:7" s="205" customFormat="1" ht="13.5" customHeight="1">
      <c r="A45" s="246" t="s">
        <v>1547</v>
      </c>
      <c r="B45" s="235" t="s">
        <v>1513</v>
      </c>
      <c r="C45" s="236">
        <f ca="1">C46</f>
        <v>3528</v>
      </c>
      <c r="D45" s="226">
        <f ca="1">C47</f>
        <v>4.4999999999999997E-3</v>
      </c>
      <c r="E45" s="227" t="s">
        <v>1539</v>
      </c>
      <c r="F45" s="237">
        <f ca="1">F27</f>
        <v>0.15</v>
      </c>
      <c r="G45" s="238" t="s">
        <v>1548</v>
      </c>
    </row>
    <row r="46" spans="1:7" s="205" customFormat="1" ht="13.5" customHeight="1">
      <c r="A46" s="732" t="s">
        <v>346</v>
      </c>
      <c r="B46" s="239" t="s">
        <v>1549</v>
      </c>
      <c r="C46" s="240">
        <f ca="1">ROUND((C33+C39)*F27,0)</f>
        <v>3528</v>
      </c>
      <c r="D46" s="254"/>
      <c r="E46" s="227"/>
      <c r="F46" s="237"/>
      <c r="G46" s="238"/>
    </row>
    <row r="47" spans="1:7" s="205" customFormat="1" ht="13.5" customHeight="1">
      <c r="A47" s="732"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30871</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24697</v>
      </c>
      <c r="D51" s="223"/>
      <c r="E51" s="223"/>
      <c r="F51" s="255"/>
      <c r="G51" s="225" t="s">
        <v>1560</v>
      </c>
    </row>
    <row r="52" spans="1:7" s="199" customFormat="1" ht="16.5" thickBot="1">
      <c r="A52" s="256" t="s">
        <v>1561</v>
      </c>
      <c r="B52" s="257"/>
      <c r="C52" s="258">
        <f ca="1">C31+C51</f>
        <v>144161</v>
      </c>
      <c r="D52" s="257"/>
      <c r="E52" s="257"/>
      <c r="F52" s="257"/>
      <c r="G52" s="259"/>
    </row>
    <row r="55" spans="1:7" ht="15">
      <c r="B55" s="261" t="s">
        <v>1562</v>
      </c>
      <c r="C55" s="262"/>
    </row>
    <row r="56" spans="1:7">
      <c r="B56" s="264" t="s">
        <v>802</v>
      </c>
      <c r="C56" s="266">
        <f ca="1">1-C57</f>
        <v>0.82899999999999996</v>
      </c>
    </row>
    <row r="57" spans="1:7">
      <c r="B57" s="264" t="s">
        <v>803</v>
      </c>
      <c r="C57" s="265">
        <f ca="1">ROUND(C51/C52,3)</f>
        <v>0.17100000000000001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59">
        <f>MATCH(B1,'数据-取费表'!A6:A16,0)+5</f>
        <v>9</v>
      </c>
      <c r="H1" s="995" t="str">
        <f>IF(ISERROR(FIND("住宅",B1)),"非住宅","住宅")</f>
        <v>非住宅</v>
      </c>
    </row>
    <row r="2" spans="1:8" s="191" customFormat="1" ht="18" customHeight="1">
      <c r="A2" s="192" t="s">
        <v>1462</v>
      </c>
      <c r="B2" s="3120">
        <f ca="1">ROUND(IF(D2="——",C52/10000,C52/10000-E2),4)</f>
        <v>30446.5805</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3646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16700458</v>
      </c>
      <c r="D5" s="202" t="s">
        <v>1469</v>
      </c>
      <c r="E5" s="203" t="s">
        <v>1470</v>
      </c>
      <c r="F5" s="203" t="s">
        <v>1471</v>
      </c>
      <c r="G5" s="204"/>
    </row>
    <row r="6" spans="1:8" s="205" customFormat="1" ht="13.5" customHeight="1">
      <c r="A6" s="730" t="s">
        <v>1472</v>
      </c>
      <c r="B6" s="206" t="s">
        <v>1473</v>
      </c>
      <c r="C6" s="207"/>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16700458</v>
      </c>
      <c r="D8" s="213"/>
      <c r="E8" s="211"/>
      <c r="F8" s="212"/>
      <c r="G8" s="1711"/>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16700458</v>
      </c>
      <c r="D10" s="793">
        <f ca="1">IF(B1="",'数据-汇总表'!E6,IF(INDIRECT("'数据-取费表'!c"&amp;$G$1)="住宅",INDIRECT("'数据-取费表'!s"&amp;$G$1),INDIRECT("'数据-取费表'!k"&amp;$G$1)+INDIRECT("'数据-取费表'!s"&amp;$G$1)))</f>
        <v>83502.290000000008</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16700458</v>
      </c>
      <c r="D19" s="203">
        <f ca="1">D9+D10</f>
        <v>83502.290000000008</v>
      </c>
      <c r="E19" s="202">
        <f>'数据-取费表'!B31</f>
        <v>200</v>
      </c>
      <c r="F19" s="222"/>
      <c r="G19" s="1711"/>
    </row>
    <row r="20" spans="1:7" s="205" customFormat="1" ht="13.5" customHeight="1">
      <c r="A20" s="246" t="s">
        <v>1574</v>
      </c>
      <c r="B20" s="201" t="s">
        <v>1575</v>
      </c>
      <c r="C20" s="223">
        <f ca="1">ROUND((C5+C19)*F20,0)</f>
        <v>1002027</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3142594</v>
      </c>
      <c r="D22" s="226">
        <f ca="1">C26</f>
        <v>1.4E-3</v>
      </c>
      <c r="E22" s="227" t="s">
        <v>1579</v>
      </c>
      <c r="F22" s="228">
        <f ca="1">'数据-取费表'!B40</f>
        <v>0.03</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1548583</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1548583</v>
      </c>
      <c r="D24" s="229"/>
      <c r="E24" s="229"/>
      <c r="F24" s="230"/>
      <c r="G24" s="231" t="s">
        <v>1586</v>
      </c>
    </row>
    <row r="25" spans="1:7" s="205" customFormat="1" ht="24">
      <c r="A25" s="732" t="s">
        <v>1476</v>
      </c>
      <c r="B25" s="206" t="s">
        <v>1587</v>
      </c>
      <c r="C25" s="229">
        <f ca="1">ROUND(IF('数据-取费表'!B22&lt;=1,C20*F22*'数据-取费表'!B22/2,C20*(POWER((1+F22),'数据-取费表'!B22/2)-1)),0)</f>
        <v>45428</v>
      </c>
      <c r="D25" s="229"/>
      <c r="E25" s="232"/>
      <c r="F25" s="230"/>
      <c r="G25" s="233" t="s">
        <v>1588</v>
      </c>
    </row>
    <row r="26" spans="1:7" s="205" customFormat="1">
      <c r="A26" s="732"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5160441</v>
      </c>
      <c r="D27" s="226">
        <f ca="1">C29</f>
        <v>4.4999999999999997E-3</v>
      </c>
      <c r="E27" s="227" t="s">
        <v>1514</v>
      </c>
      <c r="F27" s="237">
        <f ca="1">IF(B1="",'数据-取费表'!Q16,INDIRECT("'数据-取费表'!q"&amp;$G$1))</f>
        <v>0.15</v>
      </c>
      <c r="G27" s="238" t="s">
        <v>1515</v>
      </c>
    </row>
    <row r="28" spans="1:7" s="205" customFormat="1" ht="13.5" customHeight="1">
      <c r="A28" s="732" t="s">
        <v>346</v>
      </c>
      <c r="B28" s="239" t="s">
        <v>1516</v>
      </c>
      <c r="C28" s="240">
        <f ca="1">ROUND((C5+C19+C20)*F27,0)</f>
        <v>5160441</v>
      </c>
      <c r="D28" s="226"/>
      <c r="E28" s="227"/>
      <c r="F28" s="237"/>
      <c r="G28" s="238"/>
    </row>
    <row r="29" spans="1:7" s="205" customFormat="1" ht="13.5" customHeight="1">
      <c r="A29" s="732"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46888426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238184552</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206994480</v>
      </c>
      <c r="D34" s="208"/>
      <c r="E34" s="211"/>
      <c r="F34" s="248"/>
      <c r="G34" s="210"/>
    </row>
    <row r="35" spans="1:7" ht="13.5" customHeight="1">
      <c r="A35" s="732" t="s">
        <v>351</v>
      </c>
      <c r="B35" s="206" t="s">
        <v>1527</v>
      </c>
      <c r="C35" s="211">
        <f ca="1">ROUND(C34*F35,0)</f>
        <v>10349724</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16700458</v>
      </c>
      <c r="D37" s="208">
        <f ca="1">D19</f>
        <v>83502.290000000008</v>
      </c>
      <c r="E37" s="240">
        <f>'数据-取费表'!B35</f>
        <v>200</v>
      </c>
      <c r="F37" s="250"/>
      <c r="G37" s="252"/>
    </row>
    <row r="38" spans="1:7" ht="13.5" customHeight="1">
      <c r="A38" s="732" t="s">
        <v>354</v>
      </c>
      <c r="B38" s="206" t="s">
        <v>1533</v>
      </c>
      <c r="C38" s="211">
        <f ca="1">ROUND(C34*F38,0)</f>
        <v>4139890</v>
      </c>
      <c r="D38" s="211"/>
      <c r="E38" s="211"/>
      <c r="F38" s="250">
        <f>'数据-取费表'!B36</f>
        <v>0.02</v>
      </c>
      <c r="G38" s="210" t="s">
        <v>1528</v>
      </c>
    </row>
    <row r="39" spans="1:7" s="205" customFormat="1" ht="13.5" customHeight="1">
      <c r="A39" s="246" t="s">
        <v>1534</v>
      </c>
      <c r="B39" s="201" t="s">
        <v>1535</v>
      </c>
      <c r="C39" s="223">
        <f ca="1">ROUND(C33*F20,0)</f>
        <v>7145537</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11122244</v>
      </c>
      <c r="D41" s="226">
        <f ca="1">C44</f>
        <v>1.4E-3</v>
      </c>
      <c r="E41" s="227" t="s">
        <v>1539</v>
      </c>
      <c r="F41" s="228">
        <f ca="1">F22</f>
        <v>0.03</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10798295</v>
      </c>
      <c r="D42" s="229"/>
      <c r="E42" s="229"/>
      <c r="F42" s="230"/>
      <c r="G42" s="3385" t="s">
        <v>1591</v>
      </c>
    </row>
    <row r="43" spans="1:7" ht="13.5" customHeight="1">
      <c r="A43" s="732" t="s">
        <v>347</v>
      </c>
      <c r="B43" s="206" t="s">
        <v>1545</v>
      </c>
      <c r="C43" s="229">
        <f ca="1">ROUND(IF('数据-取费表'!B22&lt;=1,C39*F22*'数据-取费表'!B20/2,C39*(POWER((1+F22),'数据-取费表'!B20/2)-1)),0)</f>
        <v>323949</v>
      </c>
      <c r="D43" s="229"/>
      <c r="E43" s="229"/>
      <c r="F43" s="230"/>
      <c r="G43" s="3386"/>
    </row>
    <row r="44" spans="1:7" ht="13.5" customHeight="1">
      <c r="A44" s="732" t="s">
        <v>348</v>
      </c>
      <c r="B44" s="206" t="s">
        <v>1546</v>
      </c>
      <c r="C44" s="229">
        <f ca="1">ROUND(IF('数据-取费表'!B22&lt;=1,C40*F22*'数据-取费表'!B20/2,C40*(POWER((1+F22),'数据-取费表'!B20/2)-1)),4)</f>
        <v>1.4E-3</v>
      </c>
      <c r="D44" s="229"/>
      <c r="E44" s="229"/>
      <c r="F44" s="230"/>
      <c r="G44" s="3387"/>
    </row>
    <row r="45" spans="1:7" s="205" customFormat="1" ht="13.5" customHeight="1">
      <c r="A45" s="246" t="s">
        <v>1547</v>
      </c>
      <c r="B45" s="235" t="s">
        <v>1513</v>
      </c>
      <c r="C45" s="236">
        <f ca="1">C46</f>
        <v>36799513</v>
      </c>
      <c r="D45" s="226">
        <f ca="1">C47</f>
        <v>4.4999999999999997E-3</v>
      </c>
      <c r="E45" s="227" t="s">
        <v>1539</v>
      </c>
      <c r="F45" s="237">
        <f ca="1">F27</f>
        <v>0.15</v>
      </c>
      <c r="G45" s="238" t="s">
        <v>1548</v>
      </c>
    </row>
    <row r="46" spans="1:7" s="205" customFormat="1" ht="13.5" customHeight="1">
      <c r="A46" s="732" t="s">
        <v>346</v>
      </c>
      <c r="B46" s="239" t="s">
        <v>1549</v>
      </c>
      <c r="C46" s="240">
        <f ca="1">ROUND((C33+C39)*F27,0)</f>
        <v>36799513</v>
      </c>
      <c r="D46" s="254"/>
      <c r="E46" s="227"/>
      <c r="F46" s="237"/>
      <c r="G46" s="238"/>
    </row>
    <row r="47" spans="1:7" s="205" customFormat="1" ht="13.5" customHeight="1">
      <c r="A47" s="732"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321971724</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257577379</v>
      </c>
      <c r="D51" s="223"/>
      <c r="E51" s="223"/>
      <c r="F51" s="255"/>
      <c r="G51" s="225" t="s">
        <v>1560</v>
      </c>
    </row>
    <row r="52" spans="1:7" s="199" customFormat="1" ht="16.5" thickBot="1">
      <c r="A52" s="256" t="s">
        <v>1561</v>
      </c>
      <c r="B52" s="257"/>
      <c r="C52" s="258">
        <f ca="1">C31+C51</f>
        <v>304465805</v>
      </c>
      <c r="D52" s="257"/>
      <c r="E52" s="257"/>
      <c r="F52" s="257"/>
      <c r="G52" s="259"/>
    </row>
    <row r="55" spans="1:7" ht="15">
      <c r="B55" s="261" t="s">
        <v>1562</v>
      </c>
      <c r="C55" s="262"/>
    </row>
    <row r="56" spans="1:7">
      <c r="B56" s="264" t="s">
        <v>802</v>
      </c>
      <c r="C56" s="266">
        <f ca="1">1-C57</f>
        <v>0.15400000000000003</v>
      </c>
    </row>
    <row r="57" spans="1:7">
      <c r="B57" s="264" t="s">
        <v>803</v>
      </c>
      <c r="C57" s="265">
        <f ca="1">ROUND(C51/C52,3)</f>
        <v>0.84599999999999997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65"/>
      <c r="F1" s="2565"/>
      <c r="G1" s="2446"/>
      <c r="H1" s="2565"/>
      <c r="I1" s="2565"/>
      <c r="J1" s="2565"/>
      <c r="K1" s="2566">
        <f>MATCH(C1,'数据-取费表'!A6:A16,0)+5</f>
        <v>9</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83502.290000000008</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83502.290000000008</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-4.5800000000099317E-2</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1670</v>
      </c>
      <c r="D20" s="794">
        <f ca="1">IF(C1="",'数据-汇总表'!E6,IF(INDIRECT("'数据-取费表'!c"&amp;$K$1)="住宅",INDIRECT("'数据-取费表'!s"&amp;$K$1),INDIRECT("'数据-取费表'!k"&amp;$K$1)+INDIRECT("'数据-取费表'!s"&amp;$K$1)))</f>
        <v>83502.290000000008</v>
      </c>
      <c r="E20" s="21">
        <f>'数据-取费表'!B28</f>
        <v>200</v>
      </c>
      <c r="F20" s="754"/>
      <c r="G20" s="12"/>
      <c r="H20" s="759"/>
      <c r="I20" s="759"/>
      <c r="J20" s="759"/>
      <c r="K20" s="760"/>
    </row>
    <row r="21" spans="1:33" s="753" customFormat="1" ht="13.5" customHeight="1">
      <c r="A21" s="742" t="s">
        <v>357</v>
      </c>
      <c r="B21" s="763" t="s">
        <v>1628</v>
      </c>
      <c r="C21" s="764">
        <f ca="1">C16+C17+C18</f>
        <v>-4.5800000000099317E-2</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0.03</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0.03</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K37" sqref="K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34499.08</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81912</v>
      </c>
      <c r="C2" s="1843" t="s">
        <v>1935</v>
      </c>
      <c r="D2" s="161" t="s">
        <v>1936</v>
      </c>
      <c r="E2" s="3118" t="s">
        <v>21</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Ⅱ—18</v>
      </c>
      <c r="J2" s="1839"/>
      <c r="K2" s="1053"/>
      <c r="L2" s="1844" t="s">
        <v>1939</v>
      </c>
      <c r="M2" s="809">
        <f>SUMPRODUCT((区片价!B10:B29=I2)*(区片价!C3:G3=E2)*(区片价!C10:G29))</f>
        <v>27770</v>
      </c>
      <c r="N2" s="811">
        <f>SUMPRODUCT((因素修正幅度!B10:B29=I2)*(因素修正幅度!C3:G3=E2)*(因素修正幅度!C10:G29))</f>
        <v>9.5000000000000001E-2</v>
      </c>
      <c r="O2" s="1053"/>
      <c r="P2" s="1053"/>
      <c r="Q2" s="1053"/>
      <c r="R2" s="1126">
        <v>1</v>
      </c>
      <c r="S2" s="3061">
        <f>ROUND(SUMPRODUCT((B106:B110=R2)*(C105:N105=G2)*(C106:N110)),4)</f>
        <v>1.5206</v>
      </c>
      <c r="T2" s="3061">
        <f t="shared" ref="T2:T16" si="0">ROUND($C$5*$C$22*$C$23*$C$24*S2*$C$28,0)</f>
        <v>38738</v>
      </c>
      <c r="U2" s="1127"/>
      <c r="V2" s="3061">
        <f>ROUND(T2*U2/10000,0)</f>
        <v>0</v>
      </c>
      <c r="W2" s="1130"/>
      <c r="X2" s="1130"/>
      <c r="Y2" s="1130"/>
      <c r="Z2" s="1130"/>
      <c r="AA2" s="1130"/>
      <c r="AB2" s="1130"/>
      <c r="AC2" s="1131"/>
      <c r="AD2" s="1132"/>
      <c r="AE2" s="1132"/>
      <c r="AF2" s="1132"/>
      <c r="AG2" s="1132"/>
      <c r="AH2" s="1132"/>
      <c r="AI2" s="1132"/>
      <c r="AJ2" s="1133"/>
    </row>
    <row r="3" spans="1:36" ht="15.75">
      <c r="A3" s="194" t="s">
        <v>1940</v>
      </c>
      <c r="B3" s="195">
        <f>ROUND(B2*10000/D1,0)</f>
        <v>23743</v>
      </c>
      <c r="C3" s="1843" t="s">
        <v>1941</v>
      </c>
      <c r="D3" s="161" t="s">
        <v>1942</v>
      </c>
      <c r="E3" s="3116" t="s">
        <v>3403</v>
      </c>
      <c r="F3" s="1845" t="s">
        <v>3420</v>
      </c>
      <c r="G3" s="706">
        <f>IF(F3="宗地容积率",'数据-汇总表'!I4,IF(F3="估价对象容积率",'数据-汇总表'!I6,'数据-汇总表'!I7))</f>
        <v>3.5</v>
      </c>
      <c r="H3" s="161" t="s">
        <v>1943</v>
      </c>
      <c r="I3" s="727"/>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61">
        <f>ROUND(SUMPRODUCT((B106:B110=R3)*(C105:N105=G2)*(C106:N110)),4)</f>
        <v>1.2072000000000001</v>
      </c>
      <c r="T3" s="3061">
        <f t="shared" si="0"/>
        <v>30754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95"/>
      <c r="B4" s="3396"/>
      <c r="C4" s="3396"/>
      <c r="D4" s="3397"/>
      <c r="E4" s="3397"/>
      <c r="F4" s="3397"/>
      <c r="G4" s="3397"/>
      <c r="H4" s="3397"/>
      <c r="I4" s="3397"/>
      <c r="J4" s="3398"/>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61">
        <f>ROUND(SUMPRODUCT((B106:B110=R4)*(C105:N105=G2)*(C106:N110)),4)</f>
        <v>1.0430999999999999</v>
      </c>
      <c r="T4" s="3061">
        <f t="shared" si="0"/>
        <v>26573</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29159</v>
      </c>
      <c r="D5" s="1249">
        <f>ROUND(C6*C17+C20,0)</f>
        <v>27770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61">
        <f>ROUND(SUMPRODUCT((B106:B110=R5)*(C105:N105=G2)*(C106:N110)),4)</f>
        <v>0.94389999999999996</v>
      </c>
      <c r="T5" s="3061">
        <f t="shared" si="0"/>
        <v>24046</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27770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61">
        <f>ROUND(SUMPRODUCT((B106:B110=R6)*(C105:N105=G2)*(C106:N110)),4)</f>
        <v>0.89959999999999996</v>
      </c>
      <c r="T6" s="3061">
        <f t="shared" si="0"/>
        <v>22918</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3226</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3.5</v>
      </c>
      <c r="AA7" s="1130"/>
      <c r="AB7" s="1130"/>
      <c r="AC7" s="1131"/>
      <c r="AD7" s="1132"/>
      <c r="AE7" s="1132"/>
      <c r="AF7" s="1132"/>
      <c r="AG7" s="1132"/>
      <c r="AH7" s="1132"/>
      <c r="AI7" s="1132"/>
      <c r="AJ7" s="1133"/>
    </row>
    <row r="8" spans="1:36" ht="25.5">
      <c r="A8" s="3007"/>
      <c r="B8" s="161" t="s">
        <v>1957</v>
      </c>
      <c r="C8" s="1867" t="s">
        <v>3421</v>
      </c>
      <c r="D8" s="710" t="s">
        <v>112</v>
      </c>
      <c r="E8" s="711" t="e">
        <f>ROUND(C11/E7,4)</f>
        <v>#DIV/0!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61">
        <f t="shared" si="0"/>
        <v>0</v>
      </c>
      <c r="U8" s="1127"/>
      <c r="V8" s="3061">
        <f t="shared" si="1"/>
        <v>0</v>
      </c>
      <c r="W8" s="3392" t="s">
        <v>1960</v>
      </c>
      <c r="X8" s="339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2">
        <f>SUMIF(修正!C73:C140,C8,修正!E73:E140)</f>
        <v>0</v>
      </c>
      <c r="D9" s="162" t="s">
        <v>113</v>
      </c>
      <c r="E9" s="162" t="e">
        <f>ROUND(C11/E7,4)</f>
        <v>#DIV/0!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61">
        <f t="shared" si="0"/>
        <v>0</v>
      </c>
      <c r="U9" s="1127"/>
      <c r="V9" s="3061">
        <f t="shared" si="1"/>
        <v>0</v>
      </c>
      <c r="W9" s="3394"/>
      <c r="X9" s="3062" t="s">
        <v>3257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SUMIF(修正!C73:C140,C8,修正!F73:F140)</f>
        <v>0</v>
      </c>
      <c r="D10" s="162" t="s">
        <v>114</v>
      </c>
      <c r="E10" s="162" t="e">
        <f>ROUND(C11/E7,4)</f>
        <v>#DIV/0!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61">
        <f t="shared" si="0"/>
        <v>0</v>
      </c>
      <c r="U10" s="1127"/>
      <c r="V10" s="3061">
        <f t="shared" si="1"/>
        <v>0</v>
      </c>
      <c r="W10" s="339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3">
        <f>C10/4</f>
        <v>0</v>
      </c>
      <c r="D11" s="713" t="s">
        <v>115</v>
      </c>
      <c r="E11" s="713" t="e">
        <f>ROUND(C11/E7,4)</f>
        <v>#DIV/0!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3227</v>
      </c>
      <c r="B12" s="3011" t="s">
        <v>3228</v>
      </c>
      <c r="C12" s="3012">
        <v>1.05</v>
      </c>
      <c r="D12" s="3013" t="s">
        <v>3229</v>
      </c>
      <c r="E12" s="3014" t="s">
        <v>3230</v>
      </c>
      <c r="F12" s="3015"/>
      <c r="G12" s="3016"/>
      <c r="H12" s="3016"/>
      <c r="I12" s="3016"/>
      <c r="J12" s="3017"/>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3231</v>
      </c>
      <c r="B13" s="1875" t="s">
        <v>1982</v>
      </c>
      <c r="C13" s="709">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3232</v>
      </c>
      <c r="G14" s="3018" t="s">
        <v>3232</v>
      </c>
      <c r="H14" s="3018" t="s">
        <v>3232</v>
      </c>
      <c r="I14" s="3018" t="s">
        <v>3232</v>
      </c>
      <c r="J14" s="3018" t="s">
        <v>3232</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3233</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3234</v>
      </c>
      <c r="B17" s="3025" t="s">
        <v>3235</v>
      </c>
      <c r="C17" s="3034">
        <f>ROUND(IF(OR(E2="工业",E2="公共服务"),1,IF(AND(E18=0,E19=0),1,IF(AND(E18=J24,E19=G19),0.8,IF(E19=0,1+E17*(-0.2),1+E17*G17*(-0.2))))),4)</f>
        <v>1</v>
      </c>
      <c r="D17" s="3026" t="s">
        <v>3236</v>
      </c>
      <c r="E17" s="3034">
        <f>ROUND(G18/I18,2)</f>
        <v>0</v>
      </c>
      <c r="F17" s="3026" t="s">
        <v>3239</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3237</v>
      </c>
      <c r="E18" s="2354"/>
      <c r="F18" s="3028" t="s">
        <v>3240</v>
      </c>
      <c r="G18" s="3032">
        <f>ROUND(1-(1/(POWER(1+G24,E18))),4)</f>
        <v>0</v>
      </c>
      <c r="H18" s="3028" t="s">
        <v>3242</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3238</v>
      </c>
      <c r="E19" s="3041"/>
      <c r="F19" s="3042" t="s">
        <v>3241</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99" t="s">
        <v>3243</v>
      </c>
      <c r="B20" s="158" t="s">
        <v>1994</v>
      </c>
      <c r="C20" s="3029">
        <f>ROUND(IF(F21="与级别开发程度一致",0,(G21-E21)/C21),0)</f>
        <v>0</v>
      </c>
      <c r="D20" s="3044" t="s">
        <v>1998</v>
      </c>
      <c r="E20" s="3045"/>
      <c r="F20" s="3405" t="s">
        <v>1995</v>
      </c>
      <c r="G20" s="3406"/>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400"/>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3422</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SUMIF(修正!C20:C53,E3,修正!E20:E53)</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3" t="s">
        <v>2002</v>
      </c>
      <c r="E23" s="715">
        <v>44197</v>
      </c>
      <c r="F23" s="1893" t="s">
        <v>2003</v>
      </c>
      <c r="G23" s="716">
        <f>'数据-取费表'!B2</f>
        <v>45881</v>
      </c>
      <c r="H23" s="3046" t="s">
        <v>3245</v>
      </c>
      <c r="I23" s="3047" t="str">
        <f>IF(H23="季度增幅（自定义）",SUMIF(N25:N28,E2,O25:O28),"")</f>
        <v/>
      </c>
      <c r="J23" s="3139" t="s">
        <v>3244</v>
      </c>
      <c r="K23" s="1058"/>
      <c r="L23" s="1894" t="s">
        <v>2004</v>
      </c>
      <c r="M23" s="1238">
        <f>ROUND(SUMIF(地价!B2:G2,E2,地价!B16:G16),0)</f>
        <v>350</v>
      </c>
      <c r="N23" s="1895" t="s">
        <v>2005</v>
      </c>
      <c r="O23" s="717">
        <f>ROUNDDOWN(DATEDIF(E23,G23,"M")/3,0)</f>
        <v>18</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8">
        <f>ROUND(POWER(1+G24,J24-I24)*(POWER(1+G24,I24)-1)/(POWER(1+G24,J24)-1),4)</f>
        <v>0.84730000000000005</v>
      </c>
      <c r="D24" s="1899" t="s">
        <v>2007</v>
      </c>
      <c r="E24" s="1245">
        <f>存贷款利率!E28/100</f>
        <v>4.3499999999999997E-2</v>
      </c>
      <c r="F24" s="1899" t="s">
        <v>1999</v>
      </c>
      <c r="G24" s="722">
        <f>SUMIF(M30:Q30,E2,M33:Q33)</f>
        <v>5.5E-2</v>
      </c>
      <c r="H24" s="1899" t="s">
        <v>2008</v>
      </c>
      <c r="I24" s="723">
        <f>SUMIF('数据-取费表'!C6:C15,E2,'数据-取费表'!F6:F15)/COUNTIF('数据-取费表'!C6:C15,E2)</f>
        <v>29.06</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3324</v>
      </c>
      <c r="C25" s="460">
        <f>IF(B25="容积率修正",IF(G3&lt;10,D26,J26),C27)</f>
        <v>1</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3246</v>
      </c>
      <c r="D26" s="1260">
        <f>IF(E26=G26,F26,IF(G3&lt;10,ROUND(F26+(H26-F26)*(G3-E26)/(G26-E26),4),"——"))</f>
        <v>1</v>
      </c>
      <c r="E26" s="706">
        <f>ROUNDDOWN(G3,1)</f>
        <v>3.5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3247</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4">
        <f>SUMIF(A47:A101,E2,B47:B101)</f>
        <v>1.0511999999999999</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9"/>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81912</v>
      </c>
      <c r="D30" s="1922"/>
      <c r="E30" s="1839"/>
      <c r="F30" s="1923"/>
      <c r="G30" s="1839"/>
      <c r="H30" s="1839"/>
      <c r="I30" s="1839"/>
      <c r="J30" s="1924"/>
      <c r="K30" s="1053"/>
      <c r="L30" s="3053" t="s">
        <v>1936</v>
      </c>
      <c r="M30" s="3054" t="s">
        <v>1990</v>
      </c>
      <c r="N30" s="3054" t="s">
        <v>1991</v>
      </c>
      <c r="O30" s="3054" t="s">
        <v>1992</v>
      </c>
      <c r="P30" s="3054" t="s">
        <v>1993</v>
      </c>
      <c r="Q30" s="3057" t="s">
        <v>3251</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20">
        <f>E34+SUM(I37:I42)</f>
        <v>378</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25475</v>
      </c>
      <c r="D33" s="1937">
        <f>'数据-汇总表'!F19</f>
        <v>31561.17</v>
      </c>
      <c r="E33" s="725">
        <f>ROUND(C33*D33/10000,0)</f>
        <v>80402</v>
      </c>
      <c r="F33" s="3048" t="s">
        <v>3249</v>
      </c>
      <c r="G33" s="1938"/>
      <c r="H33" s="1938"/>
      <c r="I33" s="1938"/>
      <c r="J33" s="1939"/>
      <c r="K33" s="1053"/>
      <c r="L33" s="3051" t="s">
        <v>3252</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f>ROUND(IF(E2="工业",C33*M42,IF(B25="楼层修正",SUM(V2:V16)*M41*10000/D34,C33*M41)),0)</f>
        <v>6369</v>
      </c>
      <c r="D34" s="1942"/>
      <c r="E34" s="725">
        <f>ROUND(IF(B25="楼层修正",SUM(V2:V16)*M40,C34*D34/10000),0)</f>
        <v>0</v>
      </c>
      <c r="F34" s="1943" t="s">
        <v>2032</v>
      </c>
      <c r="G34" s="1944"/>
      <c r="H34" s="1944"/>
      <c r="I34" s="1944"/>
      <c r="J34" s="1945"/>
      <c r="K34" s="1053"/>
      <c r="L34" s="3051" t="s">
        <v>3253</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3250</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3254</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03"/>
      <c r="B37" s="1952" t="s">
        <v>2036</v>
      </c>
      <c r="C37" s="166">
        <f>ROUND(D5*C22*C23*C24*C28*F37,0)</f>
        <v>16983</v>
      </c>
      <c r="D37" s="1937"/>
      <c r="E37" s="162">
        <f>ROUND(C37*D37/10000,0)</f>
        <v>0</v>
      </c>
      <c r="F37" s="162">
        <f>SUMIF(修正!A59:A70,G2,修正!B59:B70)</f>
        <v>0.7</v>
      </c>
      <c r="G37" s="162">
        <f>ROUND(IF(E2="工业",C37*$M$42,C37*$M$41),0)</f>
        <v>4246</v>
      </c>
      <c r="H37" s="162">
        <f>D37</f>
        <v>0</v>
      </c>
      <c r="I37" s="162">
        <f>ROUND(G37*H37/10000,0)</f>
        <v>0</v>
      </c>
      <c r="J37" s="2752"/>
      <c r="K37" s="3059" t="s">
        <v>3255</v>
      </c>
      <c r="L37" s="1961">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04"/>
      <c r="B38" s="1881" t="s">
        <v>2037</v>
      </c>
      <c r="C38" s="166">
        <f>ROUND(D5*C22*C23*C24*C28*F38,0)</f>
        <v>9705</v>
      </c>
      <c r="D38" s="1937"/>
      <c r="E38" s="162">
        <f t="shared" ref="E38:E42" si="4">ROUND(C38*D38/10000,0)</f>
        <v>0</v>
      </c>
      <c r="F38" s="162">
        <f>SUMIF(修正!A59:A70,G2,修正!C59:C70)</f>
        <v>0.4</v>
      </c>
      <c r="G38" s="162">
        <f>ROUND(IF(E2="工业",C38*$M$42,C38*$M$41),0)</f>
        <v>2426</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04"/>
      <c r="B39" s="1881" t="s">
        <v>3248</v>
      </c>
      <c r="C39" s="166">
        <f>ROUND(D5*C22*C23*C24*C28*F39,0)</f>
        <v>7279</v>
      </c>
      <c r="D39" s="1937"/>
      <c r="E39" s="162">
        <f t="shared" si="4"/>
        <v>0</v>
      </c>
      <c r="F39" s="162">
        <f>SUMIF(修正!A59:A70,G2,修正!D59:D70)</f>
        <v>0.3</v>
      </c>
      <c r="G39" s="162">
        <f>ROUND(IF(E2="工业",C39*$M$42,C39*$M$41),0)</f>
        <v>1820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7279</v>
      </c>
      <c r="D40" s="1937">
        <f>'数据-基础表'!M13</f>
        <v>349.22</v>
      </c>
      <c r="E40" s="162">
        <f t="shared" si="4"/>
        <v>254</v>
      </c>
      <c r="F40" s="166">
        <f>SUMIF(修正!A59:A70,G2,修正!E59:E70)</f>
        <v>0.3</v>
      </c>
      <c r="G40" s="162">
        <f>ROUND(IF(E2="工业",C40*$M$42,C40*$M$41),0)</f>
        <v>1820</v>
      </c>
      <c r="H40" s="162">
        <f t="shared" si="5"/>
        <v>349.22</v>
      </c>
      <c r="I40" s="162">
        <f t="shared" si="6"/>
        <v>64</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7279</v>
      </c>
      <c r="D41" s="1937"/>
      <c r="E41" s="162">
        <f t="shared" si="4"/>
        <v>0</v>
      </c>
      <c r="F41" s="166">
        <f>SUMIF(修正!A59:A70,G2,修正!F59:F70)</f>
        <v>0.3</v>
      </c>
      <c r="G41" s="162">
        <f>ROUND(IF(E2="工业",C41*$M$42,C41*$M$41),0)</f>
        <v>1820</v>
      </c>
      <c r="H41" s="162">
        <f t="shared" si="5"/>
        <v>0</v>
      </c>
      <c r="I41" s="162">
        <f t="shared" si="6"/>
        <v>0</v>
      </c>
      <c r="J41" s="936"/>
      <c r="L41" s="3060" t="s">
        <v>3256</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4852</v>
      </c>
      <c r="D42" s="1942">
        <f>'数据-基础表'!K13</f>
        <v>2588.69</v>
      </c>
      <c r="E42" s="178">
        <f t="shared" si="4"/>
        <v>1256</v>
      </c>
      <c r="F42" s="721">
        <f>SUMIF(修正!A59:A70,G2,修正!G59:G70)</f>
        <v>0.2</v>
      </c>
      <c r="G42" s="178">
        <f>ROUND(IF(E2="工业",C42*$M$42,C42*$M$41),0)</f>
        <v>1213</v>
      </c>
      <c r="H42" s="178">
        <f t="shared" si="5"/>
        <v>2588.69</v>
      </c>
      <c r="I42" s="178">
        <f t="shared" si="6"/>
        <v>314</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2120</v>
      </c>
      <c r="C44" s="332">
        <f>ROUND(POWER(1+E44,H44-G44)*(POWER(1+E44,G44)-1)/(POWER(1+E44,H44)-1),4)</f>
        <v>0.84730000000000005</v>
      </c>
      <c r="D44" s="162" t="s">
        <v>1999</v>
      </c>
      <c r="E44" s="1988">
        <f>G24</f>
        <v>5.5E-2</v>
      </c>
      <c r="F44" s="162" t="s">
        <v>2008</v>
      </c>
      <c r="G44" s="174">
        <f>项目基本情况!F15</f>
        <v>29.06</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c r="D50" s="999">
        <f t="shared" ref="D50:D58" si="7">SUMIF($J$49:$N$49,C50,J50:N50)</f>
        <v>0</v>
      </c>
      <c r="E50" s="700">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c r="D51" s="999">
        <f t="shared" si="7"/>
        <v>0</v>
      </c>
      <c r="E51" s="701"/>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3258</v>
      </c>
      <c r="B52" s="1259">
        <f>估价对象房地状况!C19</f>
        <v>0</v>
      </c>
      <c r="C52" s="1884"/>
      <c r="D52" s="999">
        <f t="shared" si="7"/>
        <v>0</v>
      </c>
      <c r="E52" s="701"/>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1"/>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1"/>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1"/>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c r="D56" s="999">
        <f t="shared" si="7"/>
        <v>0</v>
      </c>
      <c r="E56" s="701"/>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c r="D57" s="999">
        <f t="shared" si="7"/>
        <v>0</v>
      </c>
      <c r="E57" s="701"/>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c r="D58" s="999">
        <f t="shared" si="7"/>
        <v>0</v>
      </c>
      <c r="E58" s="702"/>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3429</v>
      </c>
      <c r="D61" s="999">
        <f t="shared" ref="D61:D69" si="12">SUMIF($J$60:$N$60,C61,J61:N61)</f>
        <v>1.18E-2</v>
      </c>
      <c r="E61" s="700">
        <f>ROUND(SUM(D61:D69),4)</f>
        <v>5.1200000000000002E-2</v>
      </c>
      <c r="F61" s="1672">
        <f>IF(E2="办公",SUMIF(L1:L12,G2,N1:N12),"——")</f>
        <v>9.5000000000000001E-2</v>
      </c>
      <c r="G61" s="997">
        <f>H61</f>
        <v>1.18E-2</v>
      </c>
      <c r="H61" s="1000">
        <f t="shared" ref="H61:H69" si="13">IFERROR(ROUNDDOWN($F$61*I61/2,4),"——")</f>
        <v>1.18E-2</v>
      </c>
      <c r="I61" s="3066">
        <v>0.25</v>
      </c>
      <c r="J61" s="998">
        <f t="shared" ref="J61:J69" si="14">K61+$G61</f>
        <v>2.3599999999999999E-2</v>
      </c>
      <c r="K61" s="998">
        <f t="shared" ref="K61:K69" si="15">$L61+$G61</f>
        <v>1.18E-2</v>
      </c>
      <c r="L61" s="998">
        <v>0</v>
      </c>
      <c r="M61" s="998">
        <f t="shared" ref="M61:N69" si="16">L61-$G61</f>
        <v>-1.18E-2</v>
      </c>
      <c r="N61" s="998">
        <f t="shared" si="16"/>
        <v>-2.3599999999999999E-2</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t="s">
        <v>3429</v>
      </c>
      <c r="D62" s="999">
        <f t="shared" si="12"/>
        <v>1.23E-2</v>
      </c>
      <c r="E62" s="701"/>
      <c r="F62" s="1672"/>
      <c r="G62" s="997">
        <f t="shared" ref="G62:G69" si="17">H62</f>
        <v>1.23E-2</v>
      </c>
      <c r="H62" s="1000">
        <f t="shared" si="13"/>
        <v>1.23E-2</v>
      </c>
      <c r="I62" s="3066">
        <v>0.26</v>
      </c>
      <c r="J62" s="998">
        <f t="shared" si="14"/>
        <v>2.46E-2</v>
      </c>
      <c r="K62" s="998">
        <f t="shared" si="15"/>
        <v>1.23E-2</v>
      </c>
      <c r="L62" s="998">
        <v>0</v>
      </c>
      <c r="M62" s="998">
        <f t="shared" si="16"/>
        <v>-1.23E-2</v>
      </c>
      <c r="N62" s="998">
        <f t="shared" si="16"/>
        <v>-2.46E-2</v>
      </c>
      <c r="AA62" s="1054"/>
      <c r="AB62" s="1054"/>
      <c r="AC62" s="1054"/>
      <c r="AD62" s="1054"/>
      <c r="AE62" s="1054"/>
      <c r="AF62" s="1054"/>
      <c r="AG62" s="1054"/>
      <c r="AH62" s="1054"/>
      <c r="AI62" s="1054"/>
      <c r="AJ62" s="1054"/>
      <c r="AK62" s="1054"/>
    </row>
    <row r="63" spans="1:37" s="1053" customFormat="1" ht="36">
      <c r="A63" s="3068" t="s">
        <v>3258</v>
      </c>
      <c r="B63" s="1259">
        <f>估价对象房地状况!C19</f>
        <v>0</v>
      </c>
      <c r="C63" s="1884" t="s">
        <v>3429</v>
      </c>
      <c r="D63" s="999">
        <f t="shared" si="12"/>
        <v>5.1999999999999998E-3</v>
      </c>
      <c r="E63" s="701"/>
      <c r="F63" s="1672"/>
      <c r="G63" s="997">
        <f t="shared" si="17"/>
        <v>5.1999999999999998E-3</v>
      </c>
      <c r="H63" s="1000">
        <f t="shared" si="13"/>
        <v>5.1999999999999998E-3</v>
      </c>
      <c r="I63" s="3066">
        <v>0.11</v>
      </c>
      <c r="J63" s="998">
        <f t="shared" si="14"/>
        <v>1.04E-2</v>
      </c>
      <c r="K63" s="998">
        <f t="shared" si="15"/>
        <v>5.1999999999999998E-3</v>
      </c>
      <c r="L63" s="998">
        <v>0</v>
      </c>
      <c r="M63" s="998">
        <f t="shared" si="16"/>
        <v>-5.1999999999999998E-3</v>
      </c>
      <c r="N63" s="998">
        <f t="shared" si="16"/>
        <v>-1.04E-2</v>
      </c>
      <c r="AA63" s="1054"/>
      <c r="AB63" s="1054"/>
      <c r="AC63" s="1054"/>
      <c r="AD63" s="1054"/>
      <c r="AE63" s="1054"/>
      <c r="AF63" s="1054"/>
      <c r="AG63" s="1054"/>
      <c r="AH63" s="1054"/>
      <c r="AI63" s="1054"/>
      <c r="AJ63" s="1054"/>
      <c r="AK63" s="1054"/>
    </row>
    <row r="64" spans="1:37" s="1053" customFormat="1" ht="36.75">
      <c r="A64" s="1967" t="s">
        <v>2054</v>
      </c>
      <c r="B64" s="1971" t="s">
        <v>2055</v>
      </c>
      <c r="C64" s="1884" t="s">
        <v>3429</v>
      </c>
      <c r="D64" s="999">
        <f t="shared" si="12"/>
        <v>2.3E-3</v>
      </c>
      <c r="E64" s="701"/>
      <c r="F64" s="1672"/>
      <c r="G64" s="997">
        <f t="shared" si="17"/>
        <v>2.3E-3</v>
      </c>
      <c r="H64" s="1000">
        <f t="shared" si="13"/>
        <v>2.3E-3</v>
      </c>
      <c r="I64" s="3066">
        <v>0.05</v>
      </c>
      <c r="J64" s="998">
        <f t="shared" si="14"/>
        <v>4.5999999999999999E-3</v>
      </c>
      <c r="K64" s="998">
        <f t="shared" si="15"/>
        <v>2.3E-3</v>
      </c>
      <c r="L64" s="998">
        <v>0</v>
      </c>
      <c r="M64" s="998">
        <f t="shared" si="16"/>
        <v>-2.3E-3</v>
      </c>
      <c r="N64" s="998">
        <f t="shared" si="16"/>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3429</v>
      </c>
      <c r="D65" s="999">
        <f t="shared" si="12"/>
        <v>2.3E-3</v>
      </c>
      <c r="E65" s="701"/>
      <c r="F65" s="1672"/>
      <c r="G65" s="997">
        <f t="shared" si="17"/>
        <v>2.3E-3</v>
      </c>
      <c r="H65" s="1000">
        <f t="shared" si="13"/>
        <v>2.3E-3</v>
      </c>
      <c r="I65" s="3066">
        <v>0.05</v>
      </c>
      <c r="J65" s="998">
        <f t="shared" si="14"/>
        <v>4.5999999999999999E-3</v>
      </c>
      <c r="K65" s="998">
        <f t="shared" si="15"/>
        <v>2.3E-3</v>
      </c>
      <c r="L65" s="998">
        <v>0</v>
      </c>
      <c r="M65" s="998">
        <f t="shared" si="16"/>
        <v>-2.3E-3</v>
      </c>
      <c r="N65" s="998">
        <f t="shared" si="16"/>
        <v>-4.5999999999999999E-3</v>
      </c>
      <c r="AA65" s="1054"/>
      <c r="AB65" s="1054"/>
      <c r="AC65" s="1054"/>
      <c r="AD65" s="1054"/>
      <c r="AE65" s="1054"/>
      <c r="AF65" s="1054"/>
      <c r="AG65" s="1054"/>
      <c r="AH65" s="1054"/>
      <c r="AI65" s="1054"/>
      <c r="AJ65" s="1054"/>
      <c r="AK65" s="1054"/>
    </row>
    <row r="66" spans="1:37" s="1053" customFormat="1" ht="24">
      <c r="A66" s="1967" t="s">
        <v>2057</v>
      </c>
      <c r="B66" s="1972" t="s">
        <v>2058</v>
      </c>
      <c r="C66" s="1884" t="s">
        <v>3429</v>
      </c>
      <c r="D66" s="999">
        <f t="shared" si="12"/>
        <v>2.8E-3</v>
      </c>
      <c r="E66" s="701"/>
      <c r="F66" s="1672"/>
      <c r="G66" s="997">
        <f t="shared" si="17"/>
        <v>2.8E-3</v>
      </c>
      <c r="H66" s="1000">
        <f t="shared" si="13"/>
        <v>2.8E-3</v>
      </c>
      <c r="I66" s="3066">
        <v>0.06</v>
      </c>
      <c r="J66" s="998">
        <f t="shared" si="14"/>
        <v>5.5999999999999999E-3</v>
      </c>
      <c r="K66" s="998">
        <f t="shared" si="15"/>
        <v>2.8E-3</v>
      </c>
      <c r="L66" s="998">
        <v>0</v>
      </c>
      <c r="M66" s="998">
        <f t="shared" si="16"/>
        <v>-2.8E-3</v>
      </c>
      <c r="N66" s="998">
        <f t="shared" si="16"/>
        <v>-5.5999999999999999E-3</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t="s">
        <v>3429</v>
      </c>
      <c r="D67" s="999">
        <f t="shared" si="12"/>
        <v>2.8E-3</v>
      </c>
      <c r="E67" s="701"/>
      <c r="F67" s="1672"/>
      <c r="G67" s="997">
        <f t="shared" si="17"/>
        <v>2.8E-3</v>
      </c>
      <c r="H67" s="1000">
        <f t="shared" si="13"/>
        <v>2.8E-3</v>
      </c>
      <c r="I67" s="3066">
        <v>0.06</v>
      </c>
      <c r="J67" s="998">
        <f t="shared" si="14"/>
        <v>5.5999999999999999E-3</v>
      </c>
      <c r="K67" s="998">
        <f t="shared" si="15"/>
        <v>2.8E-3</v>
      </c>
      <c r="L67" s="998">
        <v>0</v>
      </c>
      <c r="M67" s="998">
        <f t="shared" si="16"/>
        <v>-2.8E-3</v>
      </c>
      <c r="N67" s="998">
        <f t="shared" si="16"/>
        <v>-5.5999999999999999E-3</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t="s">
        <v>3430</v>
      </c>
      <c r="D68" s="999">
        <f t="shared" si="12"/>
        <v>8.3999999999999995E-3</v>
      </c>
      <c r="E68" s="701"/>
      <c r="F68" s="1672"/>
      <c r="G68" s="997">
        <f t="shared" si="17"/>
        <v>4.1999999999999997E-3</v>
      </c>
      <c r="H68" s="1000">
        <f t="shared" si="13"/>
        <v>4.1999999999999997E-3</v>
      </c>
      <c r="I68" s="3066">
        <v>0.09</v>
      </c>
      <c r="J68" s="998">
        <f t="shared" si="14"/>
        <v>8.3999999999999995E-3</v>
      </c>
      <c r="K68" s="998">
        <f t="shared" si="15"/>
        <v>4.1999999999999997E-3</v>
      </c>
      <c r="L68" s="998">
        <v>0</v>
      </c>
      <c r="M68" s="998">
        <f t="shared" si="16"/>
        <v>-4.1999999999999997E-3</v>
      </c>
      <c r="N68" s="998">
        <f t="shared" si="16"/>
        <v>-8.3999999999999995E-3</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t="s">
        <v>3429</v>
      </c>
      <c r="D69" s="999">
        <f t="shared" si="12"/>
        <v>3.3E-3</v>
      </c>
      <c r="E69" s="702"/>
      <c r="F69" s="1672"/>
      <c r="G69" s="997">
        <f t="shared" si="17"/>
        <v>3.3E-3</v>
      </c>
      <c r="H69" s="1000">
        <f t="shared" si="13"/>
        <v>3.3E-3</v>
      </c>
      <c r="I69" s="3067">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3"/>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3258</v>
      </c>
      <c r="B74" s="1259">
        <f>估价对象房地状况!C19</f>
        <v>0</v>
      </c>
      <c r="C74" s="1884"/>
      <c r="D74" s="999">
        <f t="shared" si="18"/>
        <v>0</v>
      </c>
      <c r="E74" s="703"/>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3"/>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3"/>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3"/>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3"/>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3"/>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4"/>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7"/>
      <c r="D81" s="697"/>
      <c r="E81" s="698"/>
      <c r="F81" s="1966"/>
      <c r="G81" s="3"/>
      <c r="H81" s="3"/>
      <c r="I81" s="3"/>
      <c r="J81" s="4"/>
      <c r="K81" s="4"/>
      <c r="L81" s="4"/>
      <c r="M81" s="4"/>
      <c r="N81" s="4"/>
      <c r="Z81" s="1842"/>
      <c r="AA81" s="1892"/>
      <c r="AG81" s="1055"/>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3"/>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3259</v>
      </c>
      <c r="B85" s="1259">
        <f>估价对象房地状况!G17</f>
        <v>0</v>
      </c>
      <c r="C85" s="1884"/>
      <c r="D85" s="999">
        <f t="shared" si="23"/>
        <v>0</v>
      </c>
      <c r="E85" s="703"/>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3"/>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3"/>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4"/>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2601</v>
      </c>
      <c r="B91" s="3077">
        <f>1+E93</f>
        <v>1</v>
      </c>
      <c r="C91" s="3070"/>
      <c r="D91" s="3071"/>
      <c r="E91" s="1672"/>
      <c r="F91" s="1672"/>
      <c r="G91" s="3072"/>
      <c r="H91" s="3073"/>
      <c r="I91" s="3074"/>
      <c r="J91" s="3075"/>
      <c r="K91" s="3075"/>
      <c r="L91" s="3075"/>
      <c r="M91" s="3075"/>
      <c r="N91" s="3075"/>
    </row>
    <row r="92" spans="1:37" ht="24.75">
      <c r="A92" s="3078" t="s">
        <v>3260</v>
      </c>
      <c r="B92" s="2307"/>
      <c r="C92" s="2307" t="s">
        <v>3269</v>
      </c>
      <c r="D92" s="2307" t="s">
        <v>3270</v>
      </c>
      <c r="E92" s="3050" t="s">
        <v>3271</v>
      </c>
      <c r="F92" s="3080" t="s">
        <v>3272</v>
      </c>
      <c r="G92" s="2307" t="s">
        <v>3273</v>
      </c>
      <c r="H92" s="3087" t="s">
        <v>3276</v>
      </c>
      <c r="I92" s="2307" t="s">
        <v>3277</v>
      </c>
      <c r="J92" s="2147" t="s">
        <v>3278</v>
      </c>
      <c r="K92" s="2147" t="s">
        <v>3279</v>
      </c>
      <c r="L92" s="2147" t="s">
        <v>3280</v>
      </c>
      <c r="M92" s="2147" t="s">
        <v>3281</v>
      </c>
      <c r="N92" s="2147" t="s">
        <v>3282</v>
      </c>
    </row>
    <row r="93" spans="1:37" ht="24">
      <c r="A93" s="3068" t="s">
        <v>3261</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3262</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3258</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3263</v>
      </c>
      <c r="B96" s="3084" t="s">
        <v>3274</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3264</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3265</v>
      </c>
      <c r="B98" s="3085" t="s">
        <v>3275</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3266</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3267</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3268</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401" t="s">
        <v>3283</v>
      </c>
      <c r="B103" s="3401"/>
      <c r="C103" s="3401"/>
      <c r="D103" s="3401"/>
      <c r="E103" s="3401"/>
      <c r="F103" s="3401"/>
      <c r="G103" s="3401"/>
      <c r="H103" s="3401"/>
      <c r="I103" s="3401"/>
      <c r="J103" s="3401"/>
      <c r="K103" s="1664"/>
      <c r="L103" s="1664"/>
      <c r="M103" s="1664"/>
      <c r="N103" s="1664"/>
    </row>
    <row r="104" spans="1:14">
      <c r="A104" s="3402" t="s">
        <v>3284</v>
      </c>
      <c r="B104" s="3402" t="s">
        <v>3285</v>
      </c>
      <c r="C104" s="3088" t="s">
        <v>3286</v>
      </c>
      <c r="D104" s="3089"/>
      <c r="E104" s="3089"/>
      <c r="F104" s="3089"/>
      <c r="G104" s="3089"/>
      <c r="H104" s="3089"/>
      <c r="I104" s="3089"/>
      <c r="J104" s="3090"/>
      <c r="K104" s="3091"/>
      <c r="L104" s="3091"/>
      <c r="M104" s="3091"/>
      <c r="N104" s="3091"/>
    </row>
    <row r="105" spans="1:14">
      <c r="A105" s="3402"/>
      <c r="B105" s="3402"/>
      <c r="C105" s="3092" t="s">
        <v>3287</v>
      </c>
      <c r="D105" s="3092" t="s">
        <v>3288</v>
      </c>
      <c r="E105" s="3092" t="s">
        <v>3289</v>
      </c>
      <c r="F105" s="3092" t="s">
        <v>3290</v>
      </c>
      <c r="G105" s="3092" t="s">
        <v>3291</v>
      </c>
      <c r="H105" s="3092" t="s">
        <v>3292</v>
      </c>
      <c r="I105" s="3092" t="s">
        <v>3293</v>
      </c>
      <c r="J105" s="3092" t="s">
        <v>3294</v>
      </c>
      <c r="K105" s="3092" t="s">
        <v>3295</v>
      </c>
      <c r="L105" s="3092" t="s">
        <v>3296</v>
      </c>
      <c r="M105" s="3092" t="s">
        <v>3297</v>
      </c>
      <c r="N105" s="3092" t="s">
        <v>3298</v>
      </c>
    </row>
    <row r="106" spans="1:14">
      <c r="A106" s="3388" t="s">
        <v>3299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9"/>
      <c r="B111" s="3092" t="s">
        <v>3257</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390"/>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391" t="s">
        <v>3300</v>
      </c>
      <c r="B113" s="3391"/>
      <c r="C113" s="3391"/>
      <c r="D113" s="3391"/>
      <c r="E113" s="3391"/>
      <c r="F113" s="3391"/>
      <c r="G113" s="3391"/>
      <c r="H113" s="3391"/>
      <c r="I113" s="3391"/>
      <c r="J113" s="3391"/>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3301</v>
      </c>
      <c r="B116" s="3112">
        <f>G3</f>
        <v>3.5</v>
      </c>
      <c r="C116" s="3097" t="s">
        <v>3302</v>
      </c>
      <c r="D116" s="3098">
        <f>SUMPRODUCT((A118:A122=F116)*(B117:M117=H116)*B118:M122)</f>
        <v>0.95379999999999998</v>
      </c>
      <c r="E116" s="161" t="s">
        <v>3303</v>
      </c>
      <c r="F116" s="3099" t="str">
        <f>E2</f>
        <v>办公</v>
      </c>
      <c r="G116" s="161" t="s">
        <v>3304</v>
      </c>
      <c r="H116" s="3099" t="str">
        <f>G2</f>
        <v>二级</v>
      </c>
      <c r="I116" s="161"/>
      <c r="J116" s="3100"/>
      <c r="K116" s="3100"/>
      <c r="L116" s="3100"/>
      <c r="M116" s="3100"/>
      <c r="N116" s="3095"/>
    </row>
    <row r="117" spans="1:14">
      <c r="A117" s="3101"/>
      <c r="B117" s="3102" t="s">
        <v>3305</v>
      </c>
      <c r="C117" s="3102" t="s">
        <v>3306</v>
      </c>
      <c r="D117" s="3102" t="s">
        <v>3307</v>
      </c>
      <c r="E117" s="3103" t="s">
        <v>3308</v>
      </c>
      <c r="F117" s="3103" t="s">
        <v>3309</v>
      </c>
      <c r="G117" s="3103" t="s">
        <v>3310</v>
      </c>
      <c r="H117" s="3104" t="s">
        <v>3311</v>
      </c>
      <c r="I117" s="3104" t="s">
        <v>3312</v>
      </c>
      <c r="J117" s="3105" t="s">
        <v>3313</v>
      </c>
      <c r="K117" s="3105" t="s">
        <v>3314</v>
      </c>
      <c r="L117" s="3105" t="s">
        <v>3315</v>
      </c>
      <c r="M117" s="3106" t="s">
        <v>3316</v>
      </c>
      <c r="N117" s="3095"/>
    </row>
    <row r="118" spans="1:14">
      <c r="A118" s="3055" t="s">
        <v>3317</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6">I118</f>
        <v>0.78559999999999997</v>
      </c>
      <c r="K118" s="3087">
        <f t="shared" si="36"/>
        <v>0.78559999999999997</v>
      </c>
      <c r="L118" s="3087">
        <f t="shared" si="36"/>
        <v>0.78559999999999997</v>
      </c>
      <c r="M118" s="3107">
        <f t="shared" si="36"/>
        <v>0.78559999999999997</v>
      </c>
      <c r="N118" s="3095"/>
    </row>
    <row r="119" spans="1:14">
      <c r="A119" s="3055" t="s">
        <v>3318</v>
      </c>
      <c r="B119" s="3087">
        <f>ROUND(0.993-0.0112*B116,4)</f>
        <v>0.95379999999999998</v>
      </c>
      <c r="C119" s="3087">
        <f>B119</f>
        <v>0.95379999999999998</v>
      </c>
      <c r="D119" s="3087">
        <f>ROUND(0.9415-0.0142*B116,4)</f>
        <v>0.89180000000000004</v>
      </c>
      <c r="E119" s="3087">
        <f t="shared" ref="E119:H120" si="37">D119</f>
        <v>0.89180000000000004</v>
      </c>
      <c r="F119" s="3087">
        <f t="shared" si="37"/>
        <v>0.89180000000000004</v>
      </c>
      <c r="G119" s="3087">
        <f t="shared" si="37"/>
        <v>0.89180000000000004</v>
      </c>
      <c r="H119" s="3087">
        <f t="shared" si="37"/>
        <v>0.89180000000000004</v>
      </c>
      <c r="I119" s="3087">
        <f>ROUND(0.838-0.0182*B116,4)</f>
        <v>0.77429999999999999</v>
      </c>
      <c r="J119" s="3087">
        <f t="shared" si="36"/>
        <v>0.77429999999999999</v>
      </c>
      <c r="K119" s="3087">
        <f t="shared" si="36"/>
        <v>0.77429999999999999</v>
      </c>
      <c r="L119" s="3087">
        <f t="shared" si="36"/>
        <v>0.77429999999999999</v>
      </c>
      <c r="M119" s="3107">
        <f t="shared" si="36"/>
        <v>0.77429999999999999</v>
      </c>
      <c r="N119" s="3095"/>
    </row>
    <row r="120" spans="1:14">
      <c r="A120" s="3055" t="s">
        <v>3319</v>
      </c>
      <c r="B120" s="3087">
        <f>ROUND(0.9448-0.0115*B116,4)</f>
        <v>0.90459999999999996</v>
      </c>
      <c r="C120" s="3087">
        <f>B120</f>
        <v>0.90459999999999996</v>
      </c>
      <c r="D120" s="3087">
        <f>ROUND(0.937-0.0145*B116,4)</f>
        <v>0.88629999999999998</v>
      </c>
      <c r="E120" s="3087">
        <f t="shared" si="37"/>
        <v>0.88629999999999998</v>
      </c>
      <c r="F120" s="3087">
        <f t="shared" si="37"/>
        <v>0.88629999999999998</v>
      </c>
      <c r="G120" s="3087">
        <f t="shared" si="37"/>
        <v>0.88629999999999998</v>
      </c>
      <c r="H120" s="3087">
        <f t="shared" si="37"/>
        <v>0.88629999999999998</v>
      </c>
      <c r="I120" s="3087">
        <f>ROUND(0.7965-0.0185*B116,4)</f>
        <v>0.73180000000000001</v>
      </c>
      <c r="J120" s="3087">
        <f t="shared" si="36"/>
        <v>0.73180000000000001</v>
      </c>
      <c r="K120" s="3087">
        <f t="shared" si="36"/>
        <v>0.73180000000000001</v>
      </c>
      <c r="L120" s="3087">
        <f t="shared" si="36"/>
        <v>0.73180000000000001</v>
      </c>
      <c r="M120" s="3107">
        <f t="shared" si="36"/>
        <v>0.73180000000000001</v>
      </c>
      <c r="N120" s="3095"/>
    </row>
    <row r="121" spans="1:14" ht="13.5" thickBot="1">
      <c r="A121" s="3108" t="s">
        <v>3320</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6"/>
        <v>0.52400000000000002</v>
      </c>
      <c r="K121" s="3109">
        <f t="shared" si="36"/>
        <v>0.52400000000000002</v>
      </c>
      <c r="L121" s="3109">
        <f t="shared" si="36"/>
        <v>0.52400000000000002</v>
      </c>
      <c r="M121" s="3110">
        <f t="shared" si="36"/>
        <v>0.52400000000000002</v>
      </c>
      <c r="N121" s="3095"/>
    </row>
    <row r="122" spans="1:14">
      <c r="A122" s="3111" t="s">
        <v>2601</v>
      </c>
      <c r="B122" s="3087">
        <f>ROUND(0.9404-0.0106*B116,4)</f>
        <v>0.90329999999999999</v>
      </c>
      <c r="C122" s="3087">
        <f>B122</f>
        <v>0.90329999999999999</v>
      </c>
      <c r="D122" s="3087">
        <f>ROUND(0.8955-0.0135*B116,4)</f>
        <v>0.84830000000000005</v>
      </c>
      <c r="E122" s="3087">
        <f t="shared" ref="E122:H122" si="38">D122</f>
        <v>0.84830000000000005</v>
      </c>
      <c r="F122" s="3087">
        <f t="shared" si="38"/>
        <v>0.84830000000000005</v>
      </c>
      <c r="G122" s="3087">
        <f t="shared" si="38"/>
        <v>0.84830000000000005</v>
      </c>
      <c r="H122" s="3087">
        <f t="shared" si="38"/>
        <v>0.84830000000000005</v>
      </c>
      <c r="I122" s="3087">
        <f>ROUND(0.7632-0.0166*B116,4)</f>
        <v>0.70509999999999995</v>
      </c>
      <c r="J122" s="3087">
        <f t="shared" si="36"/>
        <v>0.70509999999999995</v>
      </c>
      <c r="K122" s="3087">
        <f t="shared" si="36"/>
        <v>0.70509999999999995</v>
      </c>
      <c r="L122" s="3087">
        <f t="shared" si="36"/>
        <v>0.70509999999999995</v>
      </c>
      <c r="M122" s="3107">
        <f t="shared" si="36"/>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I123" sqref="I12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t="s">
        <v>3537</v>
      </c>
      <c r="E1" s="3129" t="s">
        <v>3666</v>
      </c>
      <c r="F1" s="1732" t="s">
        <v>3667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f>IF(E1="项目模式",IF(C2="——",ROUND(C50*D3/10000,0),ROUND(C50*D3/10000,0)-D2),IF(E1="单套模式",IF(C2="——",ROUND(C50*D3/10000,4),ROUND(C50*D3/10000,4)-D2)))</f>
        <v>147180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42662</v>
      </c>
      <c r="C3" s="343" t="s">
        <v>1768</v>
      </c>
      <c r="D3" s="342">
        <f>IF(D1="",'数据-汇总表'!E3,SUMIF('数据-汇总表'!$C19:$C33,D1,'数据-汇总表'!$E19:$E33))</f>
        <v>34499.08</v>
      </c>
      <c r="E3" s="1802"/>
      <c r="F3" s="853"/>
      <c r="G3" s="852"/>
      <c r="H3" s="852"/>
      <c r="I3" s="852"/>
      <c r="J3" s="852"/>
      <c r="K3" s="854"/>
      <c r="L3" s="2501"/>
      <c r="M3" s="2502"/>
      <c r="N3" s="2502"/>
      <c r="O3" s="2502"/>
      <c r="P3" s="340"/>
      <c r="Q3" s="340"/>
      <c r="R3" s="340"/>
      <c r="S3" s="340"/>
      <c r="T3" s="340"/>
      <c r="U3" s="340"/>
      <c r="V3" s="340"/>
      <c r="W3" s="340"/>
      <c r="X3" s="340"/>
      <c r="Y3" s="340"/>
      <c r="Z3" s="340"/>
      <c r="AA3" s="340"/>
      <c r="AB3" s="340"/>
      <c r="AC3" s="661"/>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31" t="s">
        <v>1775</v>
      </c>
      <c r="Q4" s="3432"/>
      <c r="R4" s="3412" t="s">
        <v>1771</v>
      </c>
      <c r="S4" s="3413"/>
      <c r="T4" s="3412" t="s">
        <v>1772</v>
      </c>
      <c r="U4" s="3413"/>
      <c r="V4" s="3439" t="s">
        <v>1773</v>
      </c>
      <c r="W4" s="3439"/>
      <c r="X4" s="1806"/>
      <c r="Y4" s="3412" t="s">
        <v>1775</v>
      </c>
      <c r="Z4" s="3413"/>
      <c r="AA4" s="3407" t="s">
        <v>1771</v>
      </c>
      <c r="AB4" s="3407" t="s">
        <v>1772</v>
      </c>
      <c r="AC4" s="3424" t="s">
        <v>1773</v>
      </c>
    </row>
    <row r="5" spans="1:29" ht="15.75" thickBot="1">
      <c r="A5" s="347"/>
      <c r="B5" s="348"/>
      <c r="C5" s="3418" t="s">
        <v>1673</v>
      </c>
      <c r="D5" s="3417"/>
      <c r="E5" s="3416" t="s">
        <v>3749</v>
      </c>
      <c r="F5" s="3417"/>
      <c r="G5" s="3416" t="s">
        <v>3751</v>
      </c>
      <c r="H5" s="3417"/>
      <c r="I5" s="3416" t="s">
        <v>3750</v>
      </c>
      <c r="J5" s="3417"/>
      <c r="K5" s="536"/>
      <c r="L5" s="2484"/>
      <c r="M5" s="2485"/>
      <c r="N5" s="2485"/>
      <c r="O5" s="2485"/>
      <c r="P5" s="3433"/>
      <c r="Q5" s="3434"/>
      <c r="R5" s="3414"/>
      <c r="S5" s="3415"/>
      <c r="T5" s="3414"/>
      <c r="U5" s="3415"/>
      <c r="V5" s="3440"/>
      <c r="W5" s="3440"/>
      <c r="X5" s="1262"/>
      <c r="Y5" s="3414"/>
      <c r="Z5" s="3415"/>
      <c r="AA5" s="3408"/>
      <c r="AB5" s="3408"/>
      <c r="AC5" s="3425"/>
    </row>
    <row r="6" spans="1:29" ht="15.75" hidden="1" thickBot="1">
      <c r="A6" s="349"/>
      <c r="B6" s="350"/>
      <c r="C6" s="3419" t="s">
        <v>1677</v>
      </c>
      <c r="D6" s="3420"/>
      <c r="E6" s="3421" t="s">
        <v>1677</v>
      </c>
      <c r="F6" s="3422"/>
      <c r="G6" s="3419" t="s">
        <v>1677</v>
      </c>
      <c r="H6" s="3420"/>
      <c r="I6" s="3419" t="s">
        <v>1677</v>
      </c>
      <c r="J6" s="3420"/>
      <c r="K6" s="536" t="s">
        <v>1678</v>
      </c>
      <c r="L6" s="2484"/>
      <c r="M6" s="2485"/>
      <c r="N6" s="2485"/>
      <c r="O6" s="2485"/>
      <c r="P6" s="3435"/>
      <c r="Q6" s="3436"/>
      <c r="R6" s="3414"/>
      <c r="S6" s="3415"/>
      <c r="T6" s="3437"/>
      <c r="U6" s="3438"/>
      <c r="V6" s="3440"/>
      <c r="W6" s="3440"/>
      <c r="X6" s="1262"/>
      <c r="Y6" s="3437"/>
      <c r="Z6" s="3438"/>
      <c r="AA6" s="3409"/>
      <c r="AB6" s="3409"/>
      <c r="AC6" s="3426"/>
    </row>
    <row r="7" spans="1:29" s="102" customFormat="1" ht="15.75" thickBot="1">
      <c r="A7" s="351" t="s">
        <v>1679</v>
      </c>
      <c r="B7" s="352"/>
      <c r="C7" s="353">
        <f>'数据-取费表'!B2</f>
        <v>45881</v>
      </c>
      <c r="D7" s="354">
        <v>100</v>
      </c>
      <c r="E7" s="355">
        <v>45602</v>
      </c>
      <c r="F7" s="356">
        <f>SUMIF(59:59,YEAR(E7)&amp;"-"&amp;MONTH(E7),60:60)</f>
        <v>100</v>
      </c>
      <c r="G7" s="355">
        <v>45133</v>
      </c>
      <c r="H7" s="354">
        <f>SUMIF(59:59,YEAR(G7)&amp;"-"&amp;MONTH(G7),60:60)</f>
        <v>100</v>
      </c>
      <c r="I7" s="355">
        <v>45308</v>
      </c>
      <c r="J7" s="354">
        <f>SUMIF(59:59,YEAR(I7)&amp;"-"&amp;MONTH(I7),60:60)</f>
        <v>100</v>
      </c>
      <c r="K7" s="38"/>
      <c r="L7" s="2486"/>
      <c r="M7" s="2437"/>
      <c r="N7" s="2437"/>
      <c r="O7" s="2437"/>
      <c r="P7" s="3441" t="s">
        <v>1680</v>
      </c>
      <c r="Q7" s="3442"/>
      <c r="R7" s="662" t="s">
        <v>14</v>
      </c>
      <c r="S7" s="663">
        <f t="shared" ref="S7:S15" si="0">F7</f>
        <v>100</v>
      </c>
      <c r="T7" s="662" t="s">
        <v>14</v>
      </c>
      <c r="U7" s="663">
        <f t="shared" ref="U7:U15" si="1">H7</f>
        <v>100</v>
      </c>
      <c r="V7" s="662" t="s">
        <v>14</v>
      </c>
      <c r="W7" s="663">
        <f t="shared" ref="W7:W15" si="2">J7</f>
        <v>100</v>
      </c>
      <c r="X7" s="664"/>
      <c r="Y7" s="3410" t="s">
        <v>1680</v>
      </c>
      <c r="Z7" s="3411"/>
      <c r="AA7" s="50">
        <f>D7/F7</f>
        <v>1</v>
      </c>
      <c r="AB7" s="50">
        <f>D7/H7</f>
        <v>1</v>
      </c>
      <c r="AC7" s="800">
        <f>D7/J7</f>
        <v>1</v>
      </c>
    </row>
    <row r="8" spans="1:29" s="102" customFormat="1" ht="15.75" thickBot="1">
      <c r="A8" s="351" t="s">
        <v>1681</v>
      </c>
      <c r="B8" s="352"/>
      <c r="C8" s="357" t="s">
        <v>3669</v>
      </c>
      <c r="D8" s="354">
        <v>100</v>
      </c>
      <c r="E8" s="357" t="s">
        <v>3669</v>
      </c>
      <c r="F8" s="356">
        <f>SUMIF(62:62,E8,63:63)-SUMIF(62:62,C8,63:63)+100</f>
        <v>100</v>
      </c>
      <c r="G8" s="357" t="s">
        <v>3669</v>
      </c>
      <c r="H8" s="354">
        <f>SUMIF(62:62,G8,63:63)-SUMIF(62:62,C8,63:63)+100</f>
        <v>100</v>
      </c>
      <c r="I8" s="357" t="s">
        <v>3669</v>
      </c>
      <c r="J8" s="354">
        <f>SUMIF(62:62,I8,63:63)-SUMIF(62:62,C8,63:63)+100</f>
        <v>100</v>
      </c>
      <c r="K8" s="38"/>
      <c r="L8" s="2486"/>
      <c r="M8" s="2437"/>
      <c r="N8" s="2437"/>
      <c r="O8" s="2437"/>
      <c r="P8" s="3441" t="s">
        <v>1683</v>
      </c>
      <c r="Q8" s="3411"/>
      <c r="R8" s="662" t="s">
        <v>14</v>
      </c>
      <c r="S8" s="663">
        <f t="shared" si="0"/>
        <v>100</v>
      </c>
      <c r="T8" s="662" t="s">
        <v>14</v>
      </c>
      <c r="U8" s="663">
        <f t="shared" si="1"/>
        <v>100</v>
      </c>
      <c r="V8" s="662" t="s">
        <v>14</v>
      </c>
      <c r="W8" s="663">
        <f t="shared" si="2"/>
        <v>100</v>
      </c>
      <c r="X8" s="664"/>
      <c r="Y8" s="3410" t="s">
        <v>1683</v>
      </c>
      <c r="Z8" s="3411"/>
      <c r="AA8" s="50">
        <f t="shared" ref="AA8:AA47" si="3">D8/F8</f>
        <v>1</v>
      </c>
      <c r="AB8" s="50">
        <f t="shared" ref="AB8:AB47" si="4">D8/H8</f>
        <v>1</v>
      </c>
      <c r="AC8" s="800">
        <f t="shared" ref="AC8:AC47" si="5">D8/J8</f>
        <v>1</v>
      </c>
    </row>
    <row r="9" spans="1:29" s="102" customFormat="1">
      <c r="A9" s="358" t="s">
        <v>1684</v>
      </c>
      <c r="B9" s="60" t="s">
        <v>1685</v>
      </c>
      <c r="C9" s="3189" t="s">
        <v>3668</v>
      </c>
      <c r="D9" s="59">
        <v>100</v>
      </c>
      <c r="E9" s="361" t="s">
        <v>21</v>
      </c>
      <c r="F9" s="59">
        <f>SUMIF(64:64,E9,65:65)-SUMIF(64:64,C9,65:65)+100</f>
        <v>100</v>
      </c>
      <c r="G9" s="361" t="s">
        <v>21</v>
      </c>
      <c r="H9" s="59">
        <f>SUMIF(64:64,G9,65:65)-SUMIF(64:64,C9,65:65)+100</f>
        <v>100</v>
      </c>
      <c r="I9" s="361" t="s">
        <v>21</v>
      </c>
      <c r="J9" s="59">
        <f>SUMIF(64:64,I9,65:65)-SUMIF(64:64,C9,65:65)+100</f>
        <v>100</v>
      </c>
      <c r="K9" s="38"/>
      <c r="L9" s="2486"/>
      <c r="M9" s="2437"/>
      <c r="N9" s="2437"/>
      <c r="O9" s="2437"/>
      <c r="P9" s="3423"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800">
        <f t="shared" si="5"/>
        <v>1</v>
      </c>
    </row>
    <row r="10" spans="1:29" s="365" customFormat="1" ht="27.75" thickBot="1">
      <c r="A10" s="362"/>
      <c r="B10" s="363" t="s">
        <v>1688</v>
      </c>
      <c r="C10" s="3130" t="s">
        <v>3762</v>
      </c>
      <c r="D10" s="118">
        <v>100</v>
      </c>
      <c r="E10" s="3130" t="s">
        <v>3763</v>
      </c>
      <c r="F10" s="118">
        <f>SUMIF(66:66,E10,67:67)-SUMIF(66:66,C10,67:67)+100</f>
        <v>104</v>
      </c>
      <c r="G10" s="3130" t="s">
        <v>3763</v>
      </c>
      <c r="H10" s="118">
        <f>SUMIF(66:66,G10,67:67)-SUMIF(66:66,C10,67:67)+100</f>
        <v>104</v>
      </c>
      <c r="I10" s="3130" t="s">
        <v>3763</v>
      </c>
      <c r="J10" s="118">
        <f>SUMIF(66:66,I10,67:67)-SUMIF(66:66,C10,67:67)+100</f>
        <v>104</v>
      </c>
      <c r="K10" s="38"/>
      <c r="L10" s="2487"/>
      <c r="M10" s="2488"/>
      <c r="N10" s="2488"/>
      <c r="O10" s="2488"/>
      <c r="P10" s="3423"/>
      <c r="Q10" s="529" t="str">
        <f t="shared" si="6"/>
        <v>土地使用年限（年）</v>
      </c>
      <c r="R10" s="662" t="s">
        <v>14</v>
      </c>
      <c r="S10" s="663">
        <f t="shared" si="0"/>
        <v>104</v>
      </c>
      <c r="T10" s="662" t="s">
        <v>14</v>
      </c>
      <c r="U10" s="663">
        <f t="shared" si="1"/>
        <v>104</v>
      </c>
      <c r="V10" s="662" t="s">
        <v>14</v>
      </c>
      <c r="W10" s="663">
        <f t="shared" si="2"/>
        <v>104</v>
      </c>
      <c r="X10" s="664"/>
      <c r="Y10" s="3361"/>
      <c r="Z10" s="50" t="str">
        <f t="shared" si="7"/>
        <v>土地使用年限（年）</v>
      </c>
      <c r="AA10" s="50">
        <f t="shared" si="3"/>
        <v>0.96153846153846156</v>
      </c>
      <c r="AB10" s="50">
        <f t="shared" si="4"/>
        <v>0.96153846153846156</v>
      </c>
      <c r="AC10" s="800">
        <f t="shared" si="5"/>
        <v>0.96153846153846156</v>
      </c>
    </row>
    <row r="11" spans="1:29" ht="15" hidden="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23"/>
      <c r="Q11" s="529" t="str">
        <f t="shared" si="6"/>
        <v>容积率</v>
      </c>
      <c r="R11" s="662" t="s">
        <v>14</v>
      </c>
      <c r="S11" s="663">
        <f t="shared" si="0"/>
        <v>100</v>
      </c>
      <c r="T11" s="662" t="s">
        <v>14</v>
      </c>
      <c r="U11" s="663">
        <f t="shared" si="1"/>
        <v>100</v>
      </c>
      <c r="V11" s="662" t="s">
        <v>14</v>
      </c>
      <c r="W11" s="663">
        <f t="shared" si="2"/>
        <v>100</v>
      </c>
      <c r="X11" s="664"/>
      <c r="Y11" s="3361"/>
      <c r="Z11" s="50" t="str">
        <f t="shared" si="7"/>
        <v>容积率</v>
      </c>
      <c r="AA11" s="50">
        <f t="shared" si="3"/>
        <v>1</v>
      </c>
      <c r="AB11" s="50">
        <f t="shared" si="4"/>
        <v>1</v>
      </c>
      <c r="AC11" s="800">
        <f t="shared" si="5"/>
        <v>1</v>
      </c>
    </row>
    <row r="12" spans="1:29" s="102" customFormat="1" ht="15" hidden="1">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423"/>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800">
        <f>D12/J12</f>
        <v>1</v>
      </c>
    </row>
    <row r="13" spans="1:29" ht="15" hidden="1">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423"/>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800">
        <f t="shared" si="5"/>
        <v>1</v>
      </c>
    </row>
    <row r="14" spans="1:29" ht="15.75" hidden="1"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23"/>
      <c r="Q14" s="529">
        <f t="shared" si="6"/>
        <v>111</v>
      </c>
      <c r="R14" s="662" t="s">
        <v>14</v>
      </c>
      <c r="S14" s="663">
        <f t="shared" si="0"/>
        <v>100</v>
      </c>
      <c r="T14" s="662" t="s">
        <v>14</v>
      </c>
      <c r="U14" s="663">
        <f t="shared" si="1"/>
        <v>100</v>
      </c>
      <c r="V14" s="662" t="s">
        <v>14</v>
      </c>
      <c r="W14" s="663">
        <f t="shared" si="2"/>
        <v>100</v>
      </c>
      <c r="X14" s="664"/>
      <c r="Y14" s="3361"/>
      <c r="Z14" s="50">
        <f t="shared" si="7"/>
        <v>111</v>
      </c>
      <c r="AA14" s="50">
        <f t="shared" si="3"/>
        <v>1</v>
      </c>
      <c r="AB14" s="50">
        <f t="shared" si="4"/>
        <v>1</v>
      </c>
      <c r="AC14" s="800">
        <f t="shared" si="5"/>
        <v>1</v>
      </c>
    </row>
    <row r="15" spans="1:29" ht="15">
      <c r="A15" s="378" t="s">
        <v>1690</v>
      </c>
      <c r="B15" s="553" t="s">
        <v>1811</v>
      </c>
      <c r="C15" s="1808">
        <f>估价对象房地状况!C5</f>
        <v>0</v>
      </c>
      <c r="D15" s="379">
        <v>100</v>
      </c>
      <c r="E15" s="382"/>
      <c r="F15" s="379">
        <f>SUMIF(77:77,E16,78:78)-SUMIF(77:77,C16,78:78)+100</f>
        <v>95</v>
      </c>
      <c r="G15" s="380"/>
      <c r="H15" s="379">
        <f>SUMIF(77:77,G16,78:78)-SUMIF(77:77,C16,78:78)+100</f>
        <v>100</v>
      </c>
      <c r="I15" s="380"/>
      <c r="J15" s="379">
        <f>SUMIF(77:77,I16,78:78)-SUMIF(77:77,C16,78:78)+100</f>
        <v>95</v>
      </c>
      <c r="K15" s="539">
        <v>5</v>
      </c>
      <c r="L15" s="2490"/>
      <c r="M15" s="2485"/>
      <c r="N15" s="2485"/>
      <c r="O15" s="2485"/>
      <c r="P15" s="3443" t="s">
        <v>1691</v>
      </c>
      <c r="Q15" s="1260" t="str">
        <f t="shared" si="6"/>
        <v>办公集聚程度</v>
      </c>
      <c r="R15" s="665" t="s">
        <v>14</v>
      </c>
      <c r="S15" s="666">
        <f t="shared" si="0"/>
        <v>95</v>
      </c>
      <c r="T15" s="665" t="s">
        <v>14</v>
      </c>
      <c r="U15" s="666">
        <f t="shared" si="1"/>
        <v>100</v>
      </c>
      <c r="V15" s="665" t="s">
        <v>14</v>
      </c>
      <c r="W15" s="666">
        <f t="shared" si="2"/>
        <v>95</v>
      </c>
      <c r="X15" s="1262"/>
      <c r="Y15" s="3445" t="s">
        <v>1691</v>
      </c>
      <c r="Z15" s="1261" t="str">
        <f t="shared" si="7"/>
        <v>办公集聚程度</v>
      </c>
      <c r="AA15" s="1261">
        <f t="shared" si="3"/>
        <v>1.0526315789473684</v>
      </c>
      <c r="AB15" s="1261">
        <f t="shared" si="4"/>
        <v>1</v>
      </c>
      <c r="AC15" s="1809">
        <f t="shared" si="5"/>
        <v>1.0526315789473684</v>
      </c>
    </row>
    <row r="16" spans="1:29" ht="15">
      <c r="A16" s="366"/>
      <c r="B16" s="554"/>
      <c r="C16" s="1755" t="s">
        <v>3429</v>
      </c>
      <c r="D16" s="386"/>
      <c r="E16" s="385" t="s">
        <v>3754</v>
      </c>
      <c r="F16" s="386"/>
      <c r="G16" s="385" t="s">
        <v>3429</v>
      </c>
      <c r="H16" s="388"/>
      <c r="I16" s="385" t="s">
        <v>3754</v>
      </c>
      <c r="J16" s="386"/>
      <c r="K16" s="540"/>
      <c r="L16" s="2490"/>
      <c r="M16" s="2485"/>
      <c r="N16" s="2485"/>
      <c r="O16" s="2485"/>
      <c r="P16" s="3444"/>
      <c r="Q16" s="1260"/>
      <c r="R16" s="665"/>
      <c r="S16" s="666"/>
      <c r="T16" s="665"/>
      <c r="U16" s="666"/>
      <c r="V16" s="665"/>
      <c r="W16" s="666"/>
      <c r="X16" s="1262"/>
      <c r="Y16" s="3446"/>
      <c r="Z16" s="1261"/>
      <c r="AA16" s="1261">
        <v>1</v>
      </c>
      <c r="AB16" s="1261">
        <v>1</v>
      </c>
      <c r="AC16" s="1809">
        <v>1</v>
      </c>
    </row>
    <row r="17" spans="1:29" ht="15">
      <c r="A17" s="366"/>
      <c r="B17" s="555" t="s">
        <v>1259</v>
      </c>
      <c r="C17" s="1810">
        <f>估价对象房地状况!C6</f>
        <v>0</v>
      </c>
      <c r="D17" s="388">
        <v>100</v>
      </c>
      <c r="E17" s="392"/>
      <c r="F17" s="388">
        <f>SUMIF(79:79,E18,80:80)-SUMIF(79:79,C18,80:80)+100</f>
        <v>100</v>
      </c>
      <c r="G17" s="392"/>
      <c r="H17" s="393">
        <f>SUMIF(79:79,G18,80:80)-SUMIF(79:79,C18,80:80)+100</f>
        <v>100</v>
      </c>
      <c r="I17" s="392"/>
      <c r="J17" s="393">
        <f>SUMIF(79:79,I18,80:80)-SUMIF(79:79,C18,80:80)+100</f>
        <v>100</v>
      </c>
      <c r="K17" s="539">
        <v>5</v>
      </c>
      <c r="L17" s="2490"/>
      <c r="M17" s="2485"/>
      <c r="N17" s="2485"/>
      <c r="O17" s="2485"/>
      <c r="P17" s="3444"/>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809">
        <f t="shared" si="5"/>
        <v>1</v>
      </c>
    </row>
    <row r="18" spans="1:29" ht="15">
      <c r="A18" s="366"/>
      <c r="B18" s="400"/>
      <c r="C18" s="1811" t="s">
        <v>3429</v>
      </c>
      <c r="D18" s="388"/>
      <c r="E18" s="1753" t="s">
        <v>3429</v>
      </c>
      <c r="F18" s="388"/>
      <c r="G18" s="1753" t="s">
        <v>3429</v>
      </c>
      <c r="H18" s="386"/>
      <c r="I18" s="1753" t="s">
        <v>3429</v>
      </c>
      <c r="J18" s="386"/>
      <c r="K18" s="540"/>
      <c r="L18" s="2490"/>
      <c r="M18" s="2485"/>
      <c r="N18" s="2485"/>
      <c r="O18" s="2485"/>
      <c r="P18" s="3444"/>
      <c r="Q18" s="1260"/>
      <c r="R18" s="665"/>
      <c r="S18" s="666"/>
      <c r="T18" s="665"/>
      <c r="U18" s="666"/>
      <c r="V18" s="665"/>
      <c r="W18" s="666"/>
      <c r="X18" s="1262"/>
      <c r="Y18" s="3446"/>
      <c r="Z18" s="1261"/>
      <c r="AA18" s="1261">
        <v>1</v>
      </c>
      <c r="AB18" s="1261">
        <v>1</v>
      </c>
      <c r="AC18" s="1809">
        <v>1</v>
      </c>
    </row>
    <row r="19" spans="1:29" ht="15">
      <c r="A19" s="366"/>
      <c r="B19" s="555" t="s">
        <v>1812</v>
      </c>
      <c r="C19" s="1810">
        <f>估价对象房地状况!C7</f>
        <v>0</v>
      </c>
      <c r="D19" s="393">
        <v>100</v>
      </c>
      <c r="E19" s="397"/>
      <c r="F19" s="393">
        <f>SUMIF(81:81,E20,82:82)-SUMIF(81:81,C20,82:82)+100</f>
        <v>100</v>
      </c>
      <c r="G19" s="397"/>
      <c r="H19" s="388">
        <f>SUMIF(81:81,G20,82:82)-SUMIF(81:81,C20,82:82)+100</f>
        <v>100</v>
      </c>
      <c r="I19" s="397"/>
      <c r="J19" s="388">
        <f>SUMIF(81:81,I20,82:82)-SUMIF(81:81,C20,82:82)+100</f>
        <v>100</v>
      </c>
      <c r="K19" s="539">
        <v>2</v>
      </c>
      <c r="L19" s="2490"/>
      <c r="M19" s="2485"/>
      <c r="N19" s="2485"/>
      <c r="O19" s="2485"/>
      <c r="P19" s="3444"/>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809">
        <f t="shared" si="5"/>
        <v>1</v>
      </c>
    </row>
    <row r="20" spans="1:29" ht="15">
      <c r="A20" s="366"/>
      <c r="B20" s="400"/>
      <c r="C20" s="1755" t="s">
        <v>3429</v>
      </c>
      <c r="D20" s="386"/>
      <c r="E20" s="1748" t="s">
        <v>3429</v>
      </c>
      <c r="F20" s="386"/>
      <c r="G20" s="1748" t="s">
        <v>3429</v>
      </c>
      <c r="H20" s="386"/>
      <c r="I20" s="1748" t="s">
        <v>3429</v>
      </c>
      <c r="J20" s="386"/>
      <c r="K20" s="540"/>
      <c r="L20" s="2490"/>
      <c r="M20" s="2485"/>
      <c r="N20" s="2485"/>
      <c r="O20" s="2485"/>
      <c r="P20" s="3444"/>
      <c r="Q20" s="1260"/>
      <c r="R20" s="665"/>
      <c r="S20" s="666"/>
      <c r="T20" s="665"/>
      <c r="U20" s="666"/>
      <c r="V20" s="665"/>
      <c r="W20" s="666"/>
      <c r="X20" s="1262"/>
      <c r="Y20" s="3446"/>
      <c r="Z20" s="1261"/>
      <c r="AA20" s="1261">
        <v>1</v>
      </c>
      <c r="AB20" s="1261">
        <v>1</v>
      </c>
      <c r="AC20" s="1809">
        <v>1</v>
      </c>
    </row>
    <row r="21" spans="1:29" ht="15">
      <c r="A21" s="366"/>
      <c r="B21" s="556" t="s">
        <v>1813</v>
      </c>
      <c r="C21" s="1810">
        <f>估价对象房地状况!C8</f>
        <v>0</v>
      </c>
      <c r="D21" s="388">
        <v>100</v>
      </c>
      <c r="E21" s="397"/>
      <c r="F21" s="393">
        <f>SUMIF(83:83,E22,84:84)-SUMIF(83:83,C22,84:84)+100</f>
        <v>100</v>
      </c>
      <c r="G21" s="397"/>
      <c r="H21" s="388">
        <f>SUMIF(83:83,G22,84:84)-SUMIF(83:83,C22,84:84)+100</f>
        <v>100</v>
      </c>
      <c r="I21" s="397"/>
      <c r="J21" s="388">
        <f>SUMIF(83:83,I22,84:84)-SUMIF(83:83,C22,84:84)+100</f>
        <v>100</v>
      </c>
      <c r="K21" s="539">
        <v>5</v>
      </c>
      <c r="L21" s="2490"/>
      <c r="M21" s="2485"/>
      <c r="N21" s="2485"/>
      <c r="O21" s="2485"/>
      <c r="P21" s="3444"/>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809">
        <f t="shared" ref="AC21" si="10">D21/J21</f>
        <v>1</v>
      </c>
    </row>
    <row r="22" spans="1:29" ht="15">
      <c r="A22" s="366"/>
      <c r="B22" s="556"/>
      <c r="C22" s="1811" t="s">
        <v>3753</v>
      </c>
      <c r="D22" s="386"/>
      <c r="E22" s="385" t="s">
        <v>3753</v>
      </c>
      <c r="F22" s="386"/>
      <c r="G22" s="385" t="s">
        <v>3753</v>
      </c>
      <c r="H22" s="386"/>
      <c r="I22" s="385" t="s">
        <v>3753</v>
      </c>
      <c r="J22" s="386"/>
      <c r="K22" s="1061"/>
      <c r="L22" s="2490"/>
      <c r="M22" s="2485"/>
      <c r="N22" s="2485"/>
      <c r="O22" s="2485"/>
      <c r="P22" s="3444"/>
      <c r="Q22" s="1260"/>
      <c r="R22" s="665"/>
      <c r="S22" s="666"/>
      <c r="T22" s="665"/>
      <c r="U22" s="666"/>
      <c r="V22" s="665"/>
      <c r="W22" s="666"/>
      <c r="X22" s="1262"/>
      <c r="Y22" s="3446"/>
      <c r="Z22" s="1261"/>
      <c r="AA22" s="1261">
        <v>1</v>
      </c>
      <c r="AB22" s="1261">
        <v>1</v>
      </c>
      <c r="AC22" s="1809">
        <v>1</v>
      </c>
    </row>
    <row r="23" spans="1:29" ht="15">
      <c r="A23" s="366"/>
      <c r="B23" s="555" t="s">
        <v>1814</v>
      </c>
      <c r="C23" s="1810">
        <f>估价对象房地状况!C9</f>
        <v>0</v>
      </c>
      <c r="D23" s="388">
        <v>100</v>
      </c>
      <c r="E23" s="392"/>
      <c r="F23" s="388">
        <f>SUMIF(85:85,E24,86:86)-SUMIF(85:85,C24,86:86)+100</f>
        <v>95</v>
      </c>
      <c r="G23" s="392"/>
      <c r="H23" s="388">
        <f>SUMIF(85:85,G24,86:86)-SUMIF(85:85,C24,86:86)+100</f>
        <v>95</v>
      </c>
      <c r="I23" s="392"/>
      <c r="J23" s="388">
        <f>SUMIF(85:85,I24,86:86)-SUMIF(85:85,C24,86:86)+100</f>
        <v>95</v>
      </c>
      <c r="K23" s="539">
        <v>5</v>
      </c>
      <c r="L23" s="2490"/>
      <c r="M23" s="2485"/>
      <c r="N23" s="2485"/>
      <c r="O23" s="2485"/>
      <c r="P23" s="3444"/>
      <c r="Q23" s="1260" t="str">
        <f>B23</f>
        <v>环境质量</v>
      </c>
      <c r="R23" s="665" t="s">
        <v>14</v>
      </c>
      <c r="S23" s="666">
        <f>F23</f>
        <v>95</v>
      </c>
      <c r="T23" s="665" t="s">
        <v>14</v>
      </c>
      <c r="U23" s="666">
        <f>H23</f>
        <v>95</v>
      </c>
      <c r="V23" s="665" t="s">
        <v>14</v>
      </c>
      <c r="W23" s="666">
        <f>J23</f>
        <v>95</v>
      </c>
      <c r="X23" s="1262"/>
      <c r="Y23" s="3446"/>
      <c r="Z23" s="1261" t="str">
        <f>Q23</f>
        <v>环境质量</v>
      </c>
      <c r="AA23" s="1261">
        <f t="shared" si="3"/>
        <v>1.0526315789473684</v>
      </c>
      <c r="AB23" s="1261">
        <f t="shared" si="4"/>
        <v>1.0526315789473684</v>
      </c>
      <c r="AC23" s="1809">
        <f t="shared" si="5"/>
        <v>1.0526315789473684</v>
      </c>
    </row>
    <row r="24" spans="1:29" ht="15.75" thickBot="1">
      <c r="A24" s="366"/>
      <c r="B24" s="556"/>
      <c r="C24" s="1755" t="s">
        <v>3429</v>
      </c>
      <c r="D24" s="386"/>
      <c r="E24" s="1748" t="s">
        <v>3754</v>
      </c>
      <c r="F24" s="386"/>
      <c r="G24" s="1748" t="s">
        <v>3754</v>
      </c>
      <c r="H24" s="386"/>
      <c r="I24" s="1748" t="s">
        <v>3754</v>
      </c>
      <c r="J24" s="386"/>
      <c r="K24" s="540"/>
      <c r="L24" s="2490"/>
      <c r="M24" s="2485"/>
      <c r="N24" s="2485"/>
      <c r="O24" s="2485"/>
      <c r="P24" s="3444"/>
      <c r="Q24" s="1260"/>
      <c r="R24" s="665"/>
      <c r="S24" s="666"/>
      <c r="T24" s="665"/>
      <c r="U24" s="666"/>
      <c r="V24" s="665"/>
      <c r="W24" s="666"/>
      <c r="X24" s="1262"/>
      <c r="Y24" s="3446"/>
      <c r="Z24" s="1261"/>
      <c r="AA24" s="1261">
        <v>1</v>
      </c>
      <c r="AB24" s="1261">
        <v>1</v>
      </c>
      <c r="AC24" s="1809">
        <v>1</v>
      </c>
    </row>
    <row r="25" spans="1:29" ht="27" hidden="1">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44"/>
      <c r="Q25" s="1260" t="str">
        <f>B25</f>
        <v>毗邻道路的类型与等级</v>
      </c>
      <c r="R25" s="665" t="s">
        <v>14</v>
      </c>
      <c r="S25" s="666">
        <f>F25</f>
        <v>100</v>
      </c>
      <c r="T25" s="665" t="s">
        <v>14</v>
      </c>
      <c r="U25" s="666">
        <f>H25</f>
        <v>100</v>
      </c>
      <c r="V25" s="665" t="s">
        <v>14</v>
      </c>
      <c r="W25" s="666">
        <f>J25</f>
        <v>100</v>
      </c>
      <c r="X25" s="1262"/>
      <c r="Y25" s="3446"/>
      <c r="Z25" s="1261" t="str">
        <f>Q25</f>
        <v>毗邻道路的类型与等级</v>
      </c>
      <c r="AA25" s="1261">
        <f t="shared" si="3"/>
        <v>1</v>
      </c>
      <c r="AB25" s="1261">
        <f t="shared" si="4"/>
        <v>1</v>
      </c>
      <c r="AC25" s="1809">
        <f t="shared" si="5"/>
        <v>1</v>
      </c>
    </row>
    <row r="26" spans="1:29" ht="15" hidden="1">
      <c r="A26" s="347"/>
      <c r="B26" s="400"/>
      <c r="C26" s="557"/>
      <c r="D26" s="373"/>
      <c r="E26" s="541"/>
      <c r="F26" s="373"/>
      <c r="G26" s="557"/>
      <c r="H26" s="373"/>
      <c r="I26" s="541"/>
      <c r="J26" s="373"/>
      <c r="K26" s="540"/>
      <c r="L26" s="2490"/>
      <c r="M26" s="2485"/>
      <c r="N26" s="2485"/>
      <c r="O26" s="2485"/>
      <c r="P26" s="3444"/>
      <c r="Q26" s="1260"/>
      <c r="R26" s="665"/>
      <c r="S26" s="666"/>
      <c r="T26" s="665"/>
      <c r="U26" s="666"/>
      <c r="V26" s="665"/>
      <c r="W26" s="666"/>
      <c r="X26" s="1262"/>
      <c r="Y26" s="3446"/>
      <c r="Z26" s="1261"/>
      <c r="AA26" s="1261">
        <v>1</v>
      </c>
      <c r="AB26" s="1261">
        <v>1</v>
      </c>
      <c r="AC26" s="1809">
        <v>1</v>
      </c>
    </row>
    <row r="27" spans="1:29" ht="15" hidden="1">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44"/>
      <c r="Q27" s="1260" t="str">
        <f t="shared" ref="Q27:Q47" si="11">B27</f>
        <v>楼层</v>
      </c>
      <c r="R27" s="665" t="s">
        <v>14</v>
      </c>
      <c r="S27" s="666">
        <f>F27</f>
        <v>100</v>
      </c>
      <c r="T27" s="665" t="s">
        <v>14</v>
      </c>
      <c r="U27" s="666">
        <f>H27</f>
        <v>100</v>
      </c>
      <c r="V27" s="665" t="s">
        <v>14</v>
      </c>
      <c r="W27" s="666">
        <f>J27</f>
        <v>100</v>
      </c>
      <c r="X27" s="1262"/>
      <c r="Y27" s="3446"/>
      <c r="Z27" s="1261" t="str">
        <f>Q27</f>
        <v>楼层</v>
      </c>
      <c r="AA27" s="1261">
        <f t="shared" si="3"/>
        <v>1</v>
      </c>
      <c r="AB27" s="1261">
        <f t="shared" si="4"/>
        <v>1</v>
      </c>
      <c r="AC27" s="1809">
        <f t="shared" si="5"/>
        <v>1</v>
      </c>
    </row>
    <row r="28" spans="1:29" s="102" customFormat="1" ht="15" hidden="1">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44"/>
      <c r="Q28" s="529" t="str">
        <f t="shared" si="11"/>
        <v>朝向</v>
      </c>
      <c r="R28" s="662" t="s">
        <v>14</v>
      </c>
      <c r="S28" s="663">
        <f>F28</f>
        <v>100</v>
      </c>
      <c r="T28" s="662" t="s">
        <v>14</v>
      </c>
      <c r="U28" s="663">
        <f>H28</f>
        <v>100</v>
      </c>
      <c r="V28" s="662" t="s">
        <v>14</v>
      </c>
      <c r="W28" s="663">
        <f>J28</f>
        <v>100</v>
      </c>
      <c r="X28" s="664"/>
      <c r="Y28" s="3446"/>
      <c r="Z28" s="50" t="str">
        <f>Q28</f>
        <v>朝向</v>
      </c>
      <c r="AA28" s="1261">
        <f>D28/F28</f>
        <v>1</v>
      </c>
      <c r="AB28" s="1261">
        <f>D28/H28</f>
        <v>1</v>
      </c>
      <c r="AC28" s="1809">
        <f>D28/J28</f>
        <v>1</v>
      </c>
    </row>
    <row r="29" spans="1:29" ht="15" hidden="1">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44"/>
      <c r="Q29" s="1260">
        <f t="shared" si="11"/>
        <v>111</v>
      </c>
      <c r="R29" s="665" t="s">
        <v>14</v>
      </c>
      <c r="S29" s="666">
        <f t="shared" ref="S29:S47" si="12">F29</f>
        <v>100</v>
      </c>
      <c r="T29" s="665" t="s">
        <v>14</v>
      </c>
      <c r="U29" s="666">
        <f t="shared" ref="U29:U47" si="13">H29</f>
        <v>100</v>
      </c>
      <c r="V29" s="665" t="s">
        <v>14</v>
      </c>
      <c r="W29" s="666">
        <f t="shared" ref="W29:W47" si="14">J29</f>
        <v>100</v>
      </c>
      <c r="X29" s="1262"/>
      <c r="Y29" s="3446"/>
      <c r="Z29" s="1261">
        <f t="shared" ref="Z29:Z47" si="15">Q29</f>
        <v>111</v>
      </c>
      <c r="AA29" s="1261">
        <f t="shared" si="3"/>
        <v>1</v>
      </c>
      <c r="AB29" s="1261">
        <f t="shared" si="4"/>
        <v>1</v>
      </c>
      <c r="AC29" s="1809">
        <f t="shared" si="5"/>
        <v>1</v>
      </c>
    </row>
    <row r="30" spans="1:29" ht="15" hidden="1">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44"/>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809">
        <f t="shared" si="5"/>
        <v>1</v>
      </c>
    </row>
    <row r="31" spans="1:29" ht="15" hidden="1">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44"/>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809">
        <f t="shared" si="5"/>
        <v>1</v>
      </c>
    </row>
    <row r="32" spans="1:29" ht="15.75" hidden="1"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44"/>
      <c r="Q32" s="1260">
        <f t="shared" si="11"/>
        <v>111</v>
      </c>
      <c r="R32" s="665" t="s">
        <v>14</v>
      </c>
      <c r="S32" s="666">
        <f t="shared" si="12"/>
        <v>100</v>
      </c>
      <c r="T32" s="665" t="s">
        <v>14</v>
      </c>
      <c r="U32" s="666">
        <f t="shared" si="13"/>
        <v>100</v>
      </c>
      <c r="V32" s="665" t="s">
        <v>14</v>
      </c>
      <c r="W32" s="666">
        <f t="shared" si="14"/>
        <v>100</v>
      </c>
      <c r="X32" s="1262"/>
      <c r="Y32" s="3446"/>
      <c r="Z32" s="1261">
        <f t="shared" si="15"/>
        <v>111</v>
      </c>
      <c r="AA32" s="1261">
        <f t="shared" si="3"/>
        <v>1</v>
      </c>
      <c r="AB32" s="1261">
        <f t="shared" si="4"/>
        <v>1</v>
      </c>
      <c r="AC32" s="1809">
        <f t="shared" si="5"/>
        <v>1</v>
      </c>
    </row>
    <row r="33" spans="1:29" ht="15">
      <c r="A33" s="378" t="s">
        <v>1694</v>
      </c>
      <c r="B33" s="60" t="s">
        <v>1817</v>
      </c>
      <c r="C33" s="3191" t="s">
        <v>3752</v>
      </c>
      <c r="D33" s="404">
        <v>100</v>
      </c>
      <c r="E33" s="3191" t="s">
        <v>3752</v>
      </c>
      <c r="F33" s="399">
        <f>SUMIF(101:101,E33,102:102)-SUMIF(101:101,C33,102:102)+100</f>
        <v>100</v>
      </c>
      <c r="G33" s="3191" t="s">
        <v>3752</v>
      </c>
      <c r="H33" s="373">
        <f>SUMIF(101:101,G33,102:102)-SUMIF(101:101,C33,102:102)+100</f>
        <v>100</v>
      </c>
      <c r="I33" s="3191" t="s">
        <v>3752</v>
      </c>
      <c r="J33" s="404">
        <f>SUMIF(101:101,I33,102:102)-SUMIF(101:101,C33,102:102)+100</f>
        <v>100</v>
      </c>
      <c r="K33" s="537">
        <v>5</v>
      </c>
      <c r="L33" s="2490"/>
      <c r="M33" s="2485"/>
      <c r="N33" s="2485"/>
      <c r="O33" s="2485"/>
      <c r="P33" s="3447" t="s">
        <v>1696</v>
      </c>
      <c r="Q33" s="1260" t="str">
        <f t="shared" si="11"/>
        <v>建筑类型</v>
      </c>
      <c r="R33" s="665" t="s">
        <v>14</v>
      </c>
      <c r="S33" s="666">
        <f t="shared" si="12"/>
        <v>100</v>
      </c>
      <c r="T33" s="665" t="s">
        <v>14</v>
      </c>
      <c r="U33" s="666">
        <f t="shared" si="13"/>
        <v>100</v>
      </c>
      <c r="V33" s="665" t="s">
        <v>14</v>
      </c>
      <c r="W33" s="666">
        <f t="shared" si="14"/>
        <v>100</v>
      </c>
      <c r="X33" s="1262"/>
      <c r="Y33" s="3450" t="s">
        <v>1696</v>
      </c>
      <c r="Z33" s="1261" t="str">
        <f t="shared" si="15"/>
        <v>建筑类型</v>
      </c>
      <c r="AA33" s="1261">
        <f t="shared" si="3"/>
        <v>1</v>
      </c>
      <c r="AB33" s="1261">
        <f t="shared" si="4"/>
        <v>1</v>
      </c>
      <c r="AC33" s="1809">
        <f t="shared" si="5"/>
        <v>1</v>
      </c>
    </row>
    <row r="34" spans="1:29" s="407" customFormat="1" ht="15">
      <c r="A34" s="405"/>
      <c r="B34" s="363" t="s">
        <v>1697</v>
      </c>
      <c r="C34" s="406">
        <f>'数据-汇总表'!E19</f>
        <v>34499.08</v>
      </c>
      <c r="D34" s="118">
        <v>100</v>
      </c>
      <c r="E34" s="368">
        <f>华樾北京!M96</f>
        <v>21802.470000000008</v>
      </c>
      <c r="F34" s="363">
        <f>LOOKUP(E34,104:104,105:105)-LOOKUP(C34,104:104,105:105)+100</f>
        <v>101</v>
      </c>
      <c r="G34" s="367">
        <f>保利大都汇!I24</f>
        <v>5025.78</v>
      </c>
      <c r="H34" s="118">
        <f>LOOKUP(G34,104:104,105:105)-LOOKUP(C34,104:104,105:105)+100</f>
        <v>103</v>
      </c>
      <c r="I34" s="367">
        <f>悦荣中心!I20</f>
        <v>15106.529999999999</v>
      </c>
      <c r="J34" s="118">
        <f>LOOKUP(I34,104:104,105:105)-LOOKUP(C34,104:104,105:105)+100</f>
        <v>102</v>
      </c>
      <c r="K34" s="538"/>
      <c r="L34" s="2489"/>
      <c r="M34" s="2491"/>
      <c r="N34" s="2491"/>
      <c r="O34" s="2491"/>
      <c r="P34" s="3448"/>
      <c r="Q34" s="530" t="str">
        <f t="shared" si="11"/>
        <v>项目建筑规模</v>
      </c>
      <c r="R34" s="667" t="s">
        <v>14</v>
      </c>
      <c r="S34" s="668">
        <f t="shared" si="12"/>
        <v>101</v>
      </c>
      <c r="T34" s="667" t="s">
        <v>14</v>
      </c>
      <c r="U34" s="668">
        <f t="shared" si="13"/>
        <v>103</v>
      </c>
      <c r="V34" s="667" t="s">
        <v>14</v>
      </c>
      <c r="W34" s="668">
        <f t="shared" si="14"/>
        <v>102</v>
      </c>
      <c r="X34" s="669"/>
      <c r="Y34" s="3450"/>
      <c r="Z34" s="670" t="str">
        <f t="shared" si="15"/>
        <v>项目建筑规模</v>
      </c>
      <c r="AA34" s="1261">
        <f t="shared" si="3"/>
        <v>0.99009900990099009</v>
      </c>
      <c r="AB34" s="1261">
        <f t="shared" si="4"/>
        <v>0.970873786407767</v>
      </c>
      <c r="AC34" s="1809">
        <f t="shared" si="5"/>
        <v>0.98039215686274506</v>
      </c>
    </row>
    <row r="35" spans="1:29" ht="15">
      <c r="A35" s="408"/>
      <c r="B35" s="363" t="s">
        <v>1698</v>
      </c>
      <c r="C35" s="3192" t="s">
        <v>3755</v>
      </c>
      <c r="D35" s="373">
        <v>100</v>
      </c>
      <c r="E35" s="3192" t="s">
        <v>3755</v>
      </c>
      <c r="F35" s="399">
        <f>SUMIF(106:106,E35,107:107)-SUMIF(106:106,C35,107:107)+100</f>
        <v>100</v>
      </c>
      <c r="G35" s="3192" t="s">
        <v>3755</v>
      </c>
      <c r="H35" s="373">
        <f>SUMIF(106:106,G35,107:107)-SUMIF(106:106,C35,107:107)+100</f>
        <v>100</v>
      </c>
      <c r="I35" s="3192" t="s">
        <v>3755</v>
      </c>
      <c r="J35" s="373">
        <f>SUMIF(106:106,I35,107:107)-SUMIF(106:106,C35,107:107)+100</f>
        <v>100</v>
      </c>
      <c r="K35" s="537">
        <v>2</v>
      </c>
      <c r="L35" s="2490"/>
      <c r="M35" s="2485"/>
      <c r="N35" s="2485"/>
      <c r="O35" s="2485"/>
      <c r="P35" s="3448"/>
      <c r="Q35" s="1260" t="str">
        <f t="shared" si="11"/>
        <v>建筑结构</v>
      </c>
      <c r="R35" s="665" t="s">
        <v>14</v>
      </c>
      <c r="S35" s="666">
        <f t="shared" si="12"/>
        <v>100</v>
      </c>
      <c r="T35" s="665" t="s">
        <v>14</v>
      </c>
      <c r="U35" s="666">
        <f t="shared" si="13"/>
        <v>100</v>
      </c>
      <c r="V35" s="665" t="s">
        <v>14</v>
      </c>
      <c r="W35" s="666">
        <f t="shared" si="14"/>
        <v>100</v>
      </c>
      <c r="X35" s="1262"/>
      <c r="Y35" s="3450"/>
      <c r="Z35" s="1261" t="str">
        <f t="shared" si="15"/>
        <v>建筑结构</v>
      </c>
      <c r="AA35" s="1261">
        <f t="shared" si="3"/>
        <v>1</v>
      </c>
      <c r="AB35" s="1261">
        <f t="shared" si="4"/>
        <v>1</v>
      </c>
      <c r="AC35" s="1809">
        <f t="shared" si="5"/>
        <v>1</v>
      </c>
    </row>
    <row r="36" spans="1:29" ht="15">
      <c r="A36" s="408"/>
      <c r="B36" s="363" t="s">
        <v>1785</v>
      </c>
      <c r="C36" s="3192" t="s">
        <v>3756</v>
      </c>
      <c r="D36" s="373">
        <v>100</v>
      </c>
      <c r="E36" s="3192" t="s">
        <v>3756</v>
      </c>
      <c r="F36" s="399">
        <f>SUMIF(108:108,E36,109:109)-SUMIF(108:108,C36,109:109)+100</f>
        <v>100</v>
      </c>
      <c r="G36" s="3192" t="s">
        <v>3756</v>
      </c>
      <c r="H36" s="373">
        <f>SUMIF(108:108,G36,109:109)-SUMIF(108:108,C36,109:109)+100</f>
        <v>100</v>
      </c>
      <c r="I36" s="3192" t="s">
        <v>3756</v>
      </c>
      <c r="J36" s="373">
        <f>SUMIF(108:108,I36,109:109)-SUMIF(108:108,C36,109:109)+100</f>
        <v>100</v>
      </c>
      <c r="K36" s="537">
        <v>2</v>
      </c>
      <c r="L36" s="2490"/>
      <c r="M36" s="2485"/>
      <c r="N36" s="2485"/>
      <c r="O36" s="2485"/>
      <c r="P36" s="3448"/>
      <c r="Q36" s="1260" t="str">
        <f t="shared" si="11"/>
        <v>公共部分装修</v>
      </c>
      <c r="R36" s="665" t="s">
        <v>14</v>
      </c>
      <c r="S36" s="666">
        <f t="shared" si="12"/>
        <v>100</v>
      </c>
      <c r="T36" s="665" t="s">
        <v>14</v>
      </c>
      <c r="U36" s="666">
        <f t="shared" si="13"/>
        <v>100</v>
      </c>
      <c r="V36" s="665" t="s">
        <v>14</v>
      </c>
      <c r="W36" s="666">
        <f t="shared" si="14"/>
        <v>100</v>
      </c>
      <c r="X36" s="1262"/>
      <c r="Y36" s="3450"/>
      <c r="Z36" s="1261" t="str">
        <f t="shared" si="15"/>
        <v>公共部分装修</v>
      </c>
      <c r="AA36" s="1261">
        <f t="shared" si="3"/>
        <v>1</v>
      </c>
      <c r="AB36" s="1261">
        <f t="shared" si="4"/>
        <v>1</v>
      </c>
      <c r="AC36" s="1809">
        <f t="shared" si="5"/>
        <v>1</v>
      </c>
    </row>
    <row r="37" spans="1:29" ht="15">
      <c r="A37" s="408"/>
      <c r="B37" s="363" t="s">
        <v>1786</v>
      </c>
      <c r="C37" s="410">
        <f>'数据-取费表'!N6</f>
        <v>0.8</v>
      </c>
      <c r="D37" s="373">
        <v>100</v>
      </c>
      <c r="E37" s="410">
        <f>ROUND(1-(2025-E51)/60,2)</f>
        <v>0.88</v>
      </c>
      <c r="F37" s="399">
        <f>LOOKUP(E37,111:111,112:112)-LOOKUP(C37,111:111,112:112)+100</f>
        <v>100</v>
      </c>
      <c r="G37" s="410">
        <f>ROUND(1-(2025-G51)/60,2)</f>
        <v>0.92</v>
      </c>
      <c r="H37" s="399">
        <f>LOOKUP(G37,111:111,112:112)-LOOKUP(C37,111:111,112:112)+100</f>
        <v>102</v>
      </c>
      <c r="I37" s="410">
        <f>ROUND(1-(2025-I51)/60,2)</f>
        <v>0.93</v>
      </c>
      <c r="J37" s="373">
        <f>LOOKUP(I37,111:111,112:112)-LOOKUP(C37,111:111,112:112)+100</f>
        <v>102</v>
      </c>
      <c r="K37" s="537">
        <v>2</v>
      </c>
      <c r="L37" s="2490"/>
      <c r="M37" s="2485"/>
      <c r="N37" s="2485"/>
      <c r="O37" s="2485"/>
      <c r="P37" s="3448"/>
      <c r="Q37" s="1260" t="str">
        <f t="shared" si="11"/>
        <v>成新度</v>
      </c>
      <c r="R37" s="665" t="s">
        <v>14</v>
      </c>
      <c r="S37" s="666">
        <f t="shared" si="12"/>
        <v>100</v>
      </c>
      <c r="T37" s="665" t="s">
        <v>14</v>
      </c>
      <c r="U37" s="666">
        <f t="shared" si="13"/>
        <v>102</v>
      </c>
      <c r="V37" s="665" t="s">
        <v>14</v>
      </c>
      <c r="W37" s="666">
        <f t="shared" si="14"/>
        <v>102</v>
      </c>
      <c r="X37" s="1262"/>
      <c r="Y37" s="3450"/>
      <c r="Z37" s="1261" t="str">
        <f t="shared" si="15"/>
        <v>成新度</v>
      </c>
      <c r="AA37" s="1261">
        <f t="shared" si="3"/>
        <v>1</v>
      </c>
      <c r="AB37" s="1261">
        <f t="shared" si="4"/>
        <v>0.98039215686274506</v>
      </c>
      <c r="AC37" s="1809">
        <f t="shared" si="5"/>
        <v>0.98039215686274506</v>
      </c>
    </row>
    <row r="38" spans="1:29" s="102"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48"/>
      <c r="Q38" s="529" t="str">
        <f t="shared" si="11"/>
        <v>写字楼等级</v>
      </c>
      <c r="R38" s="662" t="s">
        <v>14</v>
      </c>
      <c r="S38" s="663">
        <f t="shared" si="12"/>
        <v>100</v>
      </c>
      <c r="T38" s="662" t="s">
        <v>14</v>
      </c>
      <c r="U38" s="663">
        <f t="shared" si="13"/>
        <v>100</v>
      </c>
      <c r="V38" s="662" t="s">
        <v>14</v>
      </c>
      <c r="W38" s="663">
        <f t="shared" si="14"/>
        <v>100</v>
      </c>
      <c r="X38" s="664"/>
      <c r="Y38" s="3450"/>
      <c r="Z38" s="50" t="str">
        <f t="shared" si="15"/>
        <v>写字楼等级</v>
      </c>
      <c r="AA38" s="50">
        <f t="shared" si="3"/>
        <v>1</v>
      </c>
      <c r="AB38" s="50">
        <f t="shared" si="4"/>
        <v>1</v>
      </c>
      <c r="AC38" s="800">
        <f t="shared" si="5"/>
        <v>1</v>
      </c>
    </row>
    <row r="39" spans="1:29" ht="15">
      <c r="A39" s="408"/>
      <c r="B39" s="363" t="s">
        <v>1819</v>
      </c>
      <c r="C39" s="3192" t="s">
        <v>3757</v>
      </c>
      <c r="D39" s="373">
        <v>100</v>
      </c>
      <c r="E39" s="3192" t="s">
        <v>3757</v>
      </c>
      <c r="F39" s="399">
        <f>SUMIF(115:115,E39,116:116)-SUMIF(115:115,C39,116:116)+100</f>
        <v>100</v>
      </c>
      <c r="G39" s="3192" t="s">
        <v>3757</v>
      </c>
      <c r="H39" s="373">
        <f>SUMIF(115:115,G39,116:116)-SUMIF(115:115,C39,116:116)+100</f>
        <v>100</v>
      </c>
      <c r="I39" s="3192" t="s">
        <v>3757</v>
      </c>
      <c r="J39" s="373">
        <f>SUMIF(115:115,I39,116:116)-SUMIF(115:115,C39,116:116)+100</f>
        <v>100</v>
      </c>
      <c r="K39" s="537">
        <v>2</v>
      </c>
      <c r="L39" s="2490"/>
      <c r="M39" s="2485"/>
      <c r="N39" s="2485"/>
      <c r="O39" s="2485"/>
      <c r="P39" s="3448" t="s">
        <v>1696</v>
      </c>
      <c r="Q39" s="1260" t="str">
        <f t="shared" si="11"/>
        <v>物业管理</v>
      </c>
      <c r="R39" s="665" t="s">
        <v>14</v>
      </c>
      <c r="S39" s="666">
        <f t="shared" si="12"/>
        <v>100</v>
      </c>
      <c r="T39" s="665" t="s">
        <v>14</v>
      </c>
      <c r="U39" s="666">
        <f t="shared" si="13"/>
        <v>100</v>
      </c>
      <c r="V39" s="665" t="s">
        <v>14</v>
      </c>
      <c r="W39" s="666">
        <f t="shared" si="14"/>
        <v>100</v>
      </c>
      <c r="X39" s="1262"/>
      <c r="Y39" s="3450" t="s">
        <v>1696</v>
      </c>
      <c r="Z39" s="1261" t="str">
        <f t="shared" si="15"/>
        <v>物业管理</v>
      </c>
      <c r="AA39" s="1261">
        <f t="shared" si="3"/>
        <v>1</v>
      </c>
      <c r="AB39" s="1261">
        <f t="shared" si="4"/>
        <v>1</v>
      </c>
      <c r="AC39" s="1809">
        <f t="shared" si="5"/>
        <v>1</v>
      </c>
    </row>
    <row r="40" spans="1:29" ht="15" hidden="1">
      <c r="A40" s="408"/>
      <c r="B40" s="363" t="s">
        <v>1787</v>
      </c>
      <c r="C40" s="3192" t="s">
        <v>3758</v>
      </c>
      <c r="D40" s="373">
        <v>100</v>
      </c>
      <c r="E40" s="3192" t="s">
        <v>3758</v>
      </c>
      <c r="F40" s="399">
        <f>SUMIF(117:117,E40,118:118)-SUMIF(117:117,C40,118:118)+100</f>
        <v>100</v>
      </c>
      <c r="G40" s="3192" t="s">
        <v>3758</v>
      </c>
      <c r="H40" s="373">
        <f>SUMIF(117:117,G40,118:118)-SUMIF(117:117,C40,118:118)+100</f>
        <v>100</v>
      </c>
      <c r="I40" s="3192" t="s">
        <v>3758</v>
      </c>
      <c r="J40" s="373">
        <f>SUMIF(117:117,I40,118:118)-SUMIF(117:117,C40,118:118)+100</f>
        <v>100</v>
      </c>
      <c r="K40" s="537"/>
      <c r="L40" s="2490"/>
      <c r="M40" s="2485"/>
      <c r="N40" s="2485"/>
      <c r="O40" s="2485"/>
      <c r="P40" s="3448"/>
      <c r="Q40" s="1260" t="str">
        <f t="shared" si="11"/>
        <v>市政基础设施</v>
      </c>
      <c r="R40" s="665" t="s">
        <v>14</v>
      </c>
      <c r="S40" s="666">
        <f t="shared" si="12"/>
        <v>100</v>
      </c>
      <c r="T40" s="665" t="s">
        <v>14</v>
      </c>
      <c r="U40" s="666">
        <f t="shared" si="13"/>
        <v>100</v>
      </c>
      <c r="V40" s="665" t="s">
        <v>14</v>
      </c>
      <c r="W40" s="666">
        <f t="shared" si="14"/>
        <v>100</v>
      </c>
      <c r="X40" s="1262"/>
      <c r="Y40" s="3450"/>
      <c r="Z40" s="1261" t="str">
        <f t="shared" si="15"/>
        <v>市政基础设施</v>
      </c>
      <c r="AA40" s="1261">
        <f t="shared" si="3"/>
        <v>1</v>
      </c>
      <c r="AB40" s="1261">
        <f t="shared" si="4"/>
        <v>1</v>
      </c>
      <c r="AC40" s="1809">
        <f t="shared" si="5"/>
        <v>1</v>
      </c>
    </row>
    <row r="41" spans="1:29" ht="15">
      <c r="A41" s="408"/>
      <c r="B41" s="363" t="s">
        <v>1789</v>
      </c>
      <c r="C41" s="3193" t="s">
        <v>3759</v>
      </c>
      <c r="D41" s="373">
        <v>100</v>
      </c>
      <c r="E41" s="3193" t="s">
        <v>3759</v>
      </c>
      <c r="F41" s="399">
        <f>SUMIF(119:119,E41,120:120)-SUMIF(119:119,C41,120:120)+100</f>
        <v>100</v>
      </c>
      <c r="G41" s="3193" t="s">
        <v>3759</v>
      </c>
      <c r="H41" s="373">
        <f>SUMIF(119:119,G41,120:120)-SUMIF(119:119,C41,120:120)+100</f>
        <v>100</v>
      </c>
      <c r="I41" s="3193" t="s">
        <v>3759</v>
      </c>
      <c r="J41" s="373">
        <f>SUMIF(119:119,I41,120:120)-SUMIF(119:119,C41,120:120)+100</f>
        <v>100</v>
      </c>
      <c r="K41" s="537">
        <v>5</v>
      </c>
      <c r="L41" s="2490"/>
      <c r="M41" s="2485"/>
      <c r="N41" s="2485"/>
      <c r="O41" s="2485"/>
      <c r="P41" s="3448"/>
      <c r="Q41" s="1260" t="str">
        <f t="shared" si="11"/>
        <v>层高</v>
      </c>
      <c r="R41" s="665" t="s">
        <v>14</v>
      </c>
      <c r="S41" s="666">
        <f t="shared" si="12"/>
        <v>100</v>
      </c>
      <c r="T41" s="665" t="s">
        <v>14</v>
      </c>
      <c r="U41" s="666">
        <f t="shared" si="13"/>
        <v>100</v>
      </c>
      <c r="V41" s="665" t="s">
        <v>14</v>
      </c>
      <c r="W41" s="666">
        <f t="shared" si="14"/>
        <v>100</v>
      </c>
      <c r="X41" s="1262"/>
      <c r="Y41" s="3450"/>
      <c r="Z41" s="1261" t="str">
        <f t="shared" si="15"/>
        <v>层高</v>
      </c>
      <c r="AA41" s="1261">
        <f t="shared" si="3"/>
        <v>1</v>
      </c>
      <c r="AB41" s="1261">
        <f t="shared" si="4"/>
        <v>1</v>
      </c>
      <c r="AC41" s="1809">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48"/>
      <c r="Q42" s="530" t="str">
        <f t="shared" si="11"/>
        <v>单套建筑面积</v>
      </c>
      <c r="R42" s="667" t="s">
        <v>14</v>
      </c>
      <c r="S42" s="668">
        <f t="shared" si="12"/>
        <v>100</v>
      </c>
      <c r="T42" s="667" t="s">
        <v>14</v>
      </c>
      <c r="U42" s="668">
        <f t="shared" si="13"/>
        <v>100</v>
      </c>
      <c r="V42" s="667" t="s">
        <v>14</v>
      </c>
      <c r="W42" s="668">
        <f t="shared" si="14"/>
        <v>100</v>
      </c>
      <c r="X42" s="669"/>
      <c r="Y42" s="3450"/>
      <c r="Z42" s="670" t="str">
        <f t="shared" si="15"/>
        <v>单套建筑面积</v>
      </c>
      <c r="AA42" s="1261">
        <f t="shared" si="3"/>
        <v>1</v>
      </c>
      <c r="AB42" s="1261">
        <f t="shared" si="4"/>
        <v>1</v>
      </c>
      <c r="AC42" s="1809">
        <f t="shared" si="5"/>
        <v>1</v>
      </c>
    </row>
    <row r="43" spans="1:29" ht="15">
      <c r="A43" s="408"/>
      <c r="B43" s="363" t="s">
        <v>1792</v>
      </c>
      <c r="C43" s="3192" t="s">
        <v>3760</v>
      </c>
      <c r="D43" s="373">
        <v>100</v>
      </c>
      <c r="E43" s="3192" t="s">
        <v>3760</v>
      </c>
      <c r="F43" s="399">
        <f>SUMIF(123:123,E43,124:124)-SUMIF(123:123,C43,124:124)+100</f>
        <v>100</v>
      </c>
      <c r="G43" s="3192" t="s">
        <v>3760</v>
      </c>
      <c r="H43" s="373">
        <f>SUMIF(123:123,G43,124:124)-SUMIF(123:123,C43,124:124)+100</f>
        <v>100</v>
      </c>
      <c r="I43" s="3192" t="s">
        <v>3760</v>
      </c>
      <c r="J43" s="373">
        <f>SUMIF(123:123,I43,124:124)-SUMIF(123:123,C43,124:124)+100</f>
        <v>100</v>
      </c>
      <c r="K43" s="537">
        <v>2</v>
      </c>
      <c r="L43" s="2490"/>
      <c r="M43" s="2485"/>
      <c r="N43" s="2485"/>
      <c r="O43" s="2485"/>
      <c r="P43" s="3448"/>
      <c r="Q43" s="1260" t="str">
        <f t="shared" si="11"/>
        <v>内部装修</v>
      </c>
      <c r="R43" s="665" t="s">
        <v>14</v>
      </c>
      <c r="S43" s="666">
        <f t="shared" si="12"/>
        <v>100</v>
      </c>
      <c r="T43" s="665" t="s">
        <v>14</v>
      </c>
      <c r="U43" s="666">
        <f t="shared" si="13"/>
        <v>100</v>
      </c>
      <c r="V43" s="665" t="s">
        <v>14</v>
      </c>
      <c r="W43" s="666">
        <f t="shared" si="14"/>
        <v>100</v>
      </c>
      <c r="X43" s="1262"/>
      <c r="Y43" s="3450"/>
      <c r="Z43" s="1261" t="str">
        <f t="shared" si="15"/>
        <v>内部装修</v>
      </c>
      <c r="AA43" s="1261">
        <f t="shared" si="3"/>
        <v>1</v>
      </c>
      <c r="AB43" s="1261">
        <f t="shared" si="4"/>
        <v>1</v>
      </c>
      <c r="AC43" s="1809">
        <f t="shared" si="5"/>
        <v>1</v>
      </c>
    </row>
    <row r="44" spans="1:29" ht="15">
      <c r="A44" s="408"/>
      <c r="B44" s="363" t="s">
        <v>1707</v>
      </c>
      <c r="C44" s="3192" t="s">
        <v>3761</v>
      </c>
      <c r="D44" s="373">
        <v>100</v>
      </c>
      <c r="E44" s="3192" t="s">
        <v>3761</v>
      </c>
      <c r="F44" s="399">
        <f>SUMIF(125:125,E44,126:126)-SUMIF(125:125,C44,126:126)+100</f>
        <v>100</v>
      </c>
      <c r="G44" s="3192" t="s">
        <v>3761</v>
      </c>
      <c r="H44" s="373">
        <f>SUMIF(125:125,G44,126:126)-SUMIF(125:125,C44,126:126)+100</f>
        <v>100</v>
      </c>
      <c r="I44" s="3192" t="s">
        <v>3761</v>
      </c>
      <c r="J44" s="373">
        <f>SUMIF(125:125,I44,126:126)-SUMIF(125:125,C44,126:126)+100</f>
        <v>100</v>
      </c>
      <c r="K44" s="537">
        <v>2</v>
      </c>
      <c r="L44" s="2490"/>
      <c r="M44" s="2485"/>
      <c r="N44" s="2485"/>
      <c r="O44" s="2485"/>
      <c r="P44" s="3448"/>
      <c r="Q44" s="1260" t="str">
        <f t="shared" si="11"/>
        <v>内部装修维护情况</v>
      </c>
      <c r="R44" s="665" t="s">
        <v>14</v>
      </c>
      <c r="S44" s="666">
        <f t="shared" si="12"/>
        <v>100</v>
      </c>
      <c r="T44" s="665" t="s">
        <v>14</v>
      </c>
      <c r="U44" s="666">
        <f t="shared" si="13"/>
        <v>100</v>
      </c>
      <c r="V44" s="665" t="s">
        <v>14</v>
      </c>
      <c r="W44" s="666">
        <f t="shared" si="14"/>
        <v>100</v>
      </c>
      <c r="X44" s="1262"/>
      <c r="Y44" s="3450"/>
      <c r="Z44" s="1261" t="str">
        <f t="shared" si="15"/>
        <v>内部装修维护情况</v>
      </c>
      <c r="AA44" s="1261">
        <f t="shared" si="3"/>
        <v>1</v>
      </c>
      <c r="AB44" s="1261">
        <f t="shared" si="4"/>
        <v>1</v>
      </c>
      <c r="AC44" s="1809">
        <f t="shared" si="5"/>
        <v>1</v>
      </c>
    </row>
    <row r="45" spans="1:29" s="102" customFormat="1" ht="15">
      <c r="A45" s="409"/>
      <c r="B45" s="3195" t="s">
        <v>3764</v>
      </c>
      <c r="C45" s="3196" t="s">
        <v>3766</v>
      </c>
      <c r="D45" s="118">
        <v>100</v>
      </c>
      <c r="E45" s="3196" t="s">
        <v>3767</v>
      </c>
      <c r="F45" s="363">
        <f>SUMIF(127:127,E45,128:128)-SUMIF(127:127,C45,128:128)+100</f>
        <v>91</v>
      </c>
      <c r="G45" s="3196" t="s">
        <v>3768</v>
      </c>
      <c r="H45" s="118">
        <f>SUMIF(127:127,G45,128:128)-SUMIF(127:127,C45,128:128)+100</f>
        <v>97</v>
      </c>
      <c r="I45" s="3196" t="s">
        <v>3769</v>
      </c>
      <c r="J45" s="118">
        <f>SUMIF(127:127,I45,128:128)-SUMIF(127:127,C45,128:128)+100</f>
        <v>103</v>
      </c>
      <c r="K45" s="538"/>
      <c r="L45" s="2486"/>
      <c r="M45" s="2437"/>
      <c r="N45" s="2437"/>
      <c r="O45" s="2437"/>
      <c r="P45" s="3448"/>
      <c r="Q45" s="529" t="str">
        <f t="shared" si="11"/>
        <v>地下占比</v>
      </c>
      <c r="R45" s="662" t="s">
        <v>14</v>
      </c>
      <c r="S45" s="663">
        <f t="shared" si="12"/>
        <v>91</v>
      </c>
      <c r="T45" s="662" t="s">
        <v>14</v>
      </c>
      <c r="U45" s="663">
        <f t="shared" si="13"/>
        <v>97</v>
      </c>
      <c r="V45" s="662" t="s">
        <v>14</v>
      </c>
      <c r="W45" s="663">
        <f t="shared" si="14"/>
        <v>103</v>
      </c>
      <c r="X45" s="664"/>
      <c r="Y45" s="3450"/>
      <c r="Z45" s="50" t="str">
        <f t="shared" si="15"/>
        <v>地下占比</v>
      </c>
      <c r="AA45" s="50">
        <f t="shared" si="3"/>
        <v>1.098901098901099</v>
      </c>
      <c r="AB45" s="50">
        <f t="shared" si="4"/>
        <v>1.0309278350515463</v>
      </c>
      <c r="AC45" s="800">
        <f t="shared" si="5"/>
        <v>0.970873786407767</v>
      </c>
    </row>
    <row r="46" spans="1:29" ht="15.75" thickBot="1">
      <c r="A46" s="408"/>
      <c r="B46" s="3195" t="s">
        <v>3770</v>
      </c>
      <c r="C46" s="3197" t="s">
        <v>3771</v>
      </c>
      <c r="D46" s="373">
        <v>100</v>
      </c>
      <c r="E46" s="3198" t="s">
        <v>3771</v>
      </c>
      <c r="F46" s="399">
        <f>SUMIF(129:129,E46,130:130)-SUMIF(129:129,C46,130:130)+100</f>
        <v>100</v>
      </c>
      <c r="G46" s="3198" t="s">
        <v>3772</v>
      </c>
      <c r="H46" s="373">
        <f>SUMIF(129:129,G46,130:130)-SUMIF(129:129,C46,130:130)+100</f>
        <v>90</v>
      </c>
      <c r="I46" s="3198" t="s">
        <v>3771</v>
      </c>
      <c r="J46" s="373">
        <f>SUMIF(129:129,I46,130:130)-SUMIF(129:129,C46,130:130)+100</f>
        <v>100</v>
      </c>
      <c r="K46" s="538"/>
      <c r="L46" s="2490"/>
      <c r="M46" s="2485"/>
      <c r="N46" s="2485"/>
      <c r="O46" s="2485"/>
      <c r="P46" s="3448"/>
      <c r="Q46" s="1260" t="str">
        <f t="shared" si="11"/>
        <v>产权单一</v>
      </c>
      <c r="R46" s="665" t="s">
        <v>14</v>
      </c>
      <c r="S46" s="666">
        <f t="shared" si="12"/>
        <v>100</v>
      </c>
      <c r="T46" s="665" t="s">
        <v>14</v>
      </c>
      <c r="U46" s="666">
        <f t="shared" si="13"/>
        <v>90</v>
      </c>
      <c r="V46" s="665" t="s">
        <v>14</v>
      </c>
      <c r="W46" s="666">
        <f t="shared" si="14"/>
        <v>100</v>
      </c>
      <c r="X46" s="1262"/>
      <c r="Y46" s="3450"/>
      <c r="Z46" s="1261" t="str">
        <f t="shared" si="15"/>
        <v>产权单一</v>
      </c>
      <c r="AA46" s="1261">
        <f t="shared" si="3"/>
        <v>1</v>
      </c>
      <c r="AB46" s="1261">
        <f t="shared" si="4"/>
        <v>1.1111111111111112</v>
      </c>
      <c r="AC46" s="1809">
        <f t="shared" si="5"/>
        <v>1</v>
      </c>
    </row>
    <row r="47" spans="1:29" ht="15.75" hidden="1" thickBot="1">
      <c r="A47" s="414"/>
      <c r="B47" s="1746"/>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9"/>
      <c r="Q47" s="1260">
        <f t="shared" si="11"/>
        <v>0</v>
      </c>
      <c r="R47" s="665" t="s">
        <v>14</v>
      </c>
      <c r="S47" s="666">
        <f t="shared" si="12"/>
        <v>100</v>
      </c>
      <c r="T47" s="665" t="s">
        <v>14</v>
      </c>
      <c r="U47" s="666">
        <f t="shared" si="13"/>
        <v>100</v>
      </c>
      <c r="V47" s="665" t="s">
        <v>14</v>
      </c>
      <c r="W47" s="666">
        <f t="shared" si="14"/>
        <v>100</v>
      </c>
      <c r="X47" s="1262"/>
      <c r="Y47" s="3451"/>
      <c r="Z47" s="1261">
        <f t="shared" si="15"/>
        <v>0</v>
      </c>
      <c r="AA47" s="1261">
        <f t="shared" si="3"/>
        <v>1</v>
      </c>
      <c r="AB47" s="1261">
        <f t="shared" si="4"/>
        <v>1</v>
      </c>
      <c r="AC47" s="1809">
        <f t="shared" si="5"/>
        <v>1</v>
      </c>
    </row>
    <row r="48" spans="1:29" ht="15">
      <c r="A48" s="415" t="s">
        <v>1708</v>
      </c>
      <c r="B48" s="416"/>
      <c r="C48" s="1078" t="s">
        <v>0</v>
      </c>
      <c r="D48" s="417"/>
      <c r="E48" s="418">
        <f>华樾北京!O96</f>
        <v>37640</v>
      </c>
      <c r="F48" s="419"/>
      <c r="G48" s="420">
        <f>保利大都汇!K24</f>
        <v>38239</v>
      </c>
      <c r="H48" s="421"/>
      <c r="I48" s="418">
        <f>悦荣中心!K19</f>
        <v>42400</v>
      </c>
      <c r="J48" s="421"/>
      <c r="K48" s="672"/>
      <c r="L48" s="2492"/>
      <c r="M48" s="2485"/>
      <c r="N48" s="2485"/>
      <c r="O48" s="2485"/>
      <c r="P48" s="3423" t="str">
        <f>A48</f>
        <v>成交单价（元/平方米）</v>
      </c>
      <c r="Q48" s="3452"/>
      <c r="R48" s="3440">
        <f>E48</f>
        <v>37640</v>
      </c>
      <c r="S48" s="3440"/>
      <c r="T48" s="3440">
        <f>G48</f>
        <v>38239</v>
      </c>
      <c r="U48" s="3440"/>
      <c r="V48" s="3440">
        <f>I48</f>
        <v>42400</v>
      </c>
      <c r="W48" s="3440"/>
      <c r="X48" s="384"/>
      <c r="Y48" s="671"/>
      <c r="Z48" s="384"/>
      <c r="AA48" s="384"/>
      <c r="AB48" s="384"/>
      <c r="AC48" s="554"/>
    </row>
    <row r="49" spans="1:29" ht="15.75" thickBot="1">
      <c r="A49" s="422" t="s">
        <v>1793</v>
      </c>
      <c r="B49" s="423"/>
      <c r="C49" s="1079">
        <f>R50</f>
        <v>42662</v>
      </c>
      <c r="D49" s="2138" t="s">
        <v>2136</v>
      </c>
      <c r="E49" s="1080">
        <f>R49</f>
        <v>43632</v>
      </c>
      <c r="F49" s="2139"/>
      <c r="G49" s="1079">
        <f>T49</f>
        <v>42199</v>
      </c>
      <c r="H49" s="2139"/>
      <c r="I49" s="1080">
        <f>V49</f>
        <v>42155</v>
      </c>
      <c r="J49" s="2139"/>
      <c r="K49" s="2141">
        <f>F49+H49+J49</f>
        <v>0</v>
      </c>
      <c r="L49" s="2492"/>
      <c r="M49" s="2485"/>
      <c r="N49" s="2485"/>
      <c r="O49" s="2485"/>
      <c r="P49" s="3423" t="str">
        <f>A49</f>
        <v>比较价值（元/平方米）</v>
      </c>
      <c r="Q49" s="3452"/>
      <c r="R49" s="3440">
        <f>IF(F1="售价",ROUND(PRODUCT(R48,AA7:AA47),0),ROUND(PRODUCT(R48,AA7:AA47),1))</f>
        <v>43632</v>
      </c>
      <c r="S49" s="3440"/>
      <c r="T49" s="3440">
        <f>IF(F1="售价",ROUND(PRODUCT(T48,AB7:AB47),0),ROUND(PRODUCT(T48,AB7:AB47),1))</f>
        <v>42199</v>
      </c>
      <c r="U49" s="3440"/>
      <c r="V49" s="3440">
        <f>IF(F1="售价",ROUND(PRODUCT(V48,AC7:AC47),0),ROUND(PRODUCT(V48,AC7:AC47),1))</f>
        <v>42155</v>
      </c>
      <c r="W49" s="3440"/>
      <c r="X49" s="384"/>
      <c r="Y49" s="384"/>
      <c r="Z49" s="384"/>
      <c r="AA49" s="384"/>
      <c r="AB49" s="384"/>
      <c r="AC49" s="554"/>
    </row>
    <row r="50" spans="1:29" ht="15.75" thickBot="1">
      <c r="A50" s="426" t="s">
        <v>1794</v>
      </c>
      <c r="B50" s="427"/>
      <c r="C50" s="350">
        <f>R50</f>
        <v>42662</v>
      </c>
      <c r="D50" s="350"/>
      <c r="E50" s="350"/>
      <c r="F50" s="350"/>
      <c r="G50" s="350"/>
      <c r="H50" s="350"/>
      <c r="I50" s="350"/>
      <c r="J50" s="428"/>
      <c r="K50" s="673"/>
      <c r="L50" s="2492"/>
      <c r="M50" s="2485"/>
      <c r="N50" s="2485"/>
      <c r="O50" s="2485"/>
      <c r="P50" s="3453" t="str">
        <f>A50</f>
        <v>估价对象XX用房的比较价值（楼面单价，元/平方米）</v>
      </c>
      <c r="Q50" s="3454"/>
      <c r="R50" s="3455">
        <f>IF(F1="售价",ROUND(IF(D49="简单平均",AVERAGE(R49:V49),R49*F49+T49*H49+V49*J49),0),ROUND(IF(D49="简单平均",AVERAGE(R49:V49),R49*F49+T49*H49+V49*J49),1))</f>
        <v>42662</v>
      </c>
      <c r="S50" s="3455"/>
      <c r="T50" s="3455"/>
      <c r="U50" s="3455"/>
      <c r="V50" s="3455"/>
      <c r="W50" s="3455"/>
      <c r="X50" s="1795"/>
      <c r="Y50" s="1795"/>
      <c r="Z50" s="1795"/>
      <c r="AA50" s="1795"/>
      <c r="AB50" s="1795"/>
      <c r="AC50" s="1796"/>
    </row>
    <row r="51" spans="1:29">
      <c r="A51" s="2485"/>
      <c r="B51" s="2485"/>
      <c r="C51" s="2485">
        <v>2009</v>
      </c>
      <c r="D51" s="2485"/>
      <c r="E51" s="2485">
        <v>2018</v>
      </c>
      <c r="F51" s="2485"/>
      <c r="G51" s="2485">
        <v>2020</v>
      </c>
      <c r="H51" s="2485"/>
      <c r="I51" s="2485">
        <v>2021</v>
      </c>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0.15919234856535591</v>
      </c>
      <c r="F53" s="434" t="str">
        <f>IF(OR(E53&gt;=0.3,E53&lt;=-0.3),"超过30%","")</f>
        <v/>
      </c>
      <c r="G53" s="433">
        <f>IF(G48&lt;G49,G49/G48-1,G48/G49-1)</f>
        <v>0.1035591934935538</v>
      </c>
      <c r="H53" s="434" t="str">
        <f>IF(OR(G53&gt;=0.3,G53&lt;=-0.3),"超过30%","")</f>
        <v/>
      </c>
      <c r="I53" s="433">
        <f>IF(I48&lt;I49,I49/I48-1,I48/I49-1)</f>
        <v>5.8118847111849892E-3</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3.3958150667077414E-2</v>
      </c>
      <c r="F54" s="434" t="str">
        <f>IF(OR(E54&gt;=0.2,E54&lt;=-0.2),"超过20%","")</f>
        <v/>
      </c>
      <c r="G54" s="433">
        <f>IF(G49&lt;I49,I49/G49-1,G49/I49-1)</f>
        <v>1.0437670501719509E-3</v>
      </c>
      <c r="H54" s="434" t="str">
        <f>IF(OR(G54&gt;=0.2,G54&lt;=-0.2),"超过20%","")</f>
        <v/>
      </c>
      <c r="I54" s="433">
        <f>IF(I49&lt;E49,E49/I49-1,I49/E49-1)</f>
        <v>3.5037362116000503E-2</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f>IF(E48&lt;G48,G48/E48-1,E48/G48-1)</f>
        <v>1.5913921360255046E-2</v>
      </c>
      <c r="F55" s="434" t="str">
        <f>IF(OR(E55&gt;=0.3,E55&lt;=-0.3),"超过30%","")</f>
        <v/>
      </c>
      <c r="G55" s="433">
        <f>IF(G48&lt;I48,I48/G48-1,G48/I48-1)</f>
        <v>0.10881560710269622</v>
      </c>
      <c r="H55" s="434" t="str">
        <f>IF(OR(G55&gt;=0.3,G55&lt;=-0.3),"超过30%","")</f>
        <v/>
      </c>
      <c r="I55" s="433">
        <f>IF(I48&lt;E48,E48/I48-1,I48/E48-1)</f>
        <v>0.12646121147715195</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1798</v>
      </c>
      <c r="B58" s="384"/>
      <c r="C58" s="657"/>
      <c r="D58" s="657"/>
      <c r="E58" s="657"/>
      <c r="F58" s="658"/>
      <c r="G58" s="658"/>
      <c r="H58" s="657"/>
      <c r="I58" s="657"/>
      <c r="J58" s="657"/>
      <c r="K58" s="659"/>
      <c r="L58" s="885"/>
      <c r="M58" s="883"/>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0" t="str">
        <f>YEAR(C7)&amp;"-"&amp;MONTH(C7)</f>
        <v>2025-8</v>
      </c>
      <c r="D59" s="1101">
        <f>EDATE(C59,-1)</f>
        <v>45839</v>
      </c>
      <c r="E59" s="1101">
        <f>EDATE(D59,-1)</f>
        <v>45809</v>
      </c>
      <c r="F59" s="1101">
        <f t="shared" ref="F59:O59" si="16">EDATE(E59,-1)</f>
        <v>45778</v>
      </c>
      <c r="G59" s="1101">
        <f t="shared" si="16"/>
        <v>45748</v>
      </c>
      <c r="H59" s="1101">
        <f t="shared" si="16"/>
        <v>45717</v>
      </c>
      <c r="I59" s="1101">
        <f t="shared" si="16"/>
        <v>45689</v>
      </c>
      <c r="J59" s="1101">
        <f t="shared" si="16"/>
        <v>45658</v>
      </c>
      <c r="K59" s="1101">
        <f t="shared" si="16"/>
        <v>45627</v>
      </c>
      <c r="L59" s="1101">
        <f t="shared" si="16"/>
        <v>45597</v>
      </c>
      <c r="M59" s="1101">
        <f t="shared" si="16"/>
        <v>45566</v>
      </c>
      <c r="N59" s="1101">
        <f t="shared" si="16"/>
        <v>45536</v>
      </c>
      <c r="O59" s="1101">
        <f t="shared" si="16"/>
        <v>45505</v>
      </c>
      <c r="P59" s="3194">
        <f t="shared" ref="P59" si="17">EDATE(O59,-1)</f>
        <v>45474</v>
      </c>
      <c r="Q59" s="3194">
        <f t="shared" ref="Q59" si="18">EDATE(P59,-1)</f>
        <v>45444</v>
      </c>
      <c r="R59" s="3194">
        <f t="shared" ref="R59" si="19">EDATE(Q59,-1)</f>
        <v>45413</v>
      </c>
      <c r="S59" s="3194">
        <f t="shared" ref="S59" si="20">EDATE(R59,-1)</f>
        <v>45383</v>
      </c>
      <c r="T59" s="3194">
        <f t="shared" ref="T59" si="21">EDATE(S59,-1)</f>
        <v>45352</v>
      </c>
      <c r="U59" s="3194">
        <f t="shared" ref="U59" si="22">EDATE(T59,-1)</f>
        <v>45323</v>
      </c>
      <c r="V59" s="3194">
        <f t="shared" ref="V59" si="23">EDATE(U59,-1)</f>
        <v>45292</v>
      </c>
      <c r="W59" s="3194">
        <f t="shared" ref="W59" si="24">EDATE(V59,-1)</f>
        <v>45261</v>
      </c>
      <c r="X59" s="3194">
        <f t="shared" ref="X59" si="25">EDATE(W59,-1)</f>
        <v>45231</v>
      </c>
      <c r="Y59" s="3194">
        <f t="shared" ref="Y59" si="26">EDATE(X59,-1)</f>
        <v>45200</v>
      </c>
      <c r="Z59" s="3194">
        <f t="shared" ref="Z59" si="27">EDATE(Y59,-1)</f>
        <v>45170</v>
      </c>
      <c r="AA59" s="3194">
        <f t="shared" ref="AA59" si="28">EDATE(Z59,-1)</f>
        <v>45139</v>
      </c>
      <c r="AB59" s="3194">
        <f t="shared" ref="AB59" si="29">EDATE(AA59,-1)</f>
        <v>45108</v>
      </c>
      <c r="AC59" s="2508"/>
    </row>
    <row r="60" spans="1:29" s="102" customFormat="1" ht="15">
      <c r="A60" s="442"/>
      <c r="B60" s="443"/>
      <c r="C60" s="1099">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2437"/>
    </row>
    <row r="61" spans="1:29" s="102" customFormat="1" ht="15.7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2" customFormat="1" ht="15">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2"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1719</v>
      </c>
      <c r="B64" s="459" t="s">
        <v>1685</v>
      </c>
      <c r="C64" s="460" t="str">
        <f>C9</f>
        <v>办公</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t="s">
        <v>3773</v>
      </c>
      <c r="D66" s="512" t="s">
        <v>3774</v>
      </c>
      <c r="E66" s="512" t="s">
        <v>3775</v>
      </c>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v>100</v>
      </c>
      <c r="D67" s="466">
        <v>98</v>
      </c>
      <c r="E67" s="466">
        <v>96</v>
      </c>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30">D69&amp;"（含）"&amp;"-"&amp;E69</f>
        <v>3（含）-</v>
      </c>
      <c r="E68" s="477" t="str">
        <f t="shared" si="30"/>
        <v>（含）-</v>
      </c>
      <c r="F68" s="477" t="str">
        <f t="shared" si="30"/>
        <v>（含）-</v>
      </c>
      <c r="G68" s="477" t="str">
        <f t="shared" si="30"/>
        <v>（含）-</v>
      </c>
      <c r="H68" s="477" t="str">
        <f t="shared" si="30"/>
        <v>（含）-</v>
      </c>
      <c r="I68" s="477" t="str">
        <f t="shared" si="30"/>
        <v>（含）-</v>
      </c>
      <c r="J68" s="477" t="str">
        <f t="shared" si="30"/>
        <v>（含）-</v>
      </c>
      <c r="K68" s="477" t="str">
        <f t="shared" si="30"/>
        <v>（含）-</v>
      </c>
      <c r="L68" s="477" t="str">
        <f t="shared" si="30"/>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31">C70-$K11</f>
        <v>100</v>
      </c>
      <c r="E70" s="474">
        <f t="shared" si="31"/>
        <v>100</v>
      </c>
      <c r="F70" s="474">
        <f t="shared" si="31"/>
        <v>100</v>
      </c>
      <c r="G70" s="474">
        <f t="shared" si="31"/>
        <v>100</v>
      </c>
      <c r="H70" s="474">
        <f t="shared" si="31"/>
        <v>100</v>
      </c>
      <c r="I70" s="474">
        <f t="shared" si="31"/>
        <v>100</v>
      </c>
      <c r="J70" s="474">
        <f t="shared" si="31"/>
        <v>100</v>
      </c>
      <c r="K70" s="474">
        <f t="shared" si="31"/>
        <v>100</v>
      </c>
      <c r="L70" s="474">
        <f t="shared" si="31"/>
        <v>100</v>
      </c>
      <c r="M70" s="475">
        <f t="shared" si="31"/>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95</v>
      </c>
      <c r="E78" s="474">
        <f>D78-$K15</f>
        <v>90</v>
      </c>
      <c r="F78" s="474">
        <f>E78-$K15</f>
        <v>85</v>
      </c>
      <c r="G78" s="474">
        <f>F78-$K15</f>
        <v>80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95</v>
      </c>
      <c r="E80" s="474">
        <f>D80-$K17</f>
        <v>90</v>
      </c>
      <c r="F80" s="474">
        <f>E80-$K17</f>
        <v>85</v>
      </c>
      <c r="G80" s="474">
        <f>F80-$K17</f>
        <v>80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98</v>
      </c>
      <c r="E82" s="474">
        <f>D82-$K19</f>
        <v>96</v>
      </c>
      <c r="F82" s="474">
        <f>E82-$K19</f>
        <v>94</v>
      </c>
      <c r="G82" s="474">
        <f>F82-$K19</f>
        <v>92</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0"/>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95</v>
      </c>
      <c r="E84" s="474">
        <f>D84-$K21</f>
        <v>90</v>
      </c>
      <c r="F84" s="474">
        <f>E84-$K21</f>
        <v>85</v>
      </c>
      <c r="G84" s="474">
        <f>F84-$K21</f>
        <v>80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95</v>
      </c>
      <c r="E86" s="474">
        <f>D86-$K23</f>
        <v>90</v>
      </c>
      <c r="F86" s="474">
        <f>E86-$K23</f>
        <v>85</v>
      </c>
      <c r="G86" s="474">
        <f>F86-$K23</f>
        <v>80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7.75"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32">C88-$K25</f>
        <v>100</v>
      </c>
      <c r="E88" s="474">
        <f t="shared" si="32"/>
        <v>100</v>
      </c>
      <c r="F88" s="474">
        <f t="shared" si="32"/>
        <v>100</v>
      </c>
      <c r="G88" s="474">
        <f t="shared" si="32"/>
        <v>100</v>
      </c>
      <c r="H88" s="474">
        <f t="shared" si="32"/>
        <v>100</v>
      </c>
      <c r="I88" s="474">
        <f t="shared" si="32"/>
        <v>100</v>
      </c>
      <c r="J88" s="474">
        <f t="shared" si="32"/>
        <v>100</v>
      </c>
      <c r="K88" s="474">
        <f t="shared" si="32"/>
        <v>100</v>
      </c>
      <c r="L88" s="474">
        <f t="shared" si="32"/>
        <v>100</v>
      </c>
      <c r="M88" s="474">
        <f t="shared" si="32"/>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33">D90-$K27</f>
        <v>100</v>
      </c>
      <c r="F90" s="474">
        <f t="shared" si="33"/>
        <v>100</v>
      </c>
      <c r="G90" s="474">
        <f t="shared" si="33"/>
        <v>100</v>
      </c>
      <c r="H90" s="474">
        <f t="shared" si="33"/>
        <v>100</v>
      </c>
      <c r="I90" s="474">
        <f t="shared" si="33"/>
        <v>100</v>
      </c>
      <c r="J90" s="474">
        <f t="shared" si="33"/>
        <v>100</v>
      </c>
      <c r="K90" s="474">
        <f t="shared" si="33"/>
        <v>100</v>
      </c>
      <c r="L90" s="474">
        <f t="shared" si="33"/>
        <v>100</v>
      </c>
      <c r="M90" s="474">
        <f t="shared" si="33"/>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34">C92-$K28</f>
        <v>100</v>
      </c>
      <c r="E92" s="474">
        <f t="shared" si="34"/>
        <v>100</v>
      </c>
      <c r="F92" s="474">
        <f t="shared" si="34"/>
        <v>100</v>
      </c>
      <c r="G92" s="474">
        <f t="shared" si="34"/>
        <v>100</v>
      </c>
      <c r="H92" s="474">
        <f t="shared" si="34"/>
        <v>100</v>
      </c>
      <c r="I92" s="474">
        <f t="shared" si="34"/>
        <v>100</v>
      </c>
      <c r="J92" s="474">
        <f t="shared" si="34"/>
        <v>100</v>
      </c>
      <c r="K92" s="474">
        <f t="shared" si="34"/>
        <v>100</v>
      </c>
      <c r="L92" s="474">
        <f t="shared" si="34"/>
        <v>100</v>
      </c>
      <c r="M92" s="474">
        <f t="shared" si="34"/>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35">C102-$K33</f>
        <v>95</v>
      </c>
      <c r="E102" s="474">
        <f t="shared" si="35"/>
        <v>90</v>
      </c>
      <c r="F102" s="474">
        <f t="shared" si="35"/>
        <v>85</v>
      </c>
      <c r="G102" s="474">
        <f t="shared" si="35"/>
        <v>80</v>
      </c>
      <c r="H102" s="474">
        <f t="shared" si="35"/>
        <v>75</v>
      </c>
      <c r="I102" s="474">
        <f t="shared" si="35"/>
        <v>70</v>
      </c>
      <c r="J102" s="474">
        <f t="shared" si="35"/>
        <v>65</v>
      </c>
      <c r="K102" s="474">
        <f t="shared" si="35"/>
        <v>60</v>
      </c>
      <c r="L102" s="474">
        <f t="shared" si="35"/>
        <v>55</v>
      </c>
      <c r="M102" s="475">
        <f t="shared" si="35"/>
        <v>50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6"/>
      <c r="B103" s="468" t="s">
        <v>1737</v>
      </c>
      <c r="C103" s="508" t="str">
        <f>C104&amp;"(含)"&amp;"-"&amp;D104</f>
        <v>0(含)-10000</v>
      </c>
      <c r="D103" s="508" t="str">
        <f t="shared" ref="D103:L103" si="36">D104&amp;"(含)"&amp;"-"&amp;E104</f>
        <v>10000(含)-20000</v>
      </c>
      <c r="E103" s="508" t="str">
        <f t="shared" si="36"/>
        <v>20000(含)-30000</v>
      </c>
      <c r="F103" s="508" t="str">
        <f t="shared" si="36"/>
        <v>30000(含)-40000</v>
      </c>
      <c r="G103" s="508" t="str">
        <f t="shared" si="36"/>
        <v>40000(含)-</v>
      </c>
      <c r="H103" s="508" t="str">
        <f t="shared" si="36"/>
        <v>(含)-</v>
      </c>
      <c r="I103" s="508" t="str">
        <f t="shared" si="36"/>
        <v>(含)-</v>
      </c>
      <c r="J103" s="508" t="str">
        <f t="shared" si="36"/>
        <v>(含)-</v>
      </c>
      <c r="K103" s="508" t="str">
        <f t="shared" si="36"/>
        <v>(含)-</v>
      </c>
      <c r="L103" s="508" t="str">
        <f t="shared" si="36"/>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10000</v>
      </c>
      <c r="E104" s="6">
        <v>20000</v>
      </c>
      <c r="F104" s="6">
        <v>30000</v>
      </c>
      <c r="G104" s="6">
        <v>40000</v>
      </c>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v>100</v>
      </c>
      <c r="D105" s="466">
        <v>99</v>
      </c>
      <c r="E105" s="466">
        <v>98</v>
      </c>
      <c r="F105" s="466">
        <v>97</v>
      </c>
      <c r="G105" s="466">
        <v>96</v>
      </c>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37">C107-$K35</f>
        <v>98</v>
      </c>
      <c r="E107" s="474">
        <f t="shared" si="37"/>
        <v>96</v>
      </c>
      <c r="F107" s="474">
        <f t="shared" si="37"/>
        <v>94</v>
      </c>
      <c r="G107" s="474">
        <f t="shared" si="37"/>
        <v>92</v>
      </c>
      <c r="H107" s="474">
        <f t="shared" si="37"/>
        <v>90</v>
      </c>
      <c r="I107" s="474">
        <f t="shared" si="37"/>
        <v>88</v>
      </c>
      <c r="J107" s="474">
        <f t="shared" si="37"/>
        <v>86</v>
      </c>
      <c r="K107" s="474">
        <f t="shared" si="37"/>
        <v>84</v>
      </c>
      <c r="L107" s="474">
        <f t="shared" si="37"/>
        <v>82</v>
      </c>
      <c r="M107" s="475">
        <f t="shared" si="37"/>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38">C109-$K36</f>
        <v>98</v>
      </c>
      <c r="E109" s="474">
        <f t="shared" si="38"/>
        <v>96</v>
      </c>
      <c r="F109" s="474">
        <f t="shared" si="38"/>
        <v>94</v>
      </c>
      <c r="G109" s="474">
        <f t="shared" si="38"/>
        <v>92</v>
      </c>
      <c r="H109" s="474">
        <f t="shared" si="38"/>
        <v>90</v>
      </c>
      <c r="I109" s="474">
        <f t="shared" si="38"/>
        <v>88</v>
      </c>
      <c r="J109" s="474">
        <f t="shared" si="38"/>
        <v>86</v>
      </c>
      <c r="K109" s="474">
        <f t="shared" si="38"/>
        <v>84</v>
      </c>
      <c r="L109" s="474">
        <f t="shared" si="38"/>
        <v>82</v>
      </c>
      <c r="M109" s="475">
        <f t="shared" si="38"/>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102</v>
      </c>
      <c r="E112" s="474">
        <f t="shared" ref="E112:M112" si="39">D112+$K37</f>
        <v>104</v>
      </c>
      <c r="F112" s="474">
        <f t="shared" si="39"/>
        <v>106</v>
      </c>
      <c r="G112" s="474">
        <f t="shared" si="39"/>
        <v>108</v>
      </c>
      <c r="H112" s="474">
        <f t="shared" si="39"/>
        <v>110</v>
      </c>
      <c r="I112" s="474">
        <f t="shared" si="39"/>
        <v>112</v>
      </c>
      <c r="J112" s="474">
        <f t="shared" si="39"/>
        <v>114</v>
      </c>
      <c r="K112" s="474">
        <f t="shared" si="39"/>
        <v>116</v>
      </c>
      <c r="L112" s="474">
        <f t="shared" si="39"/>
        <v>118</v>
      </c>
      <c r="M112" s="474">
        <f t="shared" si="39"/>
        <v>120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40">D114-$K38</f>
        <v>100</v>
      </c>
      <c r="F114" s="474">
        <f t="shared" si="40"/>
        <v>100</v>
      </c>
      <c r="G114" s="474">
        <f t="shared" si="40"/>
        <v>100</v>
      </c>
      <c r="H114" s="474">
        <f t="shared" si="40"/>
        <v>100</v>
      </c>
      <c r="I114" s="474">
        <f t="shared" si="40"/>
        <v>100</v>
      </c>
      <c r="J114" s="474">
        <f t="shared" si="40"/>
        <v>100</v>
      </c>
      <c r="K114" s="474">
        <f t="shared" si="40"/>
        <v>100</v>
      </c>
      <c r="L114" s="474">
        <f t="shared" si="40"/>
        <v>100</v>
      </c>
      <c r="M114" s="474">
        <f t="shared" si="40"/>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41">C116-$K39</f>
        <v>98</v>
      </c>
      <c r="E116" s="474">
        <f t="shared" si="41"/>
        <v>96</v>
      </c>
      <c r="F116" s="474">
        <f t="shared" si="41"/>
        <v>94</v>
      </c>
      <c r="G116" s="474">
        <f t="shared" si="41"/>
        <v>92</v>
      </c>
      <c r="H116" s="474">
        <f t="shared" si="41"/>
        <v>90</v>
      </c>
      <c r="I116" s="474">
        <f t="shared" si="41"/>
        <v>88</v>
      </c>
      <c r="J116" s="474">
        <f t="shared" si="41"/>
        <v>86</v>
      </c>
      <c r="K116" s="474">
        <f t="shared" si="41"/>
        <v>84</v>
      </c>
      <c r="L116" s="474">
        <f t="shared" si="41"/>
        <v>82</v>
      </c>
      <c r="M116" s="475">
        <f t="shared" si="41"/>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95</v>
      </c>
      <c r="E120" s="474">
        <f t="shared" ref="E120:M120" si="42">D120-$K41</f>
        <v>90</v>
      </c>
      <c r="F120" s="474">
        <f t="shared" si="42"/>
        <v>85</v>
      </c>
      <c r="G120" s="474">
        <f t="shared" si="42"/>
        <v>80</v>
      </c>
      <c r="H120" s="474">
        <f t="shared" si="42"/>
        <v>75</v>
      </c>
      <c r="I120" s="474">
        <f t="shared" si="42"/>
        <v>70</v>
      </c>
      <c r="J120" s="474">
        <f t="shared" si="42"/>
        <v>65</v>
      </c>
      <c r="K120" s="474">
        <f t="shared" si="42"/>
        <v>60</v>
      </c>
      <c r="L120" s="474">
        <f t="shared" si="42"/>
        <v>55</v>
      </c>
      <c r="M120" s="474">
        <f t="shared" si="42"/>
        <v>50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43">C124-$K43</f>
        <v>98</v>
      </c>
      <c r="E124" s="474">
        <f t="shared" si="43"/>
        <v>96</v>
      </c>
      <c r="F124" s="474">
        <f t="shared" si="43"/>
        <v>94</v>
      </c>
      <c r="G124" s="474">
        <f t="shared" si="43"/>
        <v>92</v>
      </c>
      <c r="H124" s="474">
        <f t="shared" si="43"/>
        <v>90</v>
      </c>
      <c r="I124" s="474">
        <f t="shared" si="43"/>
        <v>88</v>
      </c>
      <c r="J124" s="474">
        <f t="shared" si="43"/>
        <v>86</v>
      </c>
      <c r="K124" s="474">
        <f t="shared" si="43"/>
        <v>84</v>
      </c>
      <c r="L124" s="474">
        <f t="shared" si="43"/>
        <v>82</v>
      </c>
      <c r="M124" s="475">
        <f t="shared" si="43"/>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t="str">
        <f>B45</f>
        <v>地下占比</v>
      </c>
      <c r="C127" s="3199">
        <v>0</v>
      </c>
      <c r="D127" s="3199" t="s">
        <v>3778</v>
      </c>
      <c r="E127" s="3199" t="s">
        <v>3779</v>
      </c>
      <c r="F127" s="3199" t="s">
        <v>3780</v>
      </c>
      <c r="G127" s="484" t="s">
        <v>3781</v>
      </c>
      <c r="H127" s="485" t="s">
        <v>3767</v>
      </c>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v>100</v>
      </c>
      <c r="D128" s="466">
        <f>C128-3</f>
        <v>97</v>
      </c>
      <c r="E128" s="466">
        <f t="shared" ref="E128:H128" si="44">D128-3</f>
        <v>94</v>
      </c>
      <c r="F128" s="466">
        <f t="shared" si="44"/>
        <v>91</v>
      </c>
      <c r="G128" s="466">
        <f t="shared" si="44"/>
        <v>88</v>
      </c>
      <c r="H128" s="466">
        <f t="shared" si="44"/>
        <v>85</v>
      </c>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t="str">
        <f>B46</f>
        <v>产权单一</v>
      </c>
      <c r="C129" s="3200" t="s">
        <v>3776</v>
      </c>
      <c r="D129" s="3200" t="s">
        <v>3777</v>
      </c>
      <c r="E129" s="3199"/>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v>100</v>
      </c>
      <c r="D130" s="490">
        <v>90</v>
      </c>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0</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20" sqref="F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3537</v>
      </c>
      <c r="D1" s="1268" t="s">
        <v>43</v>
      </c>
      <c r="E1" s="1269" t="s">
        <v>678</v>
      </c>
      <c r="F1" s="996">
        <f ca="1">J53</f>
        <v>29.06</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116607</v>
      </c>
      <c r="C2" s="1286" t="s">
        <v>805</v>
      </c>
      <c r="D2" s="1286"/>
      <c r="E2" s="1292"/>
      <c r="F2" s="1293"/>
      <c r="G2" s="2476"/>
      <c r="H2" s="2466"/>
      <c r="I2" s="2466"/>
      <c r="J2" s="2466"/>
      <c r="K2" s="2467"/>
      <c r="L2" s="2466"/>
      <c r="M2" s="2466"/>
    </row>
    <row r="3" spans="1:37" ht="18" customHeight="1" thickBot="1">
      <c r="A3" s="1294" t="s">
        <v>806</v>
      </c>
      <c r="B3" s="1295">
        <f ca="1">IF(ISERROR(B2*10000/F43),0,ROUND(B2*10000/F43,0))</f>
        <v>33800</v>
      </c>
      <c r="C3" s="1286" t="s">
        <v>807</v>
      </c>
      <c r="D3" s="1286"/>
      <c r="E3" s="1292"/>
      <c r="F3" s="1293"/>
      <c r="G3" s="2476"/>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7943</v>
      </c>
      <c r="D5" s="1270" t="s">
        <v>693</v>
      </c>
      <c r="E5" s="1005"/>
      <c r="F5" s="1006"/>
      <c r="G5" s="1289"/>
      <c r="H5" s="290">
        <v>1</v>
      </c>
      <c r="I5" s="291" t="s">
        <v>692</v>
      </c>
      <c r="J5" s="1004">
        <f ca="1">J6+J10+J12</f>
        <v>0</v>
      </c>
      <c r="K5" s="1270" t="s">
        <v>693</v>
      </c>
      <c r="L5" s="1005"/>
      <c r="M5" s="1006"/>
    </row>
    <row r="6" spans="1:37" ht="18" customHeight="1">
      <c r="A6" s="1003" t="s">
        <v>398</v>
      </c>
      <c r="B6" s="3458" t="s">
        <v>694</v>
      </c>
      <c r="C6" s="1008">
        <f ca="1">ROUND(F6*F8*F7*(1-F9)/10000,0)</f>
        <v>7933</v>
      </c>
      <c r="D6" s="146" t="s">
        <v>2107</v>
      </c>
      <c r="E6" s="293" t="s">
        <v>696</v>
      </c>
      <c r="F6" s="294">
        <f ca="1">INDIRECT("'数据-取费表'!u"&amp;$G$1)</f>
        <v>7</v>
      </c>
      <c r="G6" s="1289"/>
      <c r="H6" s="1003" t="s">
        <v>398</v>
      </c>
      <c r="I6" s="3458" t="s">
        <v>694</v>
      </c>
      <c r="J6" s="292">
        <f ca="1">ROUND(M6*M8*M7*(1-M9)/10000,0)</f>
        <v>0</v>
      </c>
      <c r="K6" s="146" t="s">
        <v>2106</v>
      </c>
      <c r="L6" s="293" t="s">
        <v>696</v>
      </c>
      <c r="M6" s="294">
        <f ca="1">INDIRECT("'数据-取费表'!z"&amp;$G$1)</f>
        <v>0</v>
      </c>
    </row>
    <row r="7" spans="1:37" ht="18" customHeight="1">
      <c r="A7" s="1007"/>
      <c r="B7" s="3459"/>
      <c r="C7" s="1009"/>
      <c r="D7" s="298"/>
      <c r="E7" s="1010" t="s">
        <v>697</v>
      </c>
      <c r="F7" s="294">
        <f ca="1">IF(INDIRECT("'数据-取费表'!ah"&amp;$G$1)="",INDIRECT("'数据-取费表'!k"&amp;$G$1),INDIRECT("'数据-取费表'!ah"&amp;$G$1))</f>
        <v>34499.08</v>
      </c>
      <c r="G7" s="1289"/>
      <c r="H7" s="295"/>
      <c r="I7" s="3459"/>
      <c r="J7" s="297"/>
      <c r="K7" s="298"/>
      <c r="L7" s="293" t="s">
        <v>697</v>
      </c>
      <c r="M7" s="294">
        <f ca="1">F7</f>
        <v>34499.08</v>
      </c>
    </row>
    <row r="8" spans="1:37" ht="18" customHeight="1">
      <c r="A8" s="295"/>
      <c r="B8" s="3459"/>
      <c r="C8" s="297"/>
      <c r="D8" s="298"/>
      <c r="E8" s="293" t="s">
        <v>698</v>
      </c>
      <c r="F8" s="294">
        <f ca="1">INDIRECT("'数据-取费表'!ai"&amp;$G$1)</f>
        <v>365</v>
      </c>
      <c r="G8" s="1289"/>
      <c r="H8" s="295"/>
      <c r="I8" s="3459"/>
      <c r="J8" s="297"/>
      <c r="K8" s="298"/>
      <c r="L8" s="293" t="s">
        <v>698</v>
      </c>
      <c r="M8" s="294">
        <f ca="1">INDIRECT("'数据-取费表'!ai"&amp;$G$1)</f>
        <v>365</v>
      </c>
    </row>
    <row r="9" spans="1:37" ht="18" customHeight="1">
      <c r="A9" s="295"/>
      <c r="B9" s="3460"/>
      <c r="C9" s="297"/>
      <c r="D9" s="298"/>
      <c r="E9" s="293" t="s">
        <v>699</v>
      </c>
      <c r="F9" s="303">
        <f ca="1">INDIRECT("'数据-取费表'!w"&amp;$G$1)</f>
        <v>0.1</v>
      </c>
      <c r="G9" s="1289"/>
      <c r="H9" s="295"/>
      <c r="I9" s="3460"/>
      <c r="J9" s="297"/>
      <c r="K9" s="298"/>
      <c r="L9" s="304" t="s">
        <v>699</v>
      </c>
      <c r="M9" s="305">
        <f ca="1">INDIRECT("'数据-取费表'!ab"&amp;$G$1)</f>
        <v>0</v>
      </c>
    </row>
    <row r="10" spans="1:37" ht="18" customHeight="1">
      <c r="A10" s="1003" t="s">
        <v>402</v>
      </c>
      <c r="B10" s="1271" t="s">
        <v>700</v>
      </c>
      <c r="C10" s="307">
        <f ca="1">ROUND(IF(F10="押一",C6/12*F11,IF(F10="押二",C6/12*2*F11,IF(F10="押三",C6/12*3*F11,C11*F11))),0)</f>
        <v>10</v>
      </c>
      <c r="D10" s="149" t="s">
        <v>2115</v>
      </c>
      <c r="E10" s="304" t="s">
        <v>701</v>
      </c>
      <c r="F10" s="1050" t="s">
        <v>3417</v>
      </c>
      <c r="G10" s="1289"/>
      <c r="H10" s="1003" t="s">
        <v>402</v>
      </c>
      <c r="I10" s="1271" t="s">
        <v>700</v>
      </c>
      <c r="J10" s="292">
        <f ca="1">ROUND(IF(M10="押一",J6/12*M11,IF(M10="押二",J6/12*2*M11,IF(M10="押三",J6/12*3*M11,J11*M11))),0)</f>
        <v>0</v>
      </c>
      <c r="K10" s="149" t="s">
        <v>2114</v>
      </c>
      <c r="L10" s="304" t="s">
        <v>701</v>
      </c>
      <c r="M10" s="1050"/>
    </row>
    <row r="11" spans="1:37" ht="18" customHeight="1">
      <c r="A11" s="299"/>
      <c r="B11" s="1272" t="s">
        <v>679</v>
      </c>
      <c r="C11" s="902"/>
      <c r="D11" s="1273"/>
      <c r="E11" s="304" t="s">
        <v>702</v>
      </c>
      <c r="F11" s="305">
        <f ca="1">'数据-取费表'!B39</f>
        <v>1.4999999999999999E-2</v>
      </c>
      <c r="G11" s="1289"/>
      <c r="H11" s="1011"/>
      <c r="I11" s="1272" t="s">
        <v>679</v>
      </c>
      <c r="J11" s="902"/>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24697</v>
      </c>
      <c r="D13" s="1015" t="s">
        <v>705</v>
      </c>
      <c r="E13" s="1015" t="s">
        <v>706</v>
      </c>
      <c r="F13" s="1016">
        <f ca="1">INDIRECT("'数据-取费表'!y"&amp;$G$1)</f>
        <v>0.8</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20699</v>
      </c>
      <c r="D14" s="1254" t="s">
        <v>708</v>
      </c>
      <c r="E14" s="1252"/>
      <c r="F14" s="310"/>
      <c r="G14" s="1289"/>
      <c r="H14" s="925" t="s">
        <v>398</v>
      </c>
      <c r="I14" s="293" t="s">
        <v>709</v>
      </c>
      <c r="J14" s="21">
        <f ca="1">C29</f>
        <v>30871</v>
      </c>
      <c r="K14" s="12"/>
      <c r="L14" s="757"/>
      <c r="M14" s="758"/>
    </row>
    <row r="15" spans="1:37" s="1301" customFormat="1" ht="18" customHeight="1" thickBot="1">
      <c r="A15" s="925" t="s">
        <v>399</v>
      </c>
      <c r="B15" s="293" t="s">
        <v>710</v>
      </c>
      <c r="C15" s="21">
        <f ca="1">ROUND(C14*F15,0)</f>
        <v>1035</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62</v>
      </c>
      <c r="K16" s="1021" t="s">
        <v>715</v>
      </c>
      <c r="L16" s="1022"/>
      <c r="M16" s="1006"/>
    </row>
    <row r="17" spans="1:37" s="1301" customFormat="1" ht="18" customHeight="1">
      <c r="A17" s="925" t="s">
        <v>681</v>
      </c>
      <c r="B17" s="293" t="s">
        <v>716</v>
      </c>
      <c r="C17" s="21">
        <f ca="1">ROUND(F17*(F43+INDIRECT("'数据-取费表'!S"&amp;$G$1))/10000,0)</f>
        <v>690</v>
      </c>
      <c r="D17" s="293" t="s">
        <v>717</v>
      </c>
      <c r="E17" s="293" t="s">
        <v>718</v>
      </c>
      <c r="F17" s="23">
        <f>'数据-取费表'!B35</f>
        <v>200</v>
      </c>
      <c r="G17" s="1300"/>
      <c r="H17" s="925" t="s">
        <v>398</v>
      </c>
      <c r="I17" s="293"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414</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22838</v>
      </c>
      <c r="D19" s="122" t="s">
        <v>726</v>
      </c>
      <c r="E19" s="1266"/>
      <c r="F19" s="23"/>
      <c r="G19" s="1289"/>
      <c r="H19" s="925" t="s">
        <v>399</v>
      </c>
      <c r="I19" s="293" t="s">
        <v>727</v>
      </c>
      <c r="J19" s="21">
        <f ca="1">IF(K19="按租金收入计税",ROUND(J6*M19/(1+'数据-取费表'!C42),2),ROUND(C29*M19*0.7,2))</f>
        <v>0</v>
      </c>
      <c r="K19" s="1275" t="s">
        <v>3325</v>
      </c>
      <c r="L19" s="293" t="s">
        <v>712</v>
      </c>
      <c r="M19" s="313">
        <f>IF(K19="按租金收入计税",'数据-取费表'!B51,'数据-取费表'!B50)</f>
        <v>0.12</v>
      </c>
    </row>
    <row r="20" spans="1:37" s="1301" customFormat="1" ht="18" customHeight="1">
      <c r="A20" s="925" t="s">
        <v>402</v>
      </c>
      <c r="B20" s="293" t="s">
        <v>728</v>
      </c>
      <c r="C20" s="21">
        <f ca="1">ROUND(C19*F20,0)</f>
        <v>685</v>
      </c>
      <c r="D20" s="314" t="s">
        <v>729</v>
      </c>
      <c r="E20" s="293" t="s">
        <v>712</v>
      </c>
      <c r="F20" s="313">
        <f>'数据-取费表'!B37</f>
        <v>0.03</v>
      </c>
      <c r="G20" s="1300"/>
      <c r="H20" s="925" t="s">
        <v>680</v>
      </c>
      <c r="I20" s="146" t="s">
        <v>730</v>
      </c>
      <c r="J20" s="22">
        <f ca="1">ROUND(M20*M21/10000,2)</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15</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61.74</v>
      </c>
      <c r="K22" s="1253" t="s">
        <v>739</v>
      </c>
      <c r="L22" s="293" t="s">
        <v>712</v>
      </c>
      <c r="M22" s="319">
        <f ca="1">INDIRECT("'数据-取费表'!Ak"&amp;$G$1)</f>
        <v>2E-3</v>
      </c>
    </row>
    <row r="23" spans="1:37" s="1301" customFormat="1" ht="18" customHeight="1">
      <c r="A23" s="925" t="s">
        <v>397</v>
      </c>
      <c r="B23" s="293" t="s">
        <v>740</v>
      </c>
      <c r="C23" s="21">
        <f ca="1">IF('数据-取费表'!B22&lt;=1,ROUND(C19*F24*F23/2,0)+ROUND(C20*F24*F23/2,0),ROUND(C19*(POWER((1+F24),F23/2)-1),0)+ROUND(C20*(POWER((1+F24),F23/2)-1),0))</f>
        <v>1066</v>
      </c>
      <c r="D23" s="137" t="str">
        <f>IF(F23&lt;=1,"(建造成本+管理费用)×利率×(建设周期÷2)","(建造成本+管理费用)×((1+利率)^(建设周期÷2)-1)")</f>
        <v>(建造成本+管理费用)×((1+利率)^(建设周期÷2)-1)</v>
      </c>
      <c r="E23" s="293" t="s">
        <v>741</v>
      </c>
      <c r="F23" s="316">
        <f>'数据-取费表'!B20</f>
        <v>3</v>
      </c>
      <c r="G23" s="1300"/>
      <c r="H23" s="925"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0.03</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-62</v>
      </c>
      <c r="K25" s="1029" t="s">
        <v>753</v>
      </c>
      <c r="L25" s="1030"/>
      <c r="M25" s="1031"/>
    </row>
    <row r="26" spans="1:37">
      <c r="A26" s="925" t="s">
        <v>397</v>
      </c>
      <c r="B26" s="293" t="s">
        <v>754</v>
      </c>
      <c r="C26" s="21">
        <f ca="1">ROUND((C19+C20)*F26,0)</f>
        <v>3528</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30871</v>
      </c>
      <c r="D29" s="1026"/>
      <c r="E29" s="1024"/>
      <c r="F29" s="1027"/>
      <c r="G29" s="1300"/>
      <c r="H29" s="324" t="s">
        <v>396</v>
      </c>
      <c r="I29" s="325" t="s">
        <v>768</v>
      </c>
      <c r="J29" s="326">
        <f ca="1">ROUND(J26/(1+F40)^F41,0)</f>
        <v>0</v>
      </c>
      <c r="K29" s="327" t="s">
        <v>769</v>
      </c>
      <c r="L29" s="328"/>
      <c r="M29" s="329">
        <f ca="1">INDIRECT("'数据-取费表'!k"&amp;$G$1)</f>
        <v>34499.08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1496</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1329.72</v>
      </c>
      <c r="D31" s="1254" t="s">
        <v>720</v>
      </c>
      <c r="E31" s="1253" t="s">
        <v>770</v>
      </c>
      <c r="F31" s="2136" t="str">
        <f>IF(项目基本情况!B11="企业","——",IF(M47="住宅",IF(F6*F7*F8/12/(1+'数据-取费表'!F30)&gt;100000,4%,2.5%),IF(F6*F7*F8/12/(1+'数据-取费表'!F30)&gt;100000,12%,7%)))</f>
        <v>——</v>
      </c>
      <c r="G31" s="1289"/>
      <c r="H31" s="2567" t="s">
        <v>2295</v>
      </c>
      <c r="I31" s="1302"/>
      <c r="J31" s="1303"/>
      <c r="K31" s="120"/>
      <c r="L31" s="2469"/>
      <c r="M31" s="2470"/>
    </row>
    <row r="32" spans="1:37" ht="18" customHeight="1">
      <c r="A32" s="925" t="s">
        <v>397</v>
      </c>
      <c r="B32" s="293" t="s">
        <v>723</v>
      </c>
      <c r="C32" s="21">
        <f ca="1">IF(项目基本情况!B11="自然人","——",ROUND(C6*F32/(1+'数据-取费表'!C42),2))</f>
        <v>423.09</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906.63</v>
      </c>
      <c r="D33" s="1275" t="s">
        <v>3325</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0</v>
      </c>
      <c r="D34" s="315" t="s">
        <v>731</v>
      </c>
      <c r="E34" s="293" t="s">
        <v>732</v>
      </c>
      <c r="F34" s="316">
        <f>'数据-取费表'!B52</f>
        <v>0</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ROUND(C29*F36,2)</f>
        <v>61.74</v>
      </c>
      <c r="D36" s="1253" t="s">
        <v>771</v>
      </c>
      <c r="E36" s="293" t="s">
        <v>712</v>
      </c>
      <c r="F36" s="319">
        <f ca="1">INDIRECT("'数据-取费表'!Ak"&amp;$G$1)</f>
        <v>2E-3</v>
      </c>
      <c r="G36" s="1289"/>
      <c r="H36" s="2471"/>
      <c r="I36" s="1302"/>
      <c r="J36" s="1303"/>
      <c r="K36" s="2328"/>
      <c r="L36" s="2471"/>
      <c r="M36" s="2471"/>
    </row>
    <row r="37" spans="1:18" ht="18" customHeight="1">
      <c r="A37" s="925" t="s">
        <v>437</v>
      </c>
      <c r="B37" s="293" t="s">
        <v>742</v>
      </c>
      <c r="C37" s="21">
        <f ca="1">ROUND(C13*F37,2)</f>
        <v>24.7</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ROUND(C5*F38,2)</f>
        <v>79.430000000000007</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6447</v>
      </c>
      <c r="D39" s="1029" t="s">
        <v>773</v>
      </c>
      <c r="E39" s="1030"/>
      <c r="F39" s="1031"/>
      <c r="G39" s="1289"/>
      <c r="H39" s="2471"/>
      <c r="I39" s="1302"/>
      <c r="J39" s="1303"/>
      <c r="K39" s="2469"/>
      <c r="L39" s="2471"/>
      <c r="M39" s="2471"/>
    </row>
    <row r="40" spans="1:18" ht="18" customHeight="1">
      <c r="A40" s="290" t="s">
        <v>395</v>
      </c>
      <c r="B40" s="291" t="s">
        <v>774</v>
      </c>
      <c r="C40" s="292">
        <f ca="1">ROUND(C39*(1-((1+F42)/(1+F40))^F41)/(F40-F42),0)</f>
        <v>115097</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29.06</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33362</v>
      </c>
      <c r="D43" s="327" t="s">
        <v>777</v>
      </c>
      <c r="E43" s="328" t="s">
        <v>778</v>
      </c>
      <c r="F43" s="329">
        <f ca="1">INDIRECT("'数据-取费表'!k"&amp;$G$1)</f>
        <v>34499.08</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5" thickBot="1">
      <c r="A46" s="1308" t="s">
        <v>809</v>
      </c>
      <c r="C46" s="1309">
        <f ca="1">C68-C40</f>
        <v>-116331</v>
      </c>
      <c r="D46" s="1310" t="str">
        <f>C2</f>
        <v>万元</v>
      </c>
      <c r="E46" s="1304"/>
      <c r="F46" s="1304"/>
      <c r="I46" s="1311" t="s">
        <v>810</v>
      </c>
      <c r="J46" s="1312"/>
      <c r="K46" s="1313"/>
      <c r="L46" s="1314">
        <f ca="1">IF(M47="住宅",0,IF(L48&gt;J51,L60,J60))</f>
        <v>1510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t="s">
        <v>3418</v>
      </c>
      <c r="K47" s="1320" t="s">
        <v>816</v>
      </c>
      <c r="L47" s="1321">
        <f ca="1">INDIRECT("'数据-取费表'!d"&amp;$G$1)</f>
        <v>50</v>
      </c>
      <c r="M47" s="1285" t="str">
        <f>IF(ISNUMBER(FIND("住宅",C1)),"住宅","非住宅")</f>
        <v>非住宅</v>
      </c>
      <c r="O47" s="1322" t="s">
        <v>403</v>
      </c>
      <c r="P47" s="1323" t="s">
        <v>817</v>
      </c>
      <c r="Q47" s="1324">
        <f ca="1">C40+J29</f>
        <v>115097</v>
      </c>
      <c r="R47" s="1324" t="s">
        <v>818</v>
      </c>
    </row>
    <row r="48" spans="1:18" s="1289" customFormat="1" ht="28.5" thickBot="1">
      <c r="A48" s="1044" t="s">
        <v>438</v>
      </c>
      <c r="B48" s="291" t="s">
        <v>692</v>
      </c>
      <c r="C48" s="1265">
        <f ca="1">C49+C53+C55</f>
        <v>0</v>
      </c>
      <c r="D48" s="1046"/>
      <c r="E48" s="1047"/>
      <c r="F48" s="905"/>
      <c r="G48" s="679"/>
      <c r="H48" s="680"/>
      <c r="I48" s="1325" t="s">
        <v>819</v>
      </c>
      <c r="J48" s="1326" t="s">
        <v>3419</v>
      </c>
      <c r="K48" s="1327" t="s">
        <v>820</v>
      </c>
      <c r="L48" s="1328">
        <f ca="1">INDIRECT("'数据-取费表'!f"&amp;$G$1)</f>
        <v>29.06</v>
      </c>
      <c r="O48" s="1322" t="s">
        <v>404</v>
      </c>
      <c r="P48" s="1323" t="s">
        <v>821</v>
      </c>
      <c r="Q48" s="1324">
        <f ca="1">J60</f>
        <v>1510</v>
      </c>
      <c r="R48" s="1324" t="s">
        <v>822</v>
      </c>
    </row>
    <row r="49" spans="1:18" s="1289" customFormat="1" ht="13.5" thickBot="1">
      <c r="A49" s="918" t="s">
        <v>439</v>
      </c>
      <c r="B49" s="1276" t="s">
        <v>779</v>
      </c>
      <c r="C49" s="1048">
        <f ca="1">ROUND(F49*F51*F50*(1-F52)/10000,0)</f>
        <v>0</v>
      </c>
      <c r="D49" s="989" t="s">
        <v>2108</v>
      </c>
      <c r="E49" s="1277" t="s">
        <v>780</v>
      </c>
      <c r="F49" s="994"/>
      <c r="H49" s="680"/>
      <c r="I49" s="1325" t="s">
        <v>823</v>
      </c>
      <c r="J49" s="1329">
        <v>2009</v>
      </c>
      <c r="K49" s="1327" t="s">
        <v>824</v>
      </c>
      <c r="L49" s="1330"/>
      <c r="O49" s="1331" t="s">
        <v>405</v>
      </c>
      <c r="P49" s="1323" t="s">
        <v>825</v>
      </c>
      <c r="Q49" s="1324">
        <f ca="1">C29</f>
        <v>30871</v>
      </c>
      <c r="R49" s="1324" t="s">
        <v>818</v>
      </c>
    </row>
    <row r="50" spans="1:18" s="1289" customFormat="1" ht="13.5" thickBot="1">
      <c r="A50" s="919"/>
      <c r="B50" s="922"/>
      <c r="C50" s="1052"/>
      <c r="D50" s="896"/>
      <c r="E50" s="990" t="s">
        <v>697</v>
      </c>
      <c r="F50" s="991">
        <f ca="1">F7</f>
        <v>34499.08</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4">
        <f ca="1">F8</f>
        <v>365</v>
      </c>
      <c r="I51" s="1335" t="s">
        <v>829</v>
      </c>
      <c r="J51" s="1328">
        <f>IF(J49="",J50,J49+J50-YEAR('数据-取费表'!B2))</f>
        <v>44</v>
      </c>
      <c r="K51" s="1336" t="s">
        <v>830</v>
      </c>
      <c r="L51" s="1337">
        <f ca="1">ROUND(-PV(INDIRECT("'数据-取费表'!h"&amp;$G$1),J51,(C39-C13*C76),0),0)</f>
        <v>83337</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29.06</v>
      </c>
      <c r="R52" s="1324" t="s">
        <v>835</v>
      </c>
    </row>
    <row r="53" spans="1:18" s="1289" customFormat="1" ht="24.75" thickBot="1">
      <c r="A53" s="1076" t="s">
        <v>440</v>
      </c>
      <c r="B53" s="1278" t="s">
        <v>700</v>
      </c>
      <c r="C53" s="307">
        <f ca="1">ROUND(IF(F53="押一",C49/12*F11,IF(F53="押二",C49/12*2*F11,IF(F53="押三",C49/12*3*F11,C54*F11))),0)</f>
        <v>0</v>
      </c>
      <c r="D53" s="149" t="s">
        <v>2114</v>
      </c>
      <c r="E53" s="304" t="s">
        <v>701</v>
      </c>
      <c r="F53" s="1050"/>
      <c r="I53" s="1341" t="s">
        <v>836</v>
      </c>
      <c r="J53" s="2003">
        <f ca="1">IF(M47="住宅",IF(D1="——",MAX(J51,L48),MAX(J51,L48-'数据-取费表'!B24)),IF(D1="——",MIN(J51,L48),MIN(J51,L48-'数据-取费表'!B24)))</f>
        <v>29.06</v>
      </c>
      <c r="K53" s="3456" t="s">
        <v>837</v>
      </c>
      <c r="L53" s="3457"/>
      <c r="O53" s="1322" t="s">
        <v>409</v>
      </c>
      <c r="P53" s="1323" t="s">
        <v>838</v>
      </c>
      <c r="Q53" s="1324">
        <f ca="1">Q47+Q48</f>
        <v>116607</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0.249</v>
      </c>
      <c r="K55" s="1347" t="s">
        <v>841</v>
      </c>
      <c r="L55" s="1348"/>
      <c r="O55" s="1315" t="s">
        <v>811</v>
      </c>
      <c r="P55" s="1316" t="s">
        <v>812</v>
      </c>
      <c r="Q55" s="1317" t="s">
        <v>813</v>
      </c>
      <c r="R55" s="1317" t="s">
        <v>814</v>
      </c>
    </row>
    <row r="56" spans="1:18" s="1289" customFormat="1" ht="25.5" thickTop="1" thickBot="1">
      <c r="A56" s="900">
        <v>2</v>
      </c>
      <c r="B56" s="901" t="s">
        <v>704</v>
      </c>
      <c r="C56" s="223">
        <f ca="1">C13</f>
        <v>24697</v>
      </c>
      <c r="D56" s="1349"/>
      <c r="E56" s="1350"/>
      <c r="F56" s="1342"/>
      <c r="I56" s="1351" t="s">
        <v>842</v>
      </c>
      <c r="J56" s="1352"/>
      <c r="K56" s="1325" t="s">
        <v>843</v>
      </c>
      <c r="L56" s="1328" t="str">
        <f ca="1">IF(L48&lt;J51,"——",L48-J53)</f>
        <v>——</v>
      </c>
      <c r="O56" s="1322" t="s">
        <v>403</v>
      </c>
      <c r="P56" s="1323" t="s">
        <v>817</v>
      </c>
      <c r="Q56" s="1324">
        <f ca="1">C40+J29</f>
        <v>115097</v>
      </c>
      <c r="R56" s="1324" t="s">
        <v>818</v>
      </c>
    </row>
    <row r="57" spans="1:18" s="1289" customFormat="1" ht="24.75" thickBot="1">
      <c r="A57" s="1353"/>
      <c r="B57" s="893" t="s">
        <v>767</v>
      </c>
      <c r="C57" s="229">
        <f ca="1">C29</f>
        <v>30871</v>
      </c>
      <c r="D57" s="1354"/>
      <c r="E57" s="1355"/>
      <c r="F57" s="1356"/>
      <c r="I57" s="1357" t="s">
        <v>844</v>
      </c>
      <c r="J57" s="1358">
        <f ca="1">IF(OR(M47="住宅",J51&lt;L48,J56="是"),"——",J51-L48)</f>
        <v>14.940000000000001</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86</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12348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1510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3325</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6">
        <f t="shared" si="0"/>
        <v>0</v>
      </c>
      <c r="I62" s="1364" t="s">
        <v>858</v>
      </c>
      <c r="J62" s="609" t="s">
        <v>859</v>
      </c>
      <c r="K62" s="609" t="s">
        <v>860</v>
      </c>
      <c r="L62" s="609" t="s">
        <v>861</v>
      </c>
      <c r="M62" s="1365" t="s">
        <v>862</v>
      </c>
      <c r="O62" s="1322" t="s">
        <v>409</v>
      </c>
      <c r="P62" s="1323" t="s">
        <v>863</v>
      </c>
      <c r="Q62" s="1324">
        <f ca="1">Q56+Q57</f>
        <v>115097</v>
      </c>
      <c r="R62" s="1324" t="s">
        <v>410</v>
      </c>
    </row>
    <row r="63" spans="1:18" s="1289" customFormat="1" ht="13.5"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ROUND(C57*F64,2)</f>
        <v>61.74</v>
      </c>
      <c r="D64" s="907" t="s">
        <v>791</v>
      </c>
      <c r="E64" s="893" t="s">
        <v>783</v>
      </c>
      <c r="F64" s="319">
        <f t="shared" ca="1" si="0"/>
        <v>2E-3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24.7</v>
      </c>
      <c r="D65" s="907" t="s">
        <v>743</v>
      </c>
      <c r="E65" s="893" t="s">
        <v>744</v>
      </c>
      <c r="F65" s="320">
        <f t="shared" ca="1" si="0"/>
        <v>1E-3</v>
      </c>
      <c r="I65" s="1364" t="s">
        <v>867</v>
      </c>
      <c r="J65" s="609">
        <v>40</v>
      </c>
      <c r="K65" s="609">
        <v>30</v>
      </c>
      <c r="L65" s="609">
        <v>50</v>
      </c>
      <c r="M65" s="1366">
        <v>0.02</v>
      </c>
      <c r="O65" s="1322" t="s">
        <v>403</v>
      </c>
      <c r="P65" s="1323" t="s">
        <v>868</v>
      </c>
      <c r="Q65" s="1324">
        <f ca="1">C40+J29</f>
        <v>115097</v>
      </c>
      <c r="R65" s="1324" t="s">
        <v>818</v>
      </c>
    </row>
    <row r="66" spans="1:18" s="1289" customFormat="1" ht="16.5" thickBot="1">
      <c r="A66" s="925" t="s">
        <v>793</v>
      </c>
      <c r="B66" s="893" t="s">
        <v>728</v>
      </c>
      <c r="C66" s="21">
        <f ca="1">ROUND(C48*F66,2)</f>
        <v>0</v>
      </c>
      <c r="D66" s="907" t="s">
        <v>794</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-86</v>
      </c>
      <c r="D67" s="906" t="s">
        <v>753</v>
      </c>
      <c r="E67" s="911"/>
      <c r="F67" s="912"/>
      <c r="O67" s="1331" t="s">
        <v>405</v>
      </c>
      <c r="P67" s="1323" t="s">
        <v>850</v>
      </c>
      <c r="Q67" s="1367">
        <f ca="1">L51</f>
        <v>83337</v>
      </c>
      <c r="R67" s="1324" t="s">
        <v>870</v>
      </c>
    </row>
    <row r="68" spans="1:18" s="1289" customFormat="1" ht="16.5" thickBot="1">
      <c r="A68" s="890" t="s">
        <v>395</v>
      </c>
      <c r="B68" s="891" t="s">
        <v>774</v>
      </c>
      <c r="C68" s="292">
        <f ca="1">ROUND(C67*(1-((1+F70)/(1+F68))^F69)/(F68-F70),0)</f>
        <v>-1234</v>
      </c>
      <c r="D68" s="908" t="s">
        <v>758</v>
      </c>
      <c r="E68" s="893" t="s">
        <v>759</v>
      </c>
      <c r="F68" s="303">
        <f ca="1">F40</f>
        <v>5.5E-2</v>
      </c>
      <c r="O68" s="1331" t="s">
        <v>406</v>
      </c>
      <c r="P68" s="1368" t="s">
        <v>871</v>
      </c>
      <c r="Q68" s="1324">
        <f ca="1">ROUND(Q69-Q70*Q71,0)</f>
        <v>4718</v>
      </c>
      <c r="R68" s="1324" t="s">
        <v>414</v>
      </c>
    </row>
    <row r="69" spans="1:18" s="1289" customFormat="1" ht="13.5" thickBot="1">
      <c r="A69" s="894"/>
      <c r="B69" s="895"/>
      <c r="C69" s="297"/>
      <c r="D69" s="913" t="s">
        <v>762</v>
      </c>
      <c r="E69" s="893" t="s">
        <v>763</v>
      </c>
      <c r="F69" s="323">
        <f ca="1">F41</f>
        <v>29.06</v>
      </c>
      <c r="O69" s="1331" t="s">
        <v>411</v>
      </c>
      <c r="P69" s="1368" t="s">
        <v>872</v>
      </c>
      <c r="Q69" s="1324">
        <f ca="1">C39</f>
        <v>6447</v>
      </c>
      <c r="R69" s="1324" t="s">
        <v>818</v>
      </c>
    </row>
    <row r="70" spans="1:18" s="1289" customFormat="1" ht="13.5" thickBot="1">
      <c r="A70" s="897"/>
      <c r="B70" s="898"/>
      <c r="C70" s="301"/>
      <c r="D70" s="909"/>
      <c r="E70" s="893" t="s">
        <v>766</v>
      </c>
      <c r="F70" s="988"/>
      <c r="O70" s="1331" t="s">
        <v>412</v>
      </c>
      <c r="P70" s="1368" t="s">
        <v>873</v>
      </c>
      <c r="Q70" s="1324">
        <f ca="1">C13</f>
        <v>24697</v>
      </c>
      <c r="R70" s="1324" t="s">
        <v>818</v>
      </c>
    </row>
    <row r="71" spans="1:18" s="1289" customFormat="1" ht="13.5" thickBot="1">
      <c r="A71" s="914" t="s">
        <v>396</v>
      </c>
      <c r="B71" s="915" t="s">
        <v>776</v>
      </c>
      <c r="C71" s="326">
        <f ca="1">ROUND(C68*10000/F71,0)</f>
        <v>-358</v>
      </c>
      <c r="D71" s="916" t="s">
        <v>777</v>
      </c>
      <c r="E71" s="917" t="s">
        <v>778</v>
      </c>
      <c r="F71" s="329">
        <f ca="1">F43</f>
        <v>34499.08</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1729</v>
      </c>
      <c r="D75" s="1289"/>
      <c r="E75" s="1289"/>
      <c r="F75" s="1289"/>
      <c r="K75" s="1306"/>
      <c r="L75" s="1289"/>
      <c r="O75" s="1322" t="s">
        <v>409</v>
      </c>
      <c r="P75" s="1323" t="s">
        <v>838</v>
      </c>
      <c r="Q75" s="1324">
        <f ca="1">Q65+Q66</f>
        <v>115097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0.73199999999999998</v>
      </c>
    </row>
    <row r="80" spans="1:18">
      <c r="B80" s="330" t="s">
        <v>800</v>
      </c>
      <c r="C80" s="265">
        <f ca="1">ROUND(C75/C39,3)</f>
        <v>0.26800000000000002</v>
      </c>
    </row>
    <row r="81" spans="2:3">
      <c r="B81" s="261" t="s">
        <v>801</v>
      </c>
      <c r="C81" s="229"/>
    </row>
    <row r="82" spans="2:3">
      <c r="B82" s="264" t="s">
        <v>802</v>
      </c>
      <c r="C82" s="266">
        <f ca="1">1-C83</f>
        <v>0.78500000000000003</v>
      </c>
    </row>
    <row r="83" spans="2:3">
      <c r="B83" s="264" t="s">
        <v>803</v>
      </c>
      <c r="C83" s="265">
        <f ca="1">ROUND(C13/C40,3)</f>
        <v>0.215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c r="D1" s="1268" t="s">
        <v>43</v>
      </c>
      <c r="E1" s="1269" t="s">
        <v>678</v>
      </c>
      <c r="F1" s="996">
        <f ca="1">J53</f>
        <v>0</v>
      </c>
      <c r="G1" s="1283">
        <f>MATCH(C1,'数据-取费表'!A6:A16,0)+5</f>
        <v>9</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458" t="s">
        <v>694</v>
      </c>
      <c r="C6" s="1008">
        <f ca="1">ROUND(F6*F8*F7*(1-F9),0)</f>
        <v>0</v>
      </c>
      <c r="D6" s="146" t="s">
        <v>2104</v>
      </c>
      <c r="E6" s="293" t="s">
        <v>696</v>
      </c>
      <c r="F6" s="294">
        <f ca="1">INDIRECT("'数据-取费表'!u"&amp;$G$1)</f>
        <v>0</v>
      </c>
      <c r="G6" s="1289"/>
      <c r="H6" s="1003" t="s">
        <v>398</v>
      </c>
      <c r="I6" s="3458" t="s">
        <v>694</v>
      </c>
      <c r="J6" s="292">
        <f ca="1">ROUND(M6*M8*M7*(1-M9),0)</f>
        <v>0</v>
      </c>
      <c r="K6" s="1281" t="s">
        <v>2105</v>
      </c>
      <c r="L6" s="293" t="s">
        <v>696</v>
      </c>
      <c r="M6" s="294">
        <f ca="1">INDIRECT("'数据-取费表'!z"&amp;$G$1)</f>
        <v>0</v>
      </c>
    </row>
    <row r="7" spans="1:37" ht="18" customHeight="1">
      <c r="A7" s="1007"/>
      <c r="B7" s="3459"/>
      <c r="C7" s="1009"/>
      <c r="D7" s="298"/>
      <c r="E7" s="1010" t="s">
        <v>697</v>
      </c>
      <c r="F7" s="294">
        <f ca="1">IF(INDIRECT("'数据-取费表'!ah"&amp;$G$1)="",INDIRECT("'数据-取费表'!k"&amp;$G$1),INDIRECT("'数据-取费表'!ah"&amp;$G$1))</f>
        <v>0</v>
      </c>
      <c r="G7" s="1289"/>
      <c r="H7" s="295"/>
      <c r="I7" s="3459"/>
      <c r="J7" s="297"/>
      <c r="K7" s="298"/>
      <c r="L7" s="293" t="s">
        <v>697</v>
      </c>
      <c r="M7" s="294">
        <f ca="1">F7</f>
        <v>0</v>
      </c>
    </row>
    <row r="8" spans="1:37" ht="18" customHeight="1">
      <c r="A8" s="295"/>
      <c r="B8" s="3459"/>
      <c r="C8" s="297"/>
      <c r="D8" s="298"/>
      <c r="E8" s="293" t="s">
        <v>698</v>
      </c>
      <c r="F8" s="294">
        <f ca="1">INDIRECT("'数据-取费表'!ai"&amp;$G$1)</f>
        <v>0</v>
      </c>
      <c r="G8" s="1289"/>
      <c r="H8" s="295"/>
      <c r="I8" s="3459"/>
      <c r="J8" s="297"/>
      <c r="K8" s="298"/>
      <c r="L8" s="293" t="s">
        <v>698</v>
      </c>
      <c r="M8" s="294">
        <f ca="1">INDIRECT("'数据-取费表'!ai"&amp;$G$1)</f>
        <v>0</v>
      </c>
    </row>
    <row r="9" spans="1:37" ht="18" customHeight="1">
      <c r="A9" s="295"/>
      <c r="B9" s="3460"/>
      <c r="C9" s="297"/>
      <c r="D9" s="298"/>
      <c r="E9" s="293" t="s">
        <v>699</v>
      </c>
      <c r="F9" s="303">
        <f ca="1">INDIRECT("'数据-取费表'!w"&amp;$G$1)</f>
        <v>0</v>
      </c>
      <c r="G9" s="1289"/>
      <c r="H9" s="295"/>
      <c r="I9" s="3460"/>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2114</v>
      </c>
      <c r="E10" s="304" t="s">
        <v>701</v>
      </c>
      <c r="F10" s="1050"/>
      <c r="G10" s="1289"/>
      <c r="H10" s="1003" t="s">
        <v>402</v>
      </c>
      <c r="I10" s="1271" t="s">
        <v>700</v>
      </c>
      <c r="J10" s="292">
        <f ca="1">ROUND(IF(M10="押一",J6/12*M11,IF(M10="押二",J6/12*2*M11,IF(M10="押三",J6/12*3*M11,J11*M11))),0)</f>
        <v>0</v>
      </c>
      <c r="K10" s="1282" t="s">
        <v>2116</v>
      </c>
      <c r="L10" s="304" t="s">
        <v>701</v>
      </c>
      <c r="M10" s="1050"/>
    </row>
    <row r="11" spans="1:37" ht="18" customHeight="1">
      <c r="A11" s="299"/>
      <c r="B11" s="1272" t="s">
        <v>890</v>
      </c>
      <c r="C11" s="902"/>
      <c r="D11" s="298"/>
      <c r="E11" s="304" t="s">
        <v>702</v>
      </c>
      <c r="F11" s="305">
        <f ca="1">'数据-取费表'!B39</f>
        <v>1.4999999999999999E-2</v>
      </c>
      <c r="G11" s="1289"/>
      <c r="H11" s="1011"/>
      <c r="I11" s="1272" t="s">
        <v>891</v>
      </c>
      <c r="J11" s="902"/>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3" t="s">
        <v>707</v>
      </c>
      <c r="C14" s="309">
        <f ca="1">ROUND(INDIRECT("'数据-取费表'!l"&amp;$G$1)*F43+'数据-取费表'!L14*INDIRECT("'数据-取费表'!S"&amp;$G$1),0)</f>
        <v>0</v>
      </c>
      <c r="D14" s="1254" t="s">
        <v>708</v>
      </c>
      <c r="E14" s="1252"/>
      <c r="F14" s="310"/>
      <c r="G14" s="1289"/>
      <c r="H14" s="925" t="s">
        <v>398</v>
      </c>
      <c r="I14" s="293" t="s">
        <v>709</v>
      </c>
      <c r="J14" s="21">
        <f ca="1">C29</f>
        <v>0</v>
      </c>
      <c r="K14" s="12"/>
      <c r="L14" s="757"/>
      <c r="M14" s="758"/>
    </row>
    <row r="15" spans="1:37" s="1301" customFormat="1" ht="18" customHeight="1" thickBot="1">
      <c r="A15" s="925"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5" t="s">
        <v>681</v>
      </c>
      <c r="B17" s="293" t="s">
        <v>716</v>
      </c>
      <c r="C17" s="21">
        <f ca="1">ROUND(F17*(F43+INDIRECT("'数据-取费表'!S"&amp;$G$1)),0)</f>
        <v>0</v>
      </c>
      <c r="D17" s="293" t="s">
        <v>717</v>
      </c>
      <c r="E17" s="293" t="s">
        <v>718</v>
      </c>
      <c r="F17" s="23">
        <f>'数据-取费表'!B35</f>
        <v>200</v>
      </c>
      <c r="G17" s="1300"/>
      <c r="H17" s="925"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0</v>
      </c>
      <c r="D18" s="293" t="s">
        <v>711</v>
      </c>
      <c r="E18" s="293" t="s">
        <v>712</v>
      </c>
      <c r="F18" s="313">
        <f>'数据-取费表'!B36</f>
        <v>0.02</v>
      </c>
      <c r="G18" s="1300"/>
      <c r="H18" s="925"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0</v>
      </c>
      <c r="D19" s="122" t="s">
        <v>726</v>
      </c>
      <c r="E19" s="1266"/>
      <c r="F19" s="23"/>
      <c r="G19" s="1289"/>
      <c r="H19" s="925" t="s">
        <v>399</v>
      </c>
      <c r="I19" s="293" t="s">
        <v>727</v>
      </c>
      <c r="J19" s="21">
        <f ca="1">IF(K19="按租金收入计税",ROUND(J6*M19/(1+'数据-取费表'!C42),0),ROUND(C29*M19*0.7,0))</f>
        <v>0</v>
      </c>
      <c r="K19" s="1275" t="s">
        <v>3325</v>
      </c>
      <c r="L19" s="293" t="s">
        <v>712</v>
      </c>
      <c r="M19" s="313">
        <f>IF(K19="按租金收入计税",'数据-取费表'!B51,'数据-取费表'!B50)</f>
        <v>0.12</v>
      </c>
    </row>
    <row r="20" spans="1:37" s="1301" customFormat="1" ht="18" customHeight="1">
      <c r="A20" s="925" t="s">
        <v>402</v>
      </c>
      <c r="B20" s="293" t="s">
        <v>728</v>
      </c>
      <c r="C20" s="21">
        <f ca="1">ROUND(C19*F20,0)</f>
        <v>0</v>
      </c>
      <c r="D20" s="314" t="s">
        <v>729</v>
      </c>
      <c r="E20" s="293" t="s">
        <v>712</v>
      </c>
      <c r="F20" s="313">
        <f>'数据-取费表'!B37</f>
        <v>0.03</v>
      </c>
      <c r="G20" s="1300"/>
      <c r="H20" s="925" t="s">
        <v>680</v>
      </c>
      <c r="I20" s="146" t="s">
        <v>730</v>
      </c>
      <c r="J20" s="22">
        <f ca="1">ROUND(M20*M21,0)</f>
        <v>0</v>
      </c>
      <c r="K20" s="315" t="s">
        <v>731</v>
      </c>
      <c r="L20" s="293" t="s">
        <v>732</v>
      </c>
      <c r="M20" s="316">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ROUND(J14*M22,0)</f>
        <v>0</v>
      </c>
      <c r="K22" s="1253" t="s">
        <v>739</v>
      </c>
      <c r="L22" s="293" t="s">
        <v>712</v>
      </c>
      <c r="M22" s="319">
        <f ca="1">INDIRECT("'数据-取费表'!Ak"&amp;$G$1)</f>
        <v>0</v>
      </c>
    </row>
    <row r="23" spans="1:37" s="1301" customFormat="1" ht="18" customHeight="1">
      <c r="A23" s="925"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0"/>
      <c r="H23" s="925"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5"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5"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2295</v>
      </c>
      <c r="I31" s="1302"/>
      <c r="J31" s="1303"/>
      <c r="K31" s="120"/>
      <c r="L31" s="2469"/>
      <c r="M31" s="2470"/>
    </row>
    <row r="32" spans="1:37" ht="18" customHeight="1">
      <c r="A32" s="925"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IF(项目基本情况!B11="自然人","——",IF(D33="按租金收入计税",ROUND(C6*F33/(1+'数据-取费表'!C42),0),IF(D33="按房产原值计税",ROUND(C29*F33*0.7,0),INDIRECT("'数据-取费表'!Aj"&amp;$G$1))))</f>
        <v>0</v>
      </c>
      <c r="D33" s="1275" t="s">
        <v>3325</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IF(项目基本情况!B11="自然人","——",ROUND(F34*F35,0))</f>
        <v>0</v>
      </c>
      <c r="D34" s="315" t="s">
        <v>731</v>
      </c>
      <c r="E34" s="293" t="s">
        <v>732</v>
      </c>
      <c r="F34" s="316">
        <f>'数据-取费表'!B52</f>
        <v>0</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ROUND(C29*F36,0)</f>
        <v>0</v>
      </c>
      <c r="D36" s="1253" t="s">
        <v>771</v>
      </c>
      <c r="E36" s="293" t="s">
        <v>712</v>
      </c>
      <c r="F36" s="319">
        <f ca="1">INDIRECT("'数据-取费表'!Ak"&amp;$G$1)</f>
        <v>0</v>
      </c>
      <c r="G36" s="1289"/>
      <c r="H36" s="2471"/>
      <c r="I36" s="1302"/>
      <c r="J36" s="1303"/>
      <c r="K36" s="2328"/>
      <c r="L36" s="2471"/>
      <c r="M36" s="2471"/>
    </row>
    <row r="37" spans="1:18" ht="18" customHeight="1">
      <c r="A37" s="925" t="s">
        <v>437</v>
      </c>
      <c r="B37" s="293" t="s">
        <v>742</v>
      </c>
      <c r="C37" s="21">
        <f ca="1">ROUND(C13*F37,0)</f>
        <v>0</v>
      </c>
      <c r="D37" s="1253" t="s">
        <v>743</v>
      </c>
      <c r="E37" s="293" t="s">
        <v>744</v>
      </c>
      <c r="F37" s="320">
        <f ca="1">INDIRECT("'数据-取费表'!Al"&amp;$G$1)</f>
        <v>0</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v>
      </c>
      <c r="G38" s="1289"/>
      <c r="H38" s="2471"/>
      <c r="I38" s="1302"/>
      <c r="J38" s="1303"/>
      <c r="K38" s="2469"/>
      <c r="L38" s="2471"/>
      <c r="M38" s="2471"/>
    </row>
    <row r="39" spans="1:18" ht="24.6" customHeight="1" thickTop="1">
      <c r="A39" s="1013" t="s">
        <v>394</v>
      </c>
      <c r="B39" s="1028" t="s">
        <v>772</v>
      </c>
      <c r="C39" s="301">
        <f ca="1">C5-C30</f>
        <v>0</v>
      </c>
      <c r="D39" s="1029" t="s">
        <v>773</v>
      </c>
      <c r="E39" s="1030"/>
      <c r="F39" s="1031"/>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8"/>
      <c r="L41" s="120"/>
      <c r="M41" s="120"/>
    </row>
    <row r="42" spans="1:18" ht="18" customHeight="1">
      <c r="A42" s="299"/>
      <c r="B42" s="300"/>
      <c r="C42" s="301"/>
      <c r="D42" s="318"/>
      <c r="E42" s="293" t="s">
        <v>766</v>
      </c>
      <c r="F42" s="303">
        <f ca="1">INDIRECT("'数据-取费表'!v"&amp;$G$1)</f>
        <v>0</v>
      </c>
      <c r="G42" s="1289"/>
      <c r="H42" s="120"/>
      <c r="I42" s="1302"/>
      <c r="J42" s="1303"/>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3127" t="s">
        <v>3341</v>
      </c>
      <c r="B45" s="1304"/>
      <c r="C45" s="1373" t="e">
        <f ca="1">ROUND((C68-C40)/10000,4)</f>
        <v>#DIV/0!</v>
      </c>
      <c r="D45" s="3128" t="s">
        <v>3342</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2117</v>
      </c>
      <c r="E53" s="304" t="s">
        <v>701</v>
      </c>
      <c r="F53" s="1050"/>
      <c r="I53" s="1341" t="s">
        <v>836</v>
      </c>
      <c r="J53" s="2003">
        <f ca="1">IF(M47="住宅",IF(D1="——",MAX(J51,L48),MAX(J51,L48-'数据-取费表'!B24)),IF(D1="——",MIN(J51,L48),MIN(J51,L48-'数据-取费表'!B24)))</f>
        <v>0</v>
      </c>
      <c r="K53" s="3456" t="s">
        <v>837</v>
      </c>
      <c r="L53" s="3457"/>
      <c r="O53" s="1322" t="s">
        <v>409</v>
      </c>
      <c r="P53" s="1323" t="s">
        <v>838</v>
      </c>
      <c r="Q53" s="1324" t="e">
        <f ca="1">Q47+Q48</f>
        <v>#DIV/0!</v>
      </c>
      <c r="R53" s="1324" t="s">
        <v>410</v>
      </c>
    </row>
    <row r="54" spans="1:18" s="1289" customFormat="1" ht="13.5" thickBot="1">
      <c r="A54" s="918"/>
      <c r="B54" s="1374" t="s">
        <v>891</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1" t="s">
        <v>714</v>
      </c>
      <c r="C58" s="307">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3325</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6">
        <f t="shared" si="0"/>
        <v>0</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9">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0">
        <f t="shared" ca="1" si="0"/>
        <v>0</v>
      </c>
      <c r="I65" s="1364" t="s">
        <v>867</v>
      </c>
      <c r="J65" s="609">
        <v>40</v>
      </c>
      <c r="K65" s="609">
        <v>30</v>
      </c>
      <c r="L65" s="609">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3">
        <f t="shared" ca="1" si="0"/>
        <v>0</v>
      </c>
      <c r="O66" s="1322" t="s">
        <v>404</v>
      </c>
      <c r="P66" s="1323" t="s">
        <v>846</v>
      </c>
      <c r="Q66" s="1324" t="e">
        <f ca="1">L60</f>
        <v>#DIV/0!</v>
      </c>
      <c r="R66" s="1324" t="s">
        <v>869</v>
      </c>
    </row>
    <row r="67" spans="1:18" s="1289" customFormat="1" ht="16.5" thickBot="1">
      <c r="A67" s="900" t="s">
        <v>394</v>
      </c>
      <c r="B67" s="910" t="s">
        <v>752</v>
      </c>
      <c r="C67" s="307">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2" t="e">
        <f ca="1">ROUND(C67*(1-((1+F70)/(1+F68))^F69)/(F68-F70),0)</f>
        <v>#DIV/0!</v>
      </c>
      <c r="D68" s="908" t="s">
        <v>758</v>
      </c>
      <c r="E68" s="893" t="s">
        <v>759</v>
      </c>
      <c r="F68" s="303">
        <f ca="1">F40</f>
        <v>0</v>
      </c>
      <c r="O68" s="1331" t="s">
        <v>406</v>
      </c>
      <c r="P68" s="1368" t="s">
        <v>871</v>
      </c>
      <c r="Q68" s="1324">
        <f ca="1">ROUND(Q69-Q70*Q71,0)</f>
        <v>0</v>
      </c>
      <c r="R68" s="1324" t="s">
        <v>414</v>
      </c>
    </row>
    <row r="69" spans="1:18" s="1289" customFormat="1" ht="13.5" thickBot="1">
      <c r="A69" s="894"/>
      <c r="B69" s="895"/>
      <c r="C69" s="297"/>
      <c r="D69" s="913" t="s">
        <v>762</v>
      </c>
      <c r="E69" s="893" t="s">
        <v>763</v>
      </c>
      <c r="F69" s="323">
        <f ca="1">F41</f>
        <v>0</v>
      </c>
      <c r="O69" s="1331" t="s">
        <v>411</v>
      </c>
      <c r="P69" s="1368" t="s">
        <v>872</v>
      </c>
      <c r="Q69" s="1324">
        <f ca="1">C39</f>
        <v>0</v>
      </c>
      <c r="R69" s="1324" t="s">
        <v>818</v>
      </c>
    </row>
    <row r="70" spans="1:18" s="1289" customFormat="1" ht="13.5" thickBot="1">
      <c r="A70" s="897"/>
      <c r="B70" s="898"/>
      <c r="C70" s="301"/>
      <c r="D70" s="909"/>
      <c r="E70" s="893" t="s">
        <v>766</v>
      </c>
      <c r="F70" s="988"/>
      <c r="O70" s="1331" t="s">
        <v>412</v>
      </c>
      <c r="P70" s="1368" t="s">
        <v>873</v>
      </c>
      <c r="Q70" s="1324">
        <f ca="1">C13</f>
        <v>0</v>
      </c>
      <c r="R70" s="1324" t="s">
        <v>818</v>
      </c>
    </row>
    <row r="71" spans="1:18" s="1289" customFormat="1" ht="13.5" thickBot="1">
      <c r="A71" s="914" t="s">
        <v>396</v>
      </c>
      <c r="B71" s="915" t="s">
        <v>776</v>
      </c>
      <c r="C71" s="326" t="e">
        <f ca="1">ROUND(C68/F71,0)</f>
        <v>#DIV/0!</v>
      </c>
      <c r="D71" s="916" t="s">
        <v>777</v>
      </c>
      <c r="E71" s="917" t="s">
        <v>778</v>
      </c>
      <c r="F71" s="329">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2424</v>
      </c>
      <c r="B1" s="2581"/>
      <c r="C1" s="2593"/>
      <c r="D1" s="2593"/>
      <c r="E1" s="2582"/>
      <c r="F1" s="2583"/>
      <c r="G1" s="2584"/>
      <c r="J1" s="2587" t="s">
        <v>2303</v>
      </c>
      <c r="K1" s="2588"/>
      <c r="L1" s="2588"/>
      <c r="M1" s="2588"/>
      <c r="N1" s="2588"/>
      <c r="O1" s="2588"/>
      <c r="P1" s="2588"/>
      <c r="Q1" s="2588"/>
      <c r="R1" s="2589"/>
      <c r="S1" s="2590"/>
      <c r="T1" s="2590"/>
      <c r="U1" s="2590"/>
    </row>
    <row r="2" spans="1:22" s="2602" customFormat="1" ht="13.15" customHeight="1">
      <c r="A2" s="1290" t="s">
        <v>2304</v>
      </c>
      <c r="B2" s="2592" t="e">
        <f>IF(D2="——",C40,C40+E2)</f>
        <v>#DIV/0!</v>
      </c>
      <c r="C2" s="2593" t="s">
        <v>2305</v>
      </c>
      <c r="D2" s="3136" t="s">
        <v>3348</v>
      </c>
      <c r="E2" s="3137"/>
      <c r="F2" s="2595"/>
      <c r="G2" s="2596"/>
      <c r="H2" s="2597"/>
      <c r="I2" s="2598"/>
      <c r="J2" s="3461" t="s">
        <v>2306</v>
      </c>
      <c r="K2" s="3462"/>
      <c r="L2" s="2599" t="s">
        <v>2307</v>
      </c>
      <c r="M2" s="2599" t="s">
        <v>2308</v>
      </c>
      <c r="N2" s="2599" t="s">
        <v>2309</v>
      </c>
      <c r="O2" s="2599" t="s">
        <v>2310</v>
      </c>
      <c r="P2" s="2599" t="s">
        <v>2311</v>
      </c>
      <c r="Q2" s="2600" t="s">
        <v>2312</v>
      </c>
      <c r="R2" s="2601" t="s">
        <v>2313</v>
      </c>
      <c r="S2" s="2590"/>
      <c r="T2" s="2590"/>
      <c r="U2" s="2590"/>
      <c r="V2" s="2598"/>
    </row>
    <row r="3" spans="1:22" s="2602" customFormat="1" ht="13.15" customHeight="1">
      <c r="A3" s="2603" t="s">
        <v>2314</v>
      </c>
      <c r="B3" s="2604" t="e">
        <f>ROUND(B2*10000/B4,0)</f>
        <v>#DIV/0!</v>
      </c>
      <c r="C3" s="2593" t="s">
        <v>2315</v>
      </c>
      <c r="D3" s="2593"/>
      <c r="E3" s="2594"/>
      <c r="F3" s="2595"/>
      <c r="G3" s="2596"/>
      <c r="H3" s="2597"/>
      <c r="I3" s="2598"/>
      <c r="J3" s="3463" t="s">
        <v>2316</v>
      </c>
      <c r="K3" s="3464"/>
      <c r="L3" s="2605"/>
      <c r="M3" s="2605"/>
      <c r="N3" s="2605"/>
      <c r="O3" s="2605"/>
      <c r="P3" s="2605"/>
      <c r="Q3" s="2606"/>
      <c r="R3" s="2607">
        <f>SUM(L3:Q3)</f>
        <v>0</v>
      </c>
      <c r="S3" s="2590"/>
      <c r="T3" s="2590"/>
      <c r="U3" s="2590"/>
      <c r="V3" s="2598"/>
    </row>
    <row r="4" spans="1:22" s="2602" customFormat="1" ht="13.15" customHeight="1">
      <c r="A4" s="2608" t="s">
        <v>2317</v>
      </c>
      <c r="B4" s="2609"/>
      <c r="C4" s="2593"/>
      <c r="D4" s="2593"/>
      <c r="E4" s="2594"/>
      <c r="F4" s="2595"/>
      <c r="G4" s="2596"/>
      <c r="H4" s="2597"/>
      <c r="I4" s="2598"/>
      <c r="J4" s="3463" t="s">
        <v>2318</v>
      </c>
      <c r="K4" s="3464"/>
      <c r="L4" s="2610"/>
      <c r="M4" s="2610"/>
      <c r="N4" s="2610"/>
      <c r="O4" s="2610"/>
      <c r="P4" s="2610"/>
      <c r="Q4" s="2611"/>
      <c r="R4" s="2612">
        <f>SUM(L4:Q4)</f>
        <v>0</v>
      </c>
      <c r="S4" s="2590"/>
      <c r="T4" s="2590"/>
      <c r="U4" s="2590"/>
      <c r="V4" s="2598"/>
    </row>
    <row r="5" spans="1:22" s="2602" customFormat="1" ht="13.15" customHeight="1" thickBot="1">
      <c r="A5" s="2613" t="s">
        <v>2319</v>
      </c>
      <c r="B5" s="2614"/>
      <c r="C5" s="2593"/>
      <c r="D5" s="2615"/>
      <c r="E5" s="2595"/>
      <c r="F5" s="2595"/>
      <c r="G5" s="2596"/>
      <c r="H5" s="2597"/>
      <c r="I5" s="2598"/>
      <c r="J5" s="2616" t="s">
        <v>2320</v>
      </c>
      <c r="K5" s="2617"/>
      <c r="L5" s="2617"/>
      <c r="M5" s="2618"/>
      <c r="N5" s="2618"/>
      <c r="O5" s="2618"/>
      <c r="P5" s="2618"/>
      <c r="Q5" s="2618"/>
      <c r="R5" s="2601">
        <f>SUM(R14,R19,R24,R25,R27,R28)</f>
        <v>0</v>
      </c>
      <c r="S5" s="2590"/>
      <c r="T5" s="2590" t="s">
        <v>2321</v>
      </c>
      <c r="U5" s="2590" t="e">
        <f>ROUND(R5*10000/365/R3,1)</f>
        <v>#DIV/0!</v>
      </c>
      <c r="V5" s="2598"/>
    </row>
    <row r="6" spans="1:22" s="2602" customFormat="1" ht="13.15" customHeight="1" thickBot="1">
      <c r="A6" s="3465" t="s">
        <v>2322</v>
      </c>
      <c r="B6" s="3466"/>
      <c r="C6" s="3467"/>
      <c r="D6" s="2619"/>
      <c r="E6" s="2620"/>
      <c r="F6" s="2621"/>
      <c r="G6" s="2622"/>
      <c r="H6" s="2597"/>
      <c r="I6" s="2598"/>
      <c r="J6" s="3468">
        <v>1</v>
      </c>
      <c r="K6" s="3469" t="s">
        <v>2323</v>
      </c>
      <c r="L6" s="2623" t="s">
        <v>2324</v>
      </c>
      <c r="M6" s="2624" t="s">
        <v>2325</v>
      </c>
      <c r="N6" s="2624" t="s">
        <v>2326</v>
      </c>
      <c r="O6" s="2624" t="s">
        <v>2327</v>
      </c>
      <c r="P6" s="2624" t="s">
        <v>2328</v>
      </c>
      <c r="Q6" s="2624" t="s">
        <v>2329</v>
      </c>
      <c r="R6" s="2607" t="s">
        <v>2330</v>
      </c>
      <c r="S6" s="2590"/>
      <c r="T6" s="2590" t="s">
        <v>2331</v>
      </c>
      <c r="U6" s="2590"/>
      <c r="V6" s="2598"/>
    </row>
    <row r="7" spans="1:22" s="2602" customFormat="1" ht="13.15" customHeight="1">
      <c r="A7" s="2625" t="s">
        <v>2332</v>
      </c>
      <c r="B7" s="2626"/>
      <c r="C7" s="2627"/>
      <c r="D7" s="2628">
        <f>SUM(D9,D10,D11,D17,0)</f>
        <v>0</v>
      </c>
      <c r="E7" s="2629" t="e">
        <f>E9+E10+E11+E17</f>
        <v>#DIV/0!</v>
      </c>
      <c r="F7" s="2630"/>
      <c r="G7" s="2631"/>
      <c r="H7" s="2597"/>
      <c r="I7" s="2598"/>
      <c r="J7" s="3468"/>
      <c r="K7" s="3470"/>
      <c r="L7" s="2632" t="s">
        <v>2333</v>
      </c>
      <c r="M7" s="2633"/>
      <c r="N7" s="2609"/>
      <c r="O7" s="2634"/>
      <c r="P7" s="2634"/>
      <c r="Q7" s="2635">
        <v>365</v>
      </c>
      <c r="R7" s="2636">
        <f>ROUND(M7*N7*O7*P7*Q7/10000,0)</f>
        <v>0</v>
      </c>
      <c r="S7" s="2590"/>
      <c r="T7" s="2590" t="s">
        <v>2334</v>
      </c>
      <c r="U7" s="2590"/>
      <c r="V7" s="2598"/>
    </row>
    <row r="8" spans="1:22" s="2602" customFormat="1" ht="13.15" customHeight="1">
      <c r="A8" s="2637" t="s">
        <v>2335</v>
      </c>
      <c r="B8" s="3472" t="s">
        <v>2336</v>
      </c>
      <c r="C8" s="3473"/>
      <c r="D8" s="2638" t="s">
        <v>2337</v>
      </c>
      <c r="E8" s="2639" t="s">
        <v>2338</v>
      </c>
      <c r="F8" s="2640" t="s">
        <v>2339</v>
      </c>
      <c r="G8" s="2641"/>
      <c r="H8" s="2597"/>
      <c r="I8" s="2598"/>
      <c r="J8" s="3468"/>
      <c r="K8" s="3470"/>
      <c r="L8" s="2632" t="s">
        <v>2340</v>
      </c>
      <c r="M8" s="2633"/>
      <c r="N8" s="2609"/>
      <c r="O8" s="2634"/>
      <c r="P8" s="2634"/>
      <c r="Q8" s="2635">
        <v>365</v>
      </c>
      <c r="R8" s="2636">
        <f t="shared" ref="R8:R13" si="0">ROUND(M8*N8*O8*P8*Q8/10000,0)</f>
        <v>0</v>
      </c>
      <c r="S8" s="2590"/>
      <c r="T8" s="2590" t="s">
        <v>2341</v>
      </c>
      <c r="U8" s="2590"/>
      <c r="V8" s="2598"/>
    </row>
    <row r="9" spans="1:22" s="2602" customFormat="1" ht="13.15" customHeight="1">
      <c r="A9" s="2637">
        <v>1</v>
      </c>
      <c r="B9" s="3472" t="s">
        <v>2342</v>
      </c>
      <c r="C9" s="3473"/>
      <c r="D9" s="2638">
        <f>ROUND(D6*E9,0)</f>
        <v>0</v>
      </c>
      <c r="E9" s="2642"/>
      <c r="F9" s="2643" t="s">
        <v>2343</v>
      </c>
      <c r="G9" s="2622"/>
      <c r="H9" s="2597"/>
      <c r="I9" s="2598"/>
      <c r="J9" s="3468"/>
      <c r="K9" s="3470"/>
      <c r="L9" s="2632" t="s">
        <v>2344</v>
      </c>
      <c r="M9" s="2633"/>
      <c r="N9" s="2609"/>
      <c r="O9" s="2634"/>
      <c r="P9" s="2634"/>
      <c r="Q9" s="2635">
        <v>365</v>
      </c>
      <c r="R9" s="2636">
        <f t="shared" si="0"/>
        <v>0</v>
      </c>
      <c r="S9" s="2590"/>
      <c r="T9" s="2590"/>
      <c r="U9" s="2590"/>
      <c r="V9" s="2598"/>
    </row>
    <row r="10" spans="1:22" s="2602" customFormat="1" ht="13.15" customHeight="1">
      <c r="A10" s="2637">
        <v>2</v>
      </c>
      <c r="B10" s="3472" t="s">
        <v>2345</v>
      </c>
      <c r="C10" s="3473"/>
      <c r="D10" s="2638">
        <f>ROUND(D6*E10,0)</f>
        <v>0</v>
      </c>
      <c r="E10" s="2642"/>
      <c r="F10" s="2643" t="s">
        <v>2346</v>
      </c>
      <c r="G10" s="2622"/>
      <c r="H10" s="2597"/>
      <c r="I10" s="2598"/>
      <c r="J10" s="3468"/>
      <c r="K10" s="3470"/>
      <c r="L10" s="2632" t="s">
        <v>2347</v>
      </c>
      <c r="M10" s="2633"/>
      <c r="N10" s="2609"/>
      <c r="O10" s="2634"/>
      <c r="P10" s="2634"/>
      <c r="Q10" s="2635">
        <v>365</v>
      </c>
      <c r="R10" s="2636">
        <f t="shared" si="0"/>
        <v>0</v>
      </c>
      <c r="S10" s="2590"/>
      <c r="T10" s="2590"/>
      <c r="U10" s="2590"/>
      <c r="V10" s="2598"/>
    </row>
    <row r="11" spans="1:22" s="2602" customFormat="1" ht="13.15" customHeight="1">
      <c r="A11" s="2637">
        <v>3</v>
      </c>
      <c r="B11" s="3472" t="s">
        <v>2348</v>
      </c>
      <c r="C11" s="3473"/>
      <c r="D11" s="2638">
        <f>D12+D14+D15+D16</f>
        <v>0</v>
      </c>
      <c r="E11" s="2644" t="e">
        <f>D11/D6</f>
        <v>#DIV/0!</v>
      </c>
      <c r="F11" s="2640"/>
      <c r="G11" s="2641"/>
      <c r="H11" s="2597"/>
      <c r="I11" s="2598"/>
      <c r="J11" s="3468"/>
      <c r="K11" s="3470"/>
      <c r="L11" s="2632" t="s">
        <v>2349</v>
      </c>
      <c r="M11" s="2633"/>
      <c r="N11" s="2609"/>
      <c r="O11" s="2634"/>
      <c r="P11" s="2634"/>
      <c r="Q11" s="2635">
        <v>365</v>
      </c>
      <c r="R11" s="2636">
        <f t="shared" si="0"/>
        <v>0</v>
      </c>
      <c r="S11" s="2590"/>
      <c r="T11" s="2590"/>
      <c r="U11" s="2590"/>
      <c r="V11" s="2598"/>
    </row>
    <row r="12" spans="1:22" s="2602" customFormat="1" ht="13.15" customHeight="1">
      <c r="A12" s="2645" t="s">
        <v>2350</v>
      </c>
      <c r="B12" s="3474" t="s">
        <v>2351</v>
      </c>
      <c r="C12" s="3475"/>
      <c r="D12" s="2646">
        <f>ROUND(D13*1.2%*(1-30%),0)</f>
        <v>0</v>
      </c>
      <c r="E12" s="2647">
        <v>1.2E-2</v>
      </c>
      <c r="F12" s="2640" t="s">
        <v>2352</v>
      </c>
      <c r="G12" s="2641"/>
      <c r="H12" s="2597"/>
      <c r="I12" s="2598"/>
      <c r="J12" s="3468"/>
      <c r="K12" s="3470"/>
      <c r="L12" s="2632" t="s">
        <v>2353</v>
      </c>
      <c r="M12" s="2633"/>
      <c r="N12" s="2609"/>
      <c r="O12" s="2634"/>
      <c r="P12" s="2634"/>
      <c r="Q12" s="2635">
        <v>365</v>
      </c>
      <c r="R12" s="2636">
        <f t="shared" si="0"/>
        <v>0</v>
      </c>
      <c r="S12" s="2590"/>
      <c r="T12" s="2590"/>
      <c r="U12" s="2590"/>
      <c r="V12" s="2598"/>
    </row>
    <row r="13" spans="1:22" s="2602" customFormat="1" ht="13.15" customHeight="1">
      <c r="A13" s="2645"/>
      <c r="B13" s="2648"/>
      <c r="C13" s="2649" t="s">
        <v>2354</v>
      </c>
      <c r="D13" s="2650"/>
      <c r="E13" s="2651"/>
      <c r="F13" s="2640"/>
      <c r="G13" s="2641"/>
      <c r="H13" s="2597"/>
      <c r="I13" s="2598"/>
      <c r="J13" s="3468"/>
      <c r="K13" s="3470"/>
      <c r="L13" s="2632" t="s">
        <v>2355</v>
      </c>
      <c r="M13" s="2633"/>
      <c r="N13" s="2609"/>
      <c r="O13" s="2634"/>
      <c r="P13" s="2634"/>
      <c r="Q13" s="2635">
        <v>365</v>
      </c>
      <c r="R13" s="2636">
        <f t="shared" si="0"/>
        <v>0</v>
      </c>
      <c r="S13" s="2590"/>
      <c r="T13" s="2590"/>
      <c r="U13" s="2590"/>
      <c r="V13" s="2598"/>
    </row>
    <row r="14" spans="1:22" s="2602" customFormat="1" ht="13.15" customHeight="1">
      <c r="A14" s="2645" t="s">
        <v>2356</v>
      </c>
      <c r="B14" s="3474" t="s">
        <v>2357</v>
      </c>
      <c r="C14" s="3475"/>
      <c r="D14" s="2646">
        <f>ROUND(E14*B5/10000,0)</f>
        <v>0</v>
      </c>
      <c r="E14" s="2635"/>
      <c r="F14" s="2640" t="s">
        <v>2358</v>
      </c>
      <c r="G14" s="2641"/>
      <c r="H14" s="2597"/>
      <c r="I14" s="2598"/>
      <c r="J14" s="3468"/>
      <c r="K14" s="3471"/>
      <c r="L14" s="2652" t="s">
        <v>2359</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2360</v>
      </c>
      <c r="B15" s="3474" t="s">
        <v>2361</v>
      </c>
      <c r="C15" s="3475"/>
      <c r="D15" s="2646">
        <f>ROUND(D6*E15,0)</f>
        <v>0</v>
      </c>
      <c r="E15" s="2647">
        <v>5.5E-2</v>
      </c>
      <c r="F15" s="2640" t="s">
        <v>2362</v>
      </c>
      <c r="G15" s="2622"/>
      <c r="H15" s="2597"/>
      <c r="I15" s="2598"/>
      <c r="J15" s="3468">
        <v>2</v>
      </c>
      <c r="K15" s="3469" t="s">
        <v>2363</v>
      </c>
      <c r="L15" s="2632" t="s">
        <v>2364</v>
      </c>
      <c r="M15" s="2633" t="s">
        <v>2365</v>
      </c>
      <c r="N15" s="2633" t="s">
        <v>2366</v>
      </c>
      <c r="O15" s="2634" t="s">
        <v>2367</v>
      </c>
      <c r="P15" s="2634" t="s">
        <v>2329</v>
      </c>
      <c r="Q15" s="2609" t="s">
        <v>2368</v>
      </c>
      <c r="R15" s="2656" t="s">
        <v>2330</v>
      </c>
      <c r="S15" s="2590"/>
      <c r="T15" s="2590"/>
      <c r="U15" s="2590"/>
      <c r="V15" s="2598"/>
    </row>
    <row r="16" spans="1:22" s="2602" customFormat="1" ht="13.15" customHeight="1">
      <c r="A16" s="2645" t="s">
        <v>2369</v>
      </c>
      <c r="B16" s="3474" t="s">
        <v>2370</v>
      </c>
      <c r="C16" s="3475"/>
      <c r="D16" s="2657">
        <f>D6*E16</f>
        <v>0</v>
      </c>
      <c r="E16" s="2658"/>
      <c r="F16" s="2643" t="s">
        <v>2371</v>
      </c>
      <c r="G16" s="2622"/>
      <c r="H16" s="2597"/>
      <c r="I16" s="2598"/>
      <c r="J16" s="3468"/>
      <c r="K16" s="3470"/>
      <c r="L16" s="2632" t="s">
        <v>2372</v>
      </c>
      <c r="M16" s="2633"/>
      <c r="N16" s="2633"/>
      <c r="O16" s="2634"/>
      <c r="P16" s="2635">
        <v>365</v>
      </c>
      <c r="Q16" s="2609"/>
      <c r="R16" s="2656">
        <f>ROUND(M16*N16*O16*P16/10000,0)</f>
        <v>0</v>
      </c>
      <c r="S16" s="2590"/>
      <c r="T16" s="2590"/>
      <c r="U16" s="2590"/>
      <c r="V16" s="2598"/>
    </row>
    <row r="17" spans="1:22" s="2602" customFormat="1" ht="13.15" customHeight="1" thickBot="1">
      <c r="A17" s="2659">
        <v>4</v>
      </c>
      <c r="B17" s="3476" t="s">
        <v>2373</v>
      </c>
      <c r="C17" s="3477"/>
      <c r="D17" s="2660">
        <f>ROUND(D6*E17,0)</f>
        <v>0</v>
      </c>
      <c r="E17" s="2661"/>
      <c r="F17" s="2662" t="s">
        <v>2374</v>
      </c>
      <c r="G17" s="2622"/>
      <c r="H17" s="2597"/>
      <c r="I17" s="2598"/>
      <c r="J17" s="3468"/>
      <c r="K17" s="3470"/>
      <c r="L17" s="2632" t="s">
        <v>2375</v>
      </c>
      <c r="M17" s="2633"/>
      <c r="N17" s="2633"/>
      <c r="O17" s="2634"/>
      <c r="P17" s="2635">
        <v>365</v>
      </c>
      <c r="Q17" s="2609"/>
      <c r="R17" s="2656">
        <f>ROUND(M17*N17*O17*P17/10000,0)</f>
        <v>0</v>
      </c>
      <c r="S17" s="2590"/>
      <c r="T17" s="2590"/>
      <c r="U17" s="2590"/>
      <c r="V17" s="2598"/>
    </row>
    <row r="18" spans="1:22" s="2602" customFormat="1" ht="13.15" customHeight="1" thickBot="1">
      <c r="A18" s="2625" t="s">
        <v>2376</v>
      </c>
      <c r="B18" s="2626"/>
      <c r="C18" s="2626"/>
      <c r="D18" s="2663">
        <f>ROUND(D6*E18,0)</f>
        <v>0</v>
      </c>
      <c r="E18" s="2664"/>
      <c r="F18" s="2665" t="s">
        <v>2377</v>
      </c>
      <c r="G18" s="2622"/>
      <c r="H18" s="2597"/>
      <c r="I18" s="2598"/>
      <c r="J18" s="3468"/>
      <c r="K18" s="3470"/>
      <c r="L18" s="2632" t="s">
        <v>2378</v>
      </c>
      <c r="M18" s="2633"/>
      <c r="N18" s="2633"/>
      <c r="O18" s="2634"/>
      <c r="P18" s="2635">
        <v>365</v>
      </c>
      <c r="Q18" s="2609"/>
      <c r="R18" s="2656">
        <f>ROUND(M18*N18*O18*P18/10000,0)</f>
        <v>0</v>
      </c>
      <c r="S18" s="2590"/>
      <c r="T18" s="2590"/>
      <c r="U18" s="2590"/>
      <c r="V18" s="2598"/>
    </row>
    <row r="19" spans="1:22" s="2602" customFormat="1" ht="13.15" customHeight="1" thickBot="1">
      <c r="A19" s="2666" t="s">
        <v>2379</v>
      </c>
      <c r="B19" s="2620"/>
      <c r="C19" s="2620"/>
      <c r="D19" s="2620"/>
      <c r="E19" s="2620"/>
      <c r="F19" s="2621"/>
      <c r="G19" s="2641"/>
      <c r="H19" s="2597"/>
      <c r="I19" s="2598"/>
      <c r="J19" s="3468"/>
      <c r="K19" s="3471"/>
      <c r="L19" s="2652" t="s">
        <v>2359</v>
      </c>
      <c r="M19" s="2653"/>
      <c r="N19" s="2653">
        <f>SUM(N16:N18)</f>
        <v>0</v>
      </c>
      <c r="O19" s="2654"/>
      <c r="P19" s="2667" t="s">
        <v>2423</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68">
        <v>3</v>
      </c>
      <c r="K20" s="3469" t="s">
        <v>2380</v>
      </c>
      <c r="L20" s="2632" t="s">
        <v>2381</v>
      </c>
      <c r="M20" s="2633" t="s">
        <v>2382</v>
      </c>
      <c r="N20" s="2670" t="s">
        <v>2383</v>
      </c>
      <c r="O20" s="2634" t="s">
        <v>2384</v>
      </c>
      <c r="P20" s="2635" t="s">
        <v>2385</v>
      </c>
      <c r="Q20" s="2609" t="s">
        <v>2386</v>
      </c>
      <c r="R20" s="2656" t="s">
        <v>2387</v>
      </c>
      <c r="S20" s="2590"/>
      <c r="T20" s="2590"/>
      <c r="U20" s="2590"/>
      <c r="V20" s="2598"/>
    </row>
    <row r="21" spans="1:22" s="2602" customFormat="1" ht="13.15" customHeight="1">
      <c r="A21" s="2625"/>
      <c r="B21" s="2626"/>
      <c r="C21" s="2671" t="s">
        <v>2388</v>
      </c>
      <c r="D21" s="2672" t="s">
        <v>2389</v>
      </c>
      <c r="E21" s="2673" t="s">
        <v>2390</v>
      </c>
      <c r="F21" s="2669"/>
      <c r="G21" s="2641"/>
      <c r="H21" s="2597"/>
      <c r="I21" s="2598"/>
      <c r="J21" s="3468"/>
      <c r="K21" s="3470"/>
      <c r="L21" s="2632" t="s">
        <v>2391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2392</v>
      </c>
      <c r="D22" s="2676" t="s">
        <v>2393</v>
      </c>
      <c r="E22" s="2677" t="s">
        <v>2394</v>
      </c>
      <c r="F22" s="2669"/>
      <c r="G22" s="2590"/>
      <c r="H22" s="2597"/>
      <c r="I22" s="2598"/>
      <c r="J22" s="3468"/>
      <c r="K22" s="3470"/>
      <c r="L22" s="2632" t="s">
        <v>2395</v>
      </c>
      <c r="M22" s="2633"/>
      <c r="N22" s="2633"/>
      <c r="O22" s="2634"/>
      <c r="P22" s="2635">
        <v>365</v>
      </c>
      <c r="Q22" s="2609"/>
      <c r="R22" s="2674">
        <f>ROUND(M22*N22*O22*P22/10000,0)</f>
        <v>0</v>
      </c>
      <c r="S22" s="2590"/>
      <c r="T22" s="2590"/>
      <c r="U22" s="2590"/>
      <c r="V22" s="2598"/>
    </row>
    <row r="23" spans="1:22" s="2602" customFormat="1" ht="13.15" customHeight="1">
      <c r="A23" s="2678">
        <v>1</v>
      </c>
      <c r="B23" s="2679" t="s">
        <v>2396</v>
      </c>
      <c r="C23" s="2680">
        <f>D6</f>
        <v>0</v>
      </c>
      <c r="D23" s="2681">
        <f>C23*(1+D24)</f>
        <v>0</v>
      </c>
      <c r="E23" s="2682">
        <f>D23*(1+E24)</f>
        <v>0</v>
      </c>
      <c r="F23" s="2683"/>
      <c r="G23" s="2684"/>
      <c r="H23" s="2597"/>
      <c r="I23" s="2598"/>
      <c r="J23" s="3468"/>
      <c r="K23" s="3470"/>
      <c r="L23" s="2632" t="s">
        <v>2397</v>
      </c>
      <c r="M23" s="2633"/>
      <c r="N23" s="2633"/>
      <c r="O23" s="2634"/>
      <c r="P23" s="2635">
        <v>365</v>
      </c>
      <c r="Q23" s="2609"/>
      <c r="R23" s="2674">
        <f>ROUND(M23*N23*O23*P23/10000,0)</f>
        <v>0</v>
      </c>
      <c r="S23" s="2590"/>
      <c r="T23" s="2590"/>
      <c r="U23" s="2590"/>
      <c r="V23" s="2598"/>
    </row>
    <row r="24" spans="1:22" s="2602" customFormat="1" ht="13.15" customHeight="1">
      <c r="A24" s="2685"/>
      <c r="B24" s="2686" t="s">
        <v>2398</v>
      </c>
      <c r="C24" s="2687"/>
      <c r="D24" s="2688"/>
      <c r="E24" s="2689"/>
      <c r="F24" s="2690"/>
      <c r="G24" s="2684"/>
      <c r="H24" s="2597"/>
      <c r="I24" s="2598"/>
      <c r="J24" s="3468"/>
      <c r="K24" s="3471"/>
      <c r="L24" s="2652" t="s">
        <v>2359</v>
      </c>
      <c r="M24" s="2653">
        <f>SUM(M21:M23)</f>
        <v>0</v>
      </c>
      <c r="N24" s="2653"/>
      <c r="O24" s="2654"/>
      <c r="P24" s="2667" t="s">
        <v>2423</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2399</v>
      </c>
      <c r="L25" s="2693"/>
      <c r="M25" s="2693"/>
      <c r="N25" s="2693"/>
      <c r="O25" s="2693"/>
      <c r="P25" s="2694"/>
      <c r="Q25" s="2695">
        <v>0</v>
      </c>
      <c r="R25" s="2668">
        <f>ROUND(R14*Q25,0)</f>
        <v>0</v>
      </c>
      <c r="S25" s="2590"/>
      <c r="T25" s="2590"/>
      <c r="U25" s="2590"/>
      <c r="V25" s="2696"/>
    </row>
    <row r="26" spans="1:22" s="2697" customFormat="1" ht="13.15" customHeight="1">
      <c r="A26" s="2678">
        <v>2</v>
      </c>
      <c r="B26" s="2679" t="s">
        <v>2400</v>
      </c>
      <c r="C26" s="2680">
        <f>D7</f>
        <v>0</v>
      </c>
      <c r="D26" s="2681">
        <f>D23*D27</f>
        <v>0</v>
      </c>
      <c r="E26" s="2682">
        <f>E23*E27</f>
        <v>0</v>
      </c>
      <c r="F26" s="2683"/>
      <c r="G26" s="2684"/>
      <c r="H26" s="2597"/>
      <c r="I26" s="2598"/>
      <c r="J26" s="3478">
        <v>5</v>
      </c>
      <c r="K26" s="2698" t="s">
        <v>2401</v>
      </c>
      <c r="L26" s="2699"/>
      <c r="M26" s="2700"/>
      <c r="N26" s="2701" t="s">
        <v>2402</v>
      </c>
      <c r="O26" s="2701" t="s">
        <v>2403</v>
      </c>
      <c r="P26" s="2702" t="s">
        <v>2404</v>
      </c>
      <c r="Q26" s="2702" t="s">
        <v>2405</v>
      </c>
      <c r="R26" s="2607" t="s">
        <v>2330</v>
      </c>
      <c r="S26" s="2641"/>
      <c r="T26" s="2641"/>
      <c r="U26" s="2641"/>
      <c r="V26" s="2696"/>
    </row>
    <row r="27" spans="1:22" s="2602" customFormat="1" ht="13.15" customHeight="1">
      <c r="A27" s="2685"/>
      <c r="B27" s="2686" t="s">
        <v>2406</v>
      </c>
      <c r="C27" s="2703" t="e">
        <f>E7</f>
        <v>#DIV/0!</v>
      </c>
      <c r="D27" s="2688"/>
      <c r="E27" s="2689"/>
      <c r="F27" s="2690"/>
      <c r="G27" s="2684"/>
      <c r="H27" s="2704"/>
      <c r="I27" s="2696"/>
      <c r="J27" s="347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2407</v>
      </c>
      <c r="F28" s="2690"/>
      <c r="G28" s="2590"/>
      <c r="H28" s="2704"/>
      <c r="I28" s="2696"/>
      <c r="J28" s="2710">
        <v>6</v>
      </c>
      <c r="K28" s="2711" t="s">
        <v>2408</v>
      </c>
      <c r="L28" s="2712" t="s">
        <v>2409</v>
      </c>
      <c r="M28" s="2713"/>
      <c r="N28" s="2712" t="s">
        <v>2410</v>
      </c>
      <c r="O28" s="2714"/>
      <c r="P28" s="2712" t="s">
        <v>2411</v>
      </c>
      <c r="Q28" s="2715">
        <v>1.4999999999999999E-2</v>
      </c>
      <c r="R28" s="2716"/>
      <c r="S28" s="2590"/>
      <c r="T28" s="2590"/>
      <c r="U28" s="2590"/>
      <c r="V28" s="2696"/>
    </row>
    <row r="29" spans="1:22" s="2697" customFormat="1" ht="13.15" customHeight="1">
      <c r="A29" s="2678">
        <v>3</v>
      </c>
      <c r="B29" s="2679" t="s">
        <v>2412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2413</v>
      </c>
      <c r="K31" s="2588"/>
      <c r="L31" s="2588"/>
      <c r="M31" s="2588"/>
      <c r="N31" s="2588"/>
      <c r="O31" s="2588"/>
      <c r="P31" s="2588"/>
      <c r="Q31" s="2588"/>
      <c r="R31" s="2589"/>
      <c r="S31" s="2590"/>
      <c r="T31" s="2590"/>
      <c r="U31" s="2590"/>
      <c r="V31" s="2696"/>
    </row>
    <row r="32" spans="1:22" s="2697" customFormat="1" ht="13.15" customHeight="1">
      <c r="A32" s="2678">
        <v>4</v>
      </c>
      <c r="B32" s="2679" t="s">
        <v>2414</v>
      </c>
      <c r="C32" s="2680">
        <f>C23-C26-C29</f>
        <v>0</v>
      </c>
      <c r="D32" s="2681">
        <f>D23-D26-D29</f>
        <v>0</v>
      </c>
      <c r="E32" s="2682">
        <f>E23-E26-E29</f>
        <v>0</v>
      </c>
      <c r="F32" s="2683"/>
      <c r="G32" s="2590"/>
      <c r="H32" s="2597"/>
      <c r="I32" s="2598"/>
      <c r="J32" s="3461" t="s">
        <v>2306</v>
      </c>
      <c r="K32" s="3462"/>
      <c r="L32" s="2599" t="s">
        <v>2307</v>
      </c>
      <c r="M32" s="2599" t="s">
        <v>2308</v>
      </c>
      <c r="N32" s="2599" t="s">
        <v>2309</v>
      </c>
      <c r="O32" s="2599" t="s">
        <v>2310</v>
      </c>
      <c r="P32" s="2599" t="s">
        <v>2311</v>
      </c>
      <c r="Q32" s="2600" t="s">
        <v>2312</v>
      </c>
      <c r="R32" s="2719" t="s">
        <v>2313</v>
      </c>
      <c r="S32" s="2590"/>
      <c r="T32" s="2590"/>
      <c r="U32" s="2590"/>
      <c r="V32" s="2696"/>
    </row>
    <row r="33" spans="1:23" s="2602" customFormat="1" ht="13.15" customHeight="1">
      <c r="A33" s="2678"/>
      <c r="B33" s="2679"/>
      <c r="C33" s="2680"/>
      <c r="D33" s="2720"/>
      <c r="E33" s="2721"/>
      <c r="F33" s="2683"/>
      <c r="G33" s="2590"/>
      <c r="H33" s="2704"/>
      <c r="I33" s="2696"/>
      <c r="J33" s="3463" t="s">
        <v>2316</v>
      </c>
      <c r="K33" s="3464"/>
      <c r="L33" s="2605"/>
      <c r="M33" s="2605"/>
      <c r="N33" s="2605"/>
      <c r="O33" s="2605"/>
      <c r="P33" s="2605"/>
      <c r="Q33" s="2606"/>
      <c r="R33" s="2722">
        <f>SUM(L33:Q33)</f>
        <v>0</v>
      </c>
      <c r="S33" s="2590"/>
      <c r="T33" s="2590"/>
      <c r="U33" s="2590"/>
      <c r="V33" s="2598"/>
    </row>
    <row r="34" spans="1:23" s="2602" customFormat="1" ht="13.15" customHeight="1">
      <c r="A34" s="2678">
        <v>5</v>
      </c>
      <c r="B34" s="2679" t="s">
        <v>2415</v>
      </c>
      <c r="C34" s="2723"/>
      <c r="D34" s="2724"/>
      <c r="E34" s="2725"/>
      <c r="F34" s="2683"/>
      <c r="G34" s="2590"/>
      <c r="H34" s="2704"/>
      <c r="I34" s="2696"/>
      <c r="J34" s="3463" t="s">
        <v>2318</v>
      </c>
      <c r="K34" s="346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2416</v>
      </c>
      <c r="C35" s="2727"/>
      <c r="D35" s="2728"/>
      <c r="E35" s="2729"/>
      <c r="F35" s="2683"/>
      <c r="G35" s="2730"/>
      <c r="H35" s="2597"/>
      <c r="I35" s="2696"/>
      <c r="J35" s="2616" t="s">
        <v>2320</v>
      </c>
      <c r="K35" s="2617"/>
      <c r="L35" s="2617"/>
      <c r="M35" s="2618"/>
      <c r="N35" s="2618"/>
      <c r="O35" s="2618"/>
      <c r="P35" s="2618"/>
      <c r="Q35" s="2618"/>
      <c r="R35" s="2731">
        <f>R40+R41+R43</f>
        <v>0</v>
      </c>
      <c r="S35" s="2590"/>
      <c r="T35" s="2590" t="s">
        <v>2321</v>
      </c>
      <c r="U35" s="2590"/>
      <c r="V35" s="2598"/>
    </row>
    <row r="36" spans="1:23" s="2602" customFormat="1" ht="13.15" customHeight="1" thickBot="1">
      <c r="A36" s="2678">
        <v>7</v>
      </c>
      <c r="B36" s="2732" t="s">
        <v>2417</v>
      </c>
      <c r="C36" s="2733"/>
      <c r="D36" s="2734"/>
      <c r="E36" s="2735"/>
      <c r="F36" s="2736">
        <f>C36+D36+E36</f>
        <v>0</v>
      </c>
      <c r="G36" s="2590"/>
      <c r="H36" s="2597"/>
      <c r="I36" s="2598"/>
      <c r="J36" s="3468">
        <v>1</v>
      </c>
      <c r="K36" s="3469" t="s">
        <v>2418</v>
      </c>
      <c r="L36" s="2623"/>
      <c r="M36" s="2624"/>
      <c r="N36" s="2624"/>
      <c r="O36" s="2624"/>
      <c r="P36" s="2624"/>
      <c r="Q36" s="2624"/>
      <c r="R36" s="2607" t="s">
        <v>2330</v>
      </c>
      <c r="S36" s="2590"/>
      <c r="T36" s="2590" t="s">
        <v>2331</v>
      </c>
      <c r="U36" s="2590"/>
      <c r="V36" s="2598"/>
    </row>
    <row r="37" spans="1:23" s="2602" customFormat="1" ht="13.15" customHeight="1">
      <c r="A37" s="2678"/>
      <c r="B37" s="2679"/>
      <c r="C37" s="2679"/>
      <c r="D37" s="2679"/>
      <c r="E37" s="2679"/>
      <c r="F37" s="2683"/>
      <c r="G37" s="2590"/>
      <c r="H37" s="2597"/>
      <c r="I37" s="2598"/>
      <c r="J37" s="3468"/>
      <c r="K37" s="3470"/>
      <c r="L37" s="2632"/>
      <c r="M37" s="2633"/>
      <c r="N37" s="2609"/>
      <c r="O37" s="2634"/>
      <c r="P37" s="2634"/>
      <c r="Q37" s="2635"/>
      <c r="R37" s="2636"/>
      <c r="S37" s="2590"/>
      <c r="T37" s="2590" t="s">
        <v>2334</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68"/>
      <c r="K38" s="3470"/>
      <c r="L38" s="2632"/>
      <c r="M38" s="2633"/>
      <c r="N38" s="2609"/>
      <c r="O38" s="2634"/>
      <c r="P38" s="2634"/>
      <c r="Q38" s="2635"/>
      <c r="R38" s="2636"/>
      <c r="S38" s="2590"/>
      <c r="T38" s="2590" t="s">
        <v>2341</v>
      </c>
      <c r="U38" s="2590"/>
      <c r="V38" s="2598"/>
    </row>
    <row r="39" spans="1:23" s="2602" customFormat="1" ht="13.15" customHeight="1">
      <c r="A39" s="2678">
        <v>9</v>
      </c>
      <c r="B39" s="2679" t="s">
        <v>2419</v>
      </c>
      <c r="C39" s="2646" t="e">
        <f>C38</f>
        <v>#DIV/0!</v>
      </c>
      <c r="D39" s="2679">
        <f>D38/(1+D34)^C36</f>
        <v>0</v>
      </c>
      <c r="E39" s="2679">
        <f>E38/(1+E34)^(C36+D36)</f>
        <v>0</v>
      </c>
      <c r="F39" s="2683"/>
      <c r="G39" s="2598"/>
      <c r="H39" s="2597"/>
      <c r="I39" s="2598"/>
      <c r="J39" s="3468"/>
      <c r="K39" s="3470"/>
      <c r="L39" s="2632"/>
      <c r="M39" s="2633"/>
      <c r="N39" s="2609"/>
      <c r="O39" s="2634"/>
      <c r="P39" s="2634"/>
      <c r="Q39" s="2635"/>
      <c r="R39" s="2636"/>
      <c r="S39" s="2590"/>
      <c r="T39" s="2590"/>
      <c r="U39" s="2590"/>
      <c r="V39" s="2598"/>
    </row>
    <row r="40" spans="1:23" s="2602" customFormat="1" ht="13.15" customHeight="1">
      <c r="A40" s="2737">
        <v>10</v>
      </c>
      <c r="B40" s="2679" t="s">
        <v>2420</v>
      </c>
      <c r="C40" s="2738" t="e">
        <f>C39+D39+E39</f>
        <v>#DIV/0!</v>
      </c>
      <c r="D40" s="2739"/>
      <c r="E40" s="2739"/>
      <c r="F40" s="2740"/>
      <c r="G40" s="2590"/>
      <c r="H40" s="2597"/>
      <c r="I40" s="2598"/>
      <c r="J40" s="3468"/>
      <c r="K40" s="3471"/>
      <c r="L40" s="2652" t="s">
        <v>2359</v>
      </c>
      <c r="M40" s="2653"/>
      <c r="N40" s="2653"/>
      <c r="O40" s="2654"/>
      <c r="P40" s="2654"/>
      <c r="Q40" s="2655"/>
      <c r="R40" s="2601">
        <f>SUM(R37:R39)</f>
        <v>0</v>
      </c>
      <c r="S40" s="2590"/>
      <c r="T40" s="2590"/>
      <c r="U40" s="2590"/>
      <c r="V40" s="2598"/>
    </row>
    <row r="41" spans="1:23" s="2602" customFormat="1" ht="13.15" customHeight="1" thickBot="1">
      <c r="A41" s="2741">
        <v>11</v>
      </c>
      <c r="B41" s="2742" t="s">
        <v>2421</v>
      </c>
      <c r="C41" s="2742" t="e">
        <f>ROUND(C40*10000/B4,0)</f>
        <v>#DIV/0!</v>
      </c>
      <c r="D41" s="2743"/>
      <c r="E41" s="2743"/>
      <c r="F41" s="2744"/>
      <c r="G41" s="2597"/>
      <c r="H41" s="2597"/>
      <c r="I41" s="2598"/>
      <c r="J41" s="2691">
        <v>2</v>
      </c>
      <c r="K41" s="2692" t="s">
        <v>2399</v>
      </c>
      <c r="L41" s="2693"/>
      <c r="M41" s="2693"/>
      <c r="N41" s="2693"/>
      <c r="O41" s="2693"/>
      <c r="P41" s="2694"/>
      <c r="Q41" s="2695"/>
      <c r="R41" s="2668">
        <f>ROUND(R40*Q41,0)</f>
        <v>0</v>
      </c>
      <c r="S41" s="2590"/>
      <c r="T41" s="2590"/>
      <c r="U41" s="2641"/>
      <c r="V41" s="2598"/>
    </row>
    <row r="42" spans="1:23" s="2602" customFormat="1" ht="13.15" customHeight="1">
      <c r="G42" s="2597"/>
      <c r="H42" s="2597"/>
      <c r="I42" s="2598"/>
      <c r="J42" s="3478">
        <v>3</v>
      </c>
      <c r="K42" s="2698" t="s">
        <v>2401</v>
      </c>
      <c r="L42" s="2699"/>
      <c r="M42" s="2700"/>
      <c r="N42" s="2701" t="s">
        <v>2402</v>
      </c>
      <c r="O42" s="2701" t="s">
        <v>2403</v>
      </c>
      <c r="P42" s="2702" t="s">
        <v>2404</v>
      </c>
      <c r="Q42" s="2702" t="s">
        <v>2405</v>
      </c>
      <c r="R42" s="2607" t="s">
        <v>2330</v>
      </c>
      <c r="S42" s="2641"/>
      <c r="T42" s="2641"/>
      <c r="U42" s="2590"/>
      <c r="V42" s="2598"/>
    </row>
    <row r="43" spans="1:23" ht="13.15" customHeight="1">
      <c r="A43" s="2602"/>
      <c r="B43" s="2602"/>
      <c r="C43" s="2602"/>
      <c r="D43" s="2602"/>
      <c r="E43" s="2602"/>
      <c r="F43" s="2602"/>
      <c r="I43" s="2585"/>
      <c r="J43" s="347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2408</v>
      </c>
      <c r="L44" s="2747" t="s">
        <v>2409</v>
      </c>
      <c r="M44" s="2713"/>
      <c r="N44" s="2747" t="s">
        <v>2410</v>
      </c>
      <c r="O44" s="2713"/>
      <c r="P44" s="2747" t="s">
        <v>2411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估价对象为北京市房地产，为所有。根据《国有土地使用证》[]，估价对象（分摊）出让国有建设用地使用权面积为0平方米，建筑面积为83502.29平方米。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估价对象为北京市房地产,为开发建设的，该项目尚在开发建设中。根据《国有土地使用证》[]，估价对象（分摊）出让国有建设用地使用权面积为0平方米，规划建筑面积为83502.29平方米。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2025年8月12日（评估专业人员实地查勘之日）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7"/>
      <c r="G1" s="458"/>
      <c r="H1" s="458"/>
      <c r="I1" s="458"/>
      <c r="J1" s="458"/>
      <c r="K1" s="458"/>
      <c r="L1" s="458"/>
      <c r="M1" s="458"/>
      <c r="N1" s="458"/>
      <c r="O1" s="458"/>
      <c r="P1" s="458"/>
      <c r="Q1" s="458"/>
      <c r="R1" s="458"/>
      <c r="S1" s="458"/>
    </row>
    <row r="2" spans="1:22" ht="15.75">
      <c r="A2" s="1725" t="s">
        <v>1462</v>
      </c>
      <c r="B2" s="809">
        <f ca="1">SUMIF(B6:B13,"&lt;&gt;#ref!",B6:B13)</f>
        <v>116607</v>
      </c>
      <c r="C2" s="1726" t="s">
        <v>1651</v>
      </c>
      <c r="D2" s="1727" t="s">
        <v>1652</v>
      </c>
      <c r="E2" s="2390">
        <f>SUM(E6:E13)</f>
        <v>34499.08</v>
      </c>
      <c r="F2" s="2477"/>
      <c r="G2" s="458"/>
      <c r="H2" s="458"/>
      <c r="I2" s="458"/>
      <c r="J2" s="458"/>
      <c r="K2" s="458"/>
      <c r="L2" s="458"/>
      <c r="M2" s="458"/>
      <c r="N2" s="458"/>
      <c r="O2" s="458"/>
      <c r="P2" s="458"/>
      <c r="Q2" s="458"/>
      <c r="R2" s="458"/>
      <c r="S2" s="458"/>
    </row>
    <row r="3" spans="1:22" ht="15.75">
      <c r="A3" s="1725" t="s">
        <v>686</v>
      </c>
      <c r="B3" s="2384">
        <f ca="1">ROUND(B2*10000/E2,0)</f>
        <v>33800</v>
      </c>
      <c r="C3" s="1726"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1653</v>
      </c>
      <c r="B5" s="3480" t="s">
        <v>1654</v>
      </c>
      <c r="C5" s="3481"/>
      <c r="D5" s="2478"/>
      <c r="E5" s="1728"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116607</v>
      </c>
      <c r="C6" s="1726" t="s">
        <v>1651</v>
      </c>
      <c r="D6" s="2477"/>
      <c r="E6" s="2389">
        <f>IF(OR(A6=0,F6="否"),0,'数据-取费表'!K6+'数据-取费表'!S6)</f>
        <v>34499.08</v>
      </c>
      <c r="F6" s="1729"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6" t="s">
        <v>1651</v>
      </c>
      <c r="D7" s="2477"/>
      <c r="E7" s="2389">
        <f>IF(OR(A7=0,F7="否"),0,'数据-取费表'!K7+'数据-取费表'!S7)</f>
        <v>0</v>
      </c>
      <c r="F7" s="1729"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83502.290000000008</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4" t="s">
        <v>1666</v>
      </c>
      <c r="B4" s="345"/>
      <c r="C4" s="3427" t="s">
        <v>1667</v>
      </c>
      <c r="D4" s="3428"/>
      <c r="E4" s="3429" t="s">
        <v>1668</v>
      </c>
      <c r="F4" s="3430"/>
      <c r="G4" s="3427" t="s">
        <v>1669</v>
      </c>
      <c r="H4" s="3428"/>
      <c r="I4" s="3427" t="s">
        <v>1670</v>
      </c>
      <c r="J4" s="3428"/>
      <c r="K4" s="1741" t="s">
        <v>1671</v>
      </c>
      <c r="L4" s="2484"/>
      <c r="M4" s="2485"/>
      <c r="N4" s="2485"/>
      <c r="O4" s="2485"/>
      <c r="P4" s="3487" t="s">
        <v>1672</v>
      </c>
      <c r="Q4" s="3488"/>
      <c r="R4" s="3483" t="s">
        <v>1668</v>
      </c>
      <c r="S4" s="3484"/>
      <c r="T4" s="3483" t="s">
        <v>1669</v>
      </c>
      <c r="U4" s="3484"/>
      <c r="V4" s="3440" t="s">
        <v>1670</v>
      </c>
      <c r="W4" s="3440"/>
      <c r="X4" s="1262"/>
      <c r="Y4" s="3483" t="s">
        <v>1672</v>
      </c>
      <c r="Z4" s="3484"/>
      <c r="AA4" s="3482" t="s">
        <v>1668</v>
      </c>
      <c r="AB4" s="3482" t="s">
        <v>1669</v>
      </c>
      <c r="AC4" s="3482" t="s">
        <v>1670</v>
      </c>
    </row>
    <row r="5" spans="1:29" ht="15">
      <c r="A5" s="347"/>
      <c r="B5" s="348"/>
      <c r="C5" s="3418" t="s">
        <v>1673</v>
      </c>
      <c r="D5" s="3417"/>
      <c r="E5" s="3485" t="s">
        <v>1674</v>
      </c>
      <c r="F5" s="3486"/>
      <c r="G5" s="3418" t="s">
        <v>1675</v>
      </c>
      <c r="H5" s="3417"/>
      <c r="I5" s="3418" t="s">
        <v>1676</v>
      </c>
      <c r="J5" s="3417"/>
      <c r="K5" s="1742"/>
      <c r="L5" s="2484"/>
      <c r="M5" s="2485"/>
      <c r="N5" s="2485"/>
      <c r="O5" s="2485"/>
      <c r="P5" s="3489"/>
      <c r="Q5" s="3434"/>
      <c r="R5" s="3414"/>
      <c r="S5" s="3415"/>
      <c r="T5" s="3414"/>
      <c r="U5" s="3415"/>
      <c r="V5" s="3440"/>
      <c r="W5" s="3440"/>
      <c r="X5" s="1262"/>
      <c r="Y5" s="3414"/>
      <c r="Z5" s="3415"/>
      <c r="AA5" s="3408"/>
      <c r="AB5" s="3408"/>
      <c r="AC5" s="3408"/>
    </row>
    <row r="6" spans="1:29" ht="15.75" thickBot="1">
      <c r="A6" s="349"/>
      <c r="B6" s="350"/>
      <c r="C6" s="3419" t="s">
        <v>1677</v>
      </c>
      <c r="D6" s="3420"/>
      <c r="E6" s="3421" t="s">
        <v>1677</v>
      </c>
      <c r="F6" s="3422"/>
      <c r="G6" s="3419" t="s">
        <v>1677</v>
      </c>
      <c r="H6" s="3420"/>
      <c r="I6" s="3419" t="s">
        <v>1677</v>
      </c>
      <c r="J6" s="3420"/>
      <c r="K6" s="1742" t="s">
        <v>1678</v>
      </c>
      <c r="L6" s="2484"/>
      <c r="M6" s="2485"/>
      <c r="N6" s="2485"/>
      <c r="O6" s="2485"/>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10" t="s">
        <v>1680</v>
      </c>
      <c r="Q7" s="3442"/>
      <c r="R7" s="662" t="s">
        <v>20</v>
      </c>
      <c r="S7" s="663">
        <f t="shared" ref="S7:S15" si="0">F7</f>
        <v>0</v>
      </c>
      <c r="T7" s="662" t="s">
        <v>20</v>
      </c>
      <c r="U7" s="663">
        <f t="shared" ref="U7:U15" si="1">H7</f>
        <v>0</v>
      </c>
      <c r="V7" s="662" t="s">
        <v>20</v>
      </c>
      <c r="W7" s="663">
        <f t="shared" ref="W7:W15" si="2">J7</f>
        <v>0</v>
      </c>
      <c r="X7" s="664"/>
      <c r="Y7" s="3410" t="s">
        <v>1680</v>
      </c>
      <c r="Z7" s="3411"/>
      <c r="AA7" s="50" t="e">
        <f>D7/F7</f>
        <v>#DIV/0!</v>
      </c>
      <c r="AB7" s="50" t="e">
        <f>D7/H7</f>
        <v>#DIV/0!</v>
      </c>
      <c r="AC7" s="50" t="e">
        <f>D7/J7</f>
        <v>#DIV/0!</v>
      </c>
    </row>
    <row r="8" spans="1:29" s="102"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10" t="s">
        <v>1683</v>
      </c>
      <c r="Q8" s="3411"/>
      <c r="R8" s="662" t="s">
        <v>20</v>
      </c>
      <c r="S8" s="663">
        <f t="shared" si="0"/>
        <v>100</v>
      </c>
      <c r="T8" s="662" t="s">
        <v>20</v>
      </c>
      <c r="U8" s="663">
        <f t="shared" si="1"/>
        <v>100</v>
      </c>
      <c r="V8" s="662" t="s">
        <v>20</v>
      </c>
      <c r="W8" s="663">
        <f t="shared" si="2"/>
        <v>100</v>
      </c>
      <c r="X8" s="664"/>
      <c r="Y8" s="3410" t="s">
        <v>1683</v>
      </c>
      <c r="Z8" s="3411"/>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23"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3"/>
      <c r="L10" s="2487"/>
      <c r="M10" s="2488"/>
      <c r="N10" s="2488"/>
      <c r="O10" s="2488"/>
      <c r="P10" s="3423"/>
      <c r="Q10" s="529" t="str">
        <f t="shared" si="6"/>
        <v>土地使用年限（年）</v>
      </c>
      <c r="R10" s="662" t="s">
        <v>14</v>
      </c>
      <c r="S10" s="663">
        <f t="shared" si="0"/>
        <v>100</v>
      </c>
      <c r="T10" s="662" t="s">
        <v>14</v>
      </c>
      <c r="U10" s="663">
        <f t="shared" si="1"/>
        <v>100</v>
      </c>
      <c r="V10" s="662" t="s">
        <v>14</v>
      </c>
      <c r="W10" s="663">
        <f t="shared" si="2"/>
        <v>100</v>
      </c>
      <c r="X10" s="664"/>
      <c r="Y10" s="33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23"/>
      <c r="Q11" s="529" t="str">
        <f t="shared" si="6"/>
        <v>容积率</v>
      </c>
      <c r="R11" s="662" t="s">
        <v>18</v>
      </c>
      <c r="S11" s="663" t="e">
        <f t="shared" si="0"/>
        <v>#N/A</v>
      </c>
      <c r="T11" s="662" t="s">
        <v>18</v>
      </c>
      <c r="U11" s="663" t="e">
        <f t="shared" si="1"/>
        <v>#N/A</v>
      </c>
      <c r="V11" s="662" t="s">
        <v>18</v>
      </c>
      <c r="W11" s="663" t="e">
        <f t="shared" si="2"/>
        <v>#N/A</v>
      </c>
      <c r="X11" s="664"/>
      <c r="Y11" s="3361"/>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6"/>
      <c r="M12" s="2437"/>
      <c r="N12" s="2437"/>
      <c r="O12" s="2437"/>
      <c r="P12" s="3423"/>
      <c r="Q12" s="529">
        <f t="shared" si="6"/>
        <v>111</v>
      </c>
      <c r="R12" s="662" t="s">
        <v>18</v>
      </c>
      <c r="S12" s="663">
        <f t="shared" si="0"/>
        <v>100</v>
      </c>
      <c r="T12" s="662" t="s">
        <v>18</v>
      </c>
      <c r="U12" s="663">
        <f t="shared" si="1"/>
        <v>100</v>
      </c>
      <c r="V12" s="662" t="s">
        <v>18</v>
      </c>
      <c r="W12" s="663">
        <f t="shared" si="2"/>
        <v>100</v>
      </c>
      <c r="X12" s="664"/>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23"/>
      <c r="Q13" s="529">
        <f t="shared" si="6"/>
        <v>111</v>
      </c>
      <c r="R13" s="662" t="s">
        <v>18</v>
      </c>
      <c r="S13" s="663">
        <f t="shared" si="0"/>
        <v>100</v>
      </c>
      <c r="T13" s="662" t="s">
        <v>18</v>
      </c>
      <c r="U13" s="663">
        <f t="shared" si="1"/>
        <v>100</v>
      </c>
      <c r="V13" s="662" t="s">
        <v>18</v>
      </c>
      <c r="W13" s="663">
        <f t="shared" si="2"/>
        <v>100</v>
      </c>
      <c r="X13" s="664"/>
      <c r="Y13" s="3361"/>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23"/>
      <c r="Q14" s="529">
        <f t="shared" si="6"/>
        <v>111</v>
      </c>
      <c r="R14" s="662" t="s">
        <v>18</v>
      </c>
      <c r="S14" s="663">
        <f t="shared" si="0"/>
        <v>100</v>
      </c>
      <c r="T14" s="662" t="s">
        <v>18</v>
      </c>
      <c r="U14" s="663">
        <f t="shared" si="1"/>
        <v>100</v>
      </c>
      <c r="V14" s="662" t="s">
        <v>18</v>
      </c>
      <c r="W14" s="663">
        <f t="shared" si="2"/>
        <v>100</v>
      </c>
      <c r="X14" s="664"/>
      <c r="Y14" s="3361"/>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3" t="s">
        <v>1691</v>
      </c>
      <c r="Q15" s="1260" t="str">
        <f t="shared" si="6"/>
        <v>居住社区成熟度</v>
      </c>
      <c r="R15" s="665" t="s">
        <v>18</v>
      </c>
      <c r="S15" s="666">
        <f t="shared" si="0"/>
        <v>100</v>
      </c>
      <c r="T15" s="665" t="s">
        <v>18</v>
      </c>
      <c r="U15" s="666">
        <f t="shared" si="1"/>
        <v>100</v>
      </c>
      <c r="V15" s="665" t="s">
        <v>18</v>
      </c>
      <c r="W15" s="666">
        <f t="shared" si="2"/>
        <v>100</v>
      </c>
      <c r="X15" s="1262"/>
      <c r="Y15" s="3445"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44"/>
      <c r="Q16" s="1260"/>
      <c r="R16" s="665"/>
      <c r="S16" s="666"/>
      <c r="T16" s="665"/>
      <c r="U16" s="666"/>
      <c r="V16" s="665"/>
      <c r="W16" s="666"/>
      <c r="X16" s="1262"/>
      <c r="Y16" s="3446"/>
      <c r="Z16" s="1261"/>
      <c r="AA16" s="1261">
        <v>1</v>
      </c>
      <c r="AB16" s="1261">
        <v>1</v>
      </c>
      <c r="AC16" s="1261">
        <v>1</v>
      </c>
    </row>
    <row r="17" spans="1:29" ht="15">
      <c r="A17" s="366"/>
      <c r="B17" s="389" t="s">
        <v>1259</v>
      </c>
      <c r="C17" s="1751">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4"/>
      <c r="Q17" s="1260" t="str">
        <f>B17</f>
        <v>交通便捷度</v>
      </c>
      <c r="R17" s="665" t="s">
        <v>18</v>
      </c>
      <c r="S17" s="666">
        <f>F17</f>
        <v>100</v>
      </c>
      <c r="T17" s="665" t="s">
        <v>18</v>
      </c>
      <c r="U17" s="666">
        <f>H17</f>
        <v>100</v>
      </c>
      <c r="V17" s="665" t="s">
        <v>18</v>
      </c>
      <c r="W17" s="666">
        <f>J17</f>
        <v>100</v>
      </c>
      <c r="X17" s="1262"/>
      <c r="Y17" s="3446"/>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44"/>
      <c r="Q18" s="1260"/>
      <c r="R18" s="665"/>
      <c r="S18" s="666"/>
      <c r="T18" s="665"/>
      <c r="U18" s="666"/>
      <c r="V18" s="665"/>
      <c r="W18" s="666"/>
      <c r="X18" s="1262"/>
      <c r="Y18" s="3446"/>
      <c r="Z18" s="1261"/>
      <c r="AA18" s="1261">
        <v>1</v>
      </c>
      <c r="AB18" s="1261">
        <v>1</v>
      </c>
      <c r="AC18" s="1261">
        <v>1</v>
      </c>
    </row>
    <row r="19" spans="1:29" ht="15">
      <c r="A19" s="366"/>
      <c r="B19" s="389" t="s">
        <v>1258</v>
      </c>
      <c r="C19" s="1751">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4"/>
      <c r="Q19" s="1260" t="str">
        <f>B19</f>
        <v>公共配套设施</v>
      </c>
      <c r="R19" s="665" t="s">
        <v>18</v>
      </c>
      <c r="S19" s="666">
        <f>F19</f>
        <v>100</v>
      </c>
      <c r="T19" s="665" t="s">
        <v>18</v>
      </c>
      <c r="U19" s="666">
        <f>H19</f>
        <v>100</v>
      </c>
      <c r="V19" s="665" t="s">
        <v>18</v>
      </c>
      <c r="W19" s="666">
        <f>J19</f>
        <v>100</v>
      </c>
      <c r="X19" s="1262"/>
      <c r="Y19" s="3446"/>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44"/>
      <c r="Q20" s="1260"/>
      <c r="R20" s="665"/>
      <c r="S20" s="666"/>
      <c r="T20" s="665"/>
      <c r="U20" s="666"/>
      <c r="V20" s="665"/>
      <c r="W20" s="666"/>
      <c r="X20" s="1262"/>
      <c r="Y20" s="3446"/>
      <c r="Z20" s="1261"/>
      <c r="AA20" s="1261">
        <v>1</v>
      </c>
      <c r="AB20" s="1261">
        <v>1</v>
      </c>
      <c r="AC20" s="1261">
        <v>1</v>
      </c>
    </row>
    <row r="21" spans="1:29" ht="15">
      <c r="A21" s="366"/>
      <c r="B21" s="585" t="s">
        <v>1260</v>
      </c>
      <c r="C21" s="1751">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4"/>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44"/>
      <c r="Q22" s="1260"/>
      <c r="R22" s="665"/>
      <c r="S22" s="666"/>
      <c r="T22" s="665"/>
      <c r="U22" s="666"/>
      <c r="V22" s="665"/>
      <c r="W22" s="666"/>
      <c r="X22" s="1262"/>
      <c r="Y22" s="3446"/>
      <c r="Z22" s="1261"/>
      <c r="AA22" s="1261">
        <v>1</v>
      </c>
      <c r="AB22" s="1261">
        <v>1</v>
      </c>
      <c r="AC22" s="1261">
        <v>1</v>
      </c>
    </row>
    <row r="23" spans="1:29" ht="15">
      <c r="A23" s="366"/>
      <c r="B23" s="389" t="s">
        <v>1261</v>
      </c>
      <c r="C23" s="1751">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4"/>
      <c r="Q23" s="1260" t="str">
        <f>B23</f>
        <v>自然及人文环境</v>
      </c>
      <c r="R23" s="665" t="s">
        <v>18</v>
      </c>
      <c r="S23" s="666">
        <f>F23</f>
        <v>100</v>
      </c>
      <c r="T23" s="665" t="s">
        <v>18</v>
      </c>
      <c r="U23" s="666">
        <f>H23</f>
        <v>100</v>
      </c>
      <c r="V23" s="665" t="s">
        <v>18</v>
      </c>
      <c r="W23" s="666">
        <f>J23</f>
        <v>100</v>
      </c>
      <c r="X23" s="1262"/>
      <c r="Y23" s="3446"/>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44"/>
      <c r="Q24" s="1260"/>
      <c r="R24" s="665"/>
      <c r="S24" s="666"/>
      <c r="T24" s="665"/>
      <c r="U24" s="666"/>
      <c r="V24" s="665"/>
      <c r="W24" s="666"/>
      <c r="X24" s="1262"/>
      <c r="Y24" s="3446"/>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4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46"/>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44"/>
      <c r="Q26" s="1260" t="str">
        <f t="shared" si="11"/>
        <v>朝向</v>
      </c>
      <c r="R26" s="665" t="s">
        <v>18</v>
      </c>
      <c r="S26" s="666">
        <f t="shared" si="12"/>
        <v>100</v>
      </c>
      <c r="T26" s="665" t="s">
        <v>18</v>
      </c>
      <c r="U26" s="666">
        <f t="shared" si="13"/>
        <v>100</v>
      </c>
      <c r="V26" s="665" t="s">
        <v>18</v>
      </c>
      <c r="W26" s="666">
        <f t="shared" si="14"/>
        <v>100</v>
      </c>
      <c r="X26" s="1262"/>
      <c r="Y26" s="3446"/>
      <c r="Z26" s="1261" t="str">
        <f>Q26</f>
        <v>朝向</v>
      </c>
      <c r="AA26" s="1261">
        <f t="shared" si="15"/>
        <v>1</v>
      </c>
      <c r="AB26" s="1261">
        <f t="shared" si="16"/>
        <v>1</v>
      </c>
      <c r="AC26" s="1261">
        <f t="shared" si="17"/>
        <v>1</v>
      </c>
    </row>
    <row r="27" spans="1:29" s="102"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44"/>
      <c r="Q27" s="529">
        <f t="shared" si="11"/>
        <v>111</v>
      </c>
      <c r="R27" s="662" t="s">
        <v>18</v>
      </c>
      <c r="S27" s="663">
        <f t="shared" si="12"/>
        <v>100</v>
      </c>
      <c r="T27" s="662" t="s">
        <v>18</v>
      </c>
      <c r="U27" s="663">
        <f t="shared" si="13"/>
        <v>100</v>
      </c>
      <c r="V27" s="662" t="s">
        <v>18</v>
      </c>
      <c r="W27" s="663">
        <f t="shared" si="14"/>
        <v>100</v>
      </c>
      <c r="X27" s="664"/>
      <c r="Y27" s="3446"/>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44"/>
      <c r="Q28" s="1260">
        <f t="shared" si="11"/>
        <v>111</v>
      </c>
      <c r="R28" s="665" t="s">
        <v>18</v>
      </c>
      <c r="S28" s="666">
        <f t="shared" si="12"/>
        <v>100</v>
      </c>
      <c r="T28" s="665" t="s">
        <v>18</v>
      </c>
      <c r="U28" s="666">
        <f t="shared" si="13"/>
        <v>100</v>
      </c>
      <c r="V28" s="665" t="s">
        <v>18</v>
      </c>
      <c r="W28" s="666">
        <f t="shared" si="14"/>
        <v>100</v>
      </c>
      <c r="X28" s="1262"/>
      <c r="Y28" s="3446"/>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44"/>
      <c r="Q29" s="1260">
        <f t="shared" si="11"/>
        <v>111</v>
      </c>
      <c r="R29" s="665" t="s">
        <v>18</v>
      </c>
      <c r="S29" s="666">
        <f t="shared" si="12"/>
        <v>100</v>
      </c>
      <c r="T29" s="665" t="s">
        <v>18</v>
      </c>
      <c r="U29" s="666">
        <f t="shared" si="13"/>
        <v>100</v>
      </c>
      <c r="V29" s="665" t="s">
        <v>18</v>
      </c>
      <c r="W29" s="666">
        <f t="shared" si="14"/>
        <v>100</v>
      </c>
      <c r="X29" s="1262"/>
      <c r="Y29" s="3446"/>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44"/>
      <c r="Q30" s="1260">
        <f t="shared" si="11"/>
        <v>111</v>
      </c>
      <c r="R30" s="665" t="s">
        <v>18</v>
      </c>
      <c r="S30" s="666">
        <f t="shared" si="12"/>
        <v>100</v>
      </c>
      <c r="T30" s="665" t="s">
        <v>18</v>
      </c>
      <c r="U30" s="666">
        <f t="shared" si="13"/>
        <v>100</v>
      </c>
      <c r="V30" s="665" t="s">
        <v>18</v>
      </c>
      <c r="W30" s="666">
        <f t="shared" si="14"/>
        <v>100</v>
      </c>
      <c r="X30" s="1262"/>
      <c r="Y30" s="3446"/>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44"/>
      <c r="Q31" s="1260">
        <f t="shared" si="11"/>
        <v>111</v>
      </c>
      <c r="R31" s="665" t="s">
        <v>18</v>
      </c>
      <c r="S31" s="666">
        <f t="shared" si="12"/>
        <v>100</v>
      </c>
      <c r="T31" s="665" t="s">
        <v>18</v>
      </c>
      <c r="U31" s="666">
        <f t="shared" si="13"/>
        <v>100</v>
      </c>
      <c r="V31" s="665" t="s">
        <v>18</v>
      </c>
      <c r="W31" s="666">
        <f t="shared" si="14"/>
        <v>100</v>
      </c>
      <c r="X31" s="1262"/>
      <c r="Y31" s="3446"/>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47" t="s">
        <v>1696</v>
      </c>
      <c r="Q32" s="1260" t="str">
        <f t="shared" si="11"/>
        <v>建筑类型</v>
      </c>
      <c r="R32" s="665" t="s">
        <v>18</v>
      </c>
      <c r="S32" s="666">
        <f t="shared" si="12"/>
        <v>100</v>
      </c>
      <c r="T32" s="665" t="s">
        <v>18</v>
      </c>
      <c r="U32" s="666">
        <f t="shared" si="13"/>
        <v>100</v>
      </c>
      <c r="V32" s="665" t="s">
        <v>18</v>
      </c>
      <c r="W32" s="666">
        <f t="shared" si="14"/>
        <v>100</v>
      </c>
      <c r="X32" s="1262"/>
      <c r="Y32" s="3450"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9"/>
      <c r="M33" s="2491"/>
      <c r="N33" s="2491"/>
      <c r="O33" s="2491"/>
      <c r="P33" s="3448"/>
      <c r="Q33" s="530" t="str">
        <f t="shared" si="11"/>
        <v>项目建筑规模</v>
      </c>
      <c r="R33" s="667" t="s">
        <v>18</v>
      </c>
      <c r="S33" s="668" t="e">
        <f t="shared" si="12"/>
        <v>#N/A</v>
      </c>
      <c r="T33" s="667" t="s">
        <v>18</v>
      </c>
      <c r="U33" s="668" t="e">
        <f t="shared" si="13"/>
        <v>#N/A</v>
      </c>
      <c r="V33" s="667" t="s">
        <v>18</v>
      </c>
      <c r="W33" s="668" t="e">
        <f t="shared" si="14"/>
        <v>#N/A</v>
      </c>
      <c r="X33" s="669"/>
      <c r="Y33" s="3450"/>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48"/>
      <c r="Q34" s="1260" t="str">
        <f t="shared" si="11"/>
        <v>建筑结构</v>
      </c>
      <c r="R34" s="665" t="s">
        <v>18</v>
      </c>
      <c r="S34" s="666">
        <f t="shared" si="12"/>
        <v>100</v>
      </c>
      <c r="T34" s="665" t="s">
        <v>18</v>
      </c>
      <c r="U34" s="666">
        <f t="shared" si="13"/>
        <v>100</v>
      </c>
      <c r="V34" s="665" t="s">
        <v>18</v>
      </c>
      <c r="W34" s="666">
        <f t="shared" si="14"/>
        <v>100</v>
      </c>
      <c r="X34" s="1262"/>
      <c r="Y34" s="3450"/>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48"/>
      <c r="Q35" s="1260" t="str">
        <f t="shared" si="11"/>
        <v>建筑品质</v>
      </c>
      <c r="R35" s="665" t="s">
        <v>18</v>
      </c>
      <c r="S35" s="666">
        <f t="shared" si="12"/>
        <v>100</v>
      </c>
      <c r="T35" s="665" t="s">
        <v>18</v>
      </c>
      <c r="U35" s="666">
        <f t="shared" si="13"/>
        <v>100</v>
      </c>
      <c r="V35" s="665" t="s">
        <v>18</v>
      </c>
      <c r="W35" s="666">
        <f t="shared" si="14"/>
        <v>100</v>
      </c>
      <c r="X35" s="1262"/>
      <c r="Y35" s="3450"/>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48"/>
      <c r="Q36" s="1260" t="str">
        <f t="shared" si="11"/>
        <v>公共部分装修</v>
      </c>
      <c r="R36" s="665" t="s">
        <v>18</v>
      </c>
      <c r="S36" s="666">
        <f t="shared" si="12"/>
        <v>100</v>
      </c>
      <c r="T36" s="665" t="s">
        <v>18</v>
      </c>
      <c r="U36" s="666">
        <f t="shared" si="13"/>
        <v>100</v>
      </c>
      <c r="V36" s="665" t="s">
        <v>18</v>
      </c>
      <c r="W36" s="666">
        <f t="shared" si="14"/>
        <v>100</v>
      </c>
      <c r="X36" s="1262"/>
      <c r="Y36" s="3450"/>
      <c r="Z36" s="1261" t="str">
        <f t="shared" si="18"/>
        <v>公共部分装修</v>
      </c>
      <c r="AA36" s="1261">
        <f t="shared" si="15"/>
        <v>1</v>
      </c>
      <c r="AB36" s="1261">
        <f t="shared" si="16"/>
        <v>1</v>
      </c>
      <c r="AC36" s="1261">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448"/>
      <c r="Q37" s="529" t="str">
        <f t="shared" si="11"/>
        <v>成新度</v>
      </c>
      <c r="R37" s="662" t="s">
        <v>18</v>
      </c>
      <c r="S37" s="663" t="e">
        <f t="shared" si="12"/>
        <v>#N/A</v>
      </c>
      <c r="T37" s="662" t="s">
        <v>18</v>
      </c>
      <c r="U37" s="663" t="e">
        <f t="shared" si="13"/>
        <v>#N/A</v>
      </c>
      <c r="V37" s="662" t="s">
        <v>18</v>
      </c>
      <c r="W37" s="663" t="e">
        <f t="shared" si="14"/>
        <v>#N/A</v>
      </c>
      <c r="X37" s="664"/>
      <c r="Y37" s="3450"/>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48" t="s">
        <v>1696</v>
      </c>
      <c r="Q38" s="1260" t="str">
        <f t="shared" si="11"/>
        <v>物业管理</v>
      </c>
      <c r="R38" s="665" t="s">
        <v>18</v>
      </c>
      <c r="S38" s="666">
        <f t="shared" si="12"/>
        <v>100</v>
      </c>
      <c r="T38" s="665" t="s">
        <v>18</v>
      </c>
      <c r="U38" s="666">
        <f t="shared" si="13"/>
        <v>100</v>
      </c>
      <c r="V38" s="665" t="s">
        <v>18</v>
      </c>
      <c r="W38" s="666">
        <f t="shared" si="14"/>
        <v>100</v>
      </c>
      <c r="X38" s="1262"/>
      <c r="Y38" s="3450"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48"/>
      <c r="Q39" s="1260" t="str">
        <f t="shared" si="11"/>
        <v>市政基础设施</v>
      </c>
      <c r="R39" s="665" t="s">
        <v>18</v>
      </c>
      <c r="S39" s="666">
        <f t="shared" si="12"/>
        <v>100</v>
      </c>
      <c r="T39" s="665" t="s">
        <v>18</v>
      </c>
      <c r="U39" s="666">
        <f t="shared" si="13"/>
        <v>100</v>
      </c>
      <c r="V39" s="665" t="s">
        <v>18</v>
      </c>
      <c r="W39" s="666">
        <f t="shared" si="14"/>
        <v>100</v>
      </c>
      <c r="X39" s="1262"/>
      <c r="Y39" s="3450"/>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48"/>
      <c r="Q40" s="1260" t="str">
        <f t="shared" si="11"/>
        <v>房型</v>
      </c>
      <c r="R40" s="665" t="s">
        <v>18</v>
      </c>
      <c r="S40" s="666">
        <f t="shared" si="12"/>
        <v>100</v>
      </c>
      <c r="T40" s="665" t="s">
        <v>18</v>
      </c>
      <c r="U40" s="666">
        <f t="shared" si="13"/>
        <v>100</v>
      </c>
      <c r="V40" s="665" t="s">
        <v>18</v>
      </c>
      <c r="W40" s="666">
        <f t="shared" si="14"/>
        <v>100</v>
      </c>
      <c r="X40" s="1262"/>
      <c r="Y40" s="3450"/>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9"/>
      <c r="M41" s="2491"/>
      <c r="N41" s="2491"/>
      <c r="O41" s="2491"/>
      <c r="P41" s="3448"/>
      <c r="Q41" s="530" t="str">
        <f t="shared" si="11"/>
        <v>单套/主力户型建筑面积</v>
      </c>
      <c r="R41" s="667" t="s">
        <v>18</v>
      </c>
      <c r="S41" s="668">
        <f t="shared" si="12"/>
        <v>100</v>
      </c>
      <c r="T41" s="667" t="s">
        <v>18</v>
      </c>
      <c r="U41" s="668">
        <f t="shared" si="13"/>
        <v>100</v>
      </c>
      <c r="V41" s="667" t="s">
        <v>18</v>
      </c>
      <c r="W41" s="668">
        <f t="shared" si="14"/>
        <v>100</v>
      </c>
      <c r="X41" s="669"/>
      <c r="Y41" s="3450"/>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48"/>
      <c r="Q42" s="1260" t="str">
        <f t="shared" si="11"/>
        <v>内部装修</v>
      </c>
      <c r="R42" s="665" t="s">
        <v>18</v>
      </c>
      <c r="S42" s="666">
        <f t="shared" si="12"/>
        <v>100</v>
      </c>
      <c r="T42" s="665" t="s">
        <v>18</v>
      </c>
      <c r="U42" s="666">
        <f t="shared" si="13"/>
        <v>100</v>
      </c>
      <c r="V42" s="665" t="s">
        <v>18</v>
      </c>
      <c r="W42" s="666">
        <f t="shared" si="14"/>
        <v>100</v>
      </c>
      <c r="X42" s="1262"/>
      <c r="Y42" s="3450"/>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48"/>
      <c r="Q43" s="1260" t="str">
        <f t="shared" si="11"/>
        <v>内部装修维护情况</v>
      </c>
      <c r="R43" s="665" t="s">
        <v>18</v>
      </c>
      <c r="S43" s="666">
        <f t="shared" si="12"/>
        <v>100</v>
      </c>
      <c r="T43" s="665" t="s">
        <v>18</v>
      </c>
      <c r="U43" s="666">
        <f t="shared" si="13"/>
        <v>100</v>
      </c>
      <c r="V43" s="665" t="s">
        <v>18</v>
      </c>
      <c r="W43" s="666">
        <f t="shared" si="14"/>
        <v>100</v>
      </c>
      <c r="X43" s="1262"/>
      <c r="Y43" s="3450"/>
      <c r="Z43" s="1261" t="str">
        <f t="shared" si="18"/>
        <v>内部装修维护情况</v>
      </c>
      <c r="AA43" s="1261">
        <f t="shared" si="15"/>
        <v>1</v>
      </c>
      <c r="AB43" s="1261">
        <f t="shared" si="16"/>
        <v>1</v>
      </c>
      <c r="AC43" s="1261">
        <f t="shared" si="17"/>
        <v>1</v>
      </c>
    </row>
    <row r="44" spans="1:29" s="102"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6"/>
      <c r="M44" s="2437"/>
      <c r="N44" s="2437"/>
      <c r="O44" s="2437"/>
      <c r="P44" s="3448"/>
      <c r="Q44" s="529">
        <f t="shared" si="11"/>
        <v>111</v>
      </c>
      <c r="R44" s="662" t="s">
        <v>18</v>
      </c>
      <c r="S44" s="663">
        <f t="shared" si="12"/>
        <v>100</v>
      </c>
      <c r="T44" s="662" t="s">
        <v>18</v>
      </c>
      <c r="U44" s="663">
        <f t="shared" si="13"/>
        <v>100</v>
      </c>
      <c r="V44" s="662" t="s">
        <v>18</v>
      </c>
      <c r="W44" s="663">
        <f t="shared" si="14"/>
        <v>100</v>
      </c>
      <c r="X44" s="664"/>
      <c r="Y44" s="3450"/>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48"/>
      <c r="Q45" s="1260">
        <f t="shared" si="11"/>
        <v>111</v>
      </c>
      <c r="R45" s="665" t="s">
        <v>18</v>
      </c>
      <c r="S45" s="666">
        <f t="shared" si="12"/>
        <v>100</v>
      </c>
      <c r="T45" s="665" t="s">
        <v>18</v>
      </c>
      <c r="U45" s="666">
        <f t="shared" si="13"/>
        <v>100</v>
      </c>
      <c r="V45" s="665" t="s">
        <v>18</v>
      </c>
      <c r="W45" s="666">
        <f t="shared" si="14"/>
        <v>100</v>
      </c>
      <c r="X45" s="1262"/>
      <c r="Y45" s="3450"/>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49"/>
      <c r="Q46" s="1260">
        <f t="shared" si="11"/>
        <v>111</v>
      </c>
      <c r="R46" s="665" t="s">
        <v>17</v>
      </c>
      <c r="S46" s="666">
        <f t="shared" si="12"/>
        <v>100</v>
      </c>
      <c r="T46" s="665" t="s">
        <v>17</v>
      </c>
      <c r="U46" s="666">
        <f t="shared" si="13"/>
        <v>100</v>
      </c>
      <c r="V46" s="665" t="s">
        <v>17</v>
      </c>
      <c r="W46" s="666">
        <f t="shared" si="14"/>
        <v>100</v>
      </c>
      <c r="X46" s="1262"/>
      <c r="Y46" s="3451"/>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92"/>
      <c r="M47" s="2485"/>
      <c r="N47" s="2485"/>
      <c r="O47" s="2485"/>
      <c r="P47" s="3452" t="str">
        <f>A47</f>
        <v>成交单价（元/平方米）</v>
      </c>
      <c r="Q47" s="3452"/>
      <c r="R47" s="3440">
        <f>E47</f>
        <v>0</v>
      </c>
      <c r="S47" s="3440"/>
      <c r="T47" s="3440">
        <f>G47</f>
        <v>0</v>
      </c>
      <c r="U47" s="3440"/>
      <c r="V47" s="3440">
        <f>I47</f>
        <v>0</v>
      </c>
      <c r="W47" s="3440"/>
      <c r="X47" s="384"/>
      <c r="Y47" s="671"/>
      <c r="Z47" s="384"/>
      <c r="AA47" s="384"/>
      <c r="AB47" s="384"/>
      <c r="AC47" s="384"/>
    </row>
    <row r="48" spans="1:29" ht="15.75" thickBot="1">
      <c r="A48" s="422" t="s">
        <v>1709</v>
      </c>
      <c r="B48" s="423"/>
      <c r="C48" s="1079" t="e">
        <f>R49</f>
        <v>#DIV/0!</v>
      </c>
      <c r="D48" s="2138" t="s">
        <v>2136</v>
      </c>
      <c r="E48" s="1080" t="e">
        <f>R48</f>
        <v>#DIV/0!</v>
      </c>
      <c r="F48" s="2139"/>
      <c r="G48" s="1079" t="e">
        <f>T48</f>
        <v>#DIV/0!</v>
      </c>
      <c r="H48" s="2139"/>
      <c r="I48" s="1080" t="e">
        <f>V48</f>
        <v>#DIV/0!</v>
      </c>
      <c r="J48" s="2139"/>
      <c r="K48" s="2140">
        <f>F48+H48+J48</f>
        <v>0</v>
      </c>
      <c r="L48" s="2492"/>
      <c r="M48" s="2485"/>
      <c r="N48" s="2485"/>
      <c r="O48" s="2485"/>
      <c r="P48" s="3452" t="str">
        <f>A48</f>
        <v>比较价值（元/平方米）</v>
      </c>
      <c r="Q48" s="3452"/>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92"/>
      <c r="M49" s="2485"/>
      <c r="N49" s="2485"/>
      <c r="O49" s="2485"/>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1714</v>
      </c>
      <c r="B57" s="384"/>
      <c r="C57" s="657"/>
      <c r="D57" s="657"/>
      <c r="E57" s="657"/>
      <c r="F57" s="658"/>
      <c r="G57" s="658"/>
      <c r="H57" s="657"/>
      <c r="I57" s="657"/>
      <c r="J57" s="657"/>
      <c r="K57" s="884"/>
      <c r="L57" s="885"/>
      <c r="M57" s="883"/>
      <c r="N57" s="883"/>
      <c r="O57" s="883"/>
      <c r="P57" s="1768"/>
      <c r="Q57" s="438"/>
    </row>
    <row r="58" spans="1:29" s="441" customFormat="1" ht="15">
      <c r="A58" s="439" t="s">
        <v>1715</v>
      </c>
      <c r="B58" s="440"/>
      <c r="C58" s="1102" t="str">
        <f>YEAR(C7)&amp;"-"&amp;MONTH(C7)</f>
        <v>2025-8</v>
      </c>
      <c r="D58" s="1101">
        <f>EDATE(C58,-1)</f>
        <v>45839</v>
      </c>
      <c r="E58" s="1101">
        <f>EDATE(D58,-1)</f>
        <v>45809</v>
      </c>
      <c r="F58" s="1101">
        <f t="shared" ref="F58:O58" si="19">EDATE(E58,-1)</f>
        <v>45778</v>
      </c>
      <c r="G58" s="1101">
        <f t="shared" si="19"/>
        <v>45748</v>
      </c>
      <c r="H58" s="1101">
        <f t="shared" si="19"/>
        <v>45717</v>
      </c>
      <c r="I58" s="1101">
        <f t="shared" si="19"/>
        <v>45689</v>
      </c>
      <c r="J58" s="1101">
        <f t="shared" si="19"/>
        <v>45658</v>
      </c>
      <c r="K58" s="1101">
        <f t="shared" si="19"/>
        <v>45627</v>
      </c>
      <c r="L58" s="1101">
        <f t="shared" si="19"/>
        <v>45597</v>
      </c>
      <c r="M58" s="1101">
        <f t="shared" si="19"/>
        <v>45566</v>
      </c>
      <c r="N58" s="1101">
        <f t="shared" si="19"/>
        <v>45536</v>
      </c>
      <c r="O58" s="1101">
        <f t="shared" si="19"/>
        <v>45505</v>
      </c>
      <c r="P58" s="1097"/>
    </row>
    <row r="59" spans="1:29" s="102" customFormat="1" ht="15">
      <c r="A59" s="442"/>
      <c r="B59" s="1769"/>
      <c r="C59" s="1099">
        <v>100</v>
      </c>
      <c r="D59" s="444"/>
      <c r="E59" s="445"/>
      <c r="F59" s="445"/>
      <c r="G59" s="445"/>
      <c r="H59" s="445"/>
      <c r="I59" s="445"/>
      <c r="J59" s="445"/>
      <c r="K59" s="445"/>
      <c r="L59" s="445"/>
      <c r="M59" s="446"/>
      <c r="N59" s="445"/>
      <c r="O59" s="446"/>
      <c r="P59" s="1770"/>
    </row>
    <row r="60" spans="1:29" s="102" customFormat="1" ht="15.75" thickBot="1">
      <c r="A60" s="448" t="s">
        <v>1716</v>
      </c>
      <c r="B60" s="449"/>
      <c r="C60" s="450"/>
      <c r="D60" s="451"/>
      <c r="E60" s="451"/>
      <c r="F60" s="451"/>
      <c r="G60" s="451"/>
      <c r="H60" s="451"/>
      <c r="I60" s="451"/>
      <c r="J60" s="451"/>
      <c r="K60" s="451"/>
      <c r="L60" s="451"/>
      <c r="M60" s="452"/>
      <c r="N60" s="451"/>
      <c r="O60" s="452"/>
      <c r="P60" s="1770"/>
      <c r="Q60" s="438"/>
    </row>
    <row r="61" spans="1:29" s="102" customFormat="1" ht="15">
      <c r="A61" s="454" t="s">
        <v>1717</v>
      </c>
      <c r="B61" s="443"/>
      <c r="C61" s="455" t="s">
        <v>1718</v>
      </c>
      <c r="D61" s="31"/>
      <c r="E61" s="31"/>
      <c r="F61" s="31"/>
      <c r="G61" s="31"/>
      <c r="H61" s="31"/>
      <c r="I61" s="31"/>
      <c r="J61" s="31"/>
      <c r="K61" s="31"/>
      <c r="L61" s="456"/>
      <c r="M61" s="457"/>
      <c r="N61" s="875"/>
      <c r="O61" s="875"/>
      <c r="P61" s="1771"/>
      <c r="Q61" s="438"/>
    </row>
    <row r="62" spans="1:29" s="102" customFormat="1" ht="15.75" thickBot="1">
      <c r="A62" s="454"/>
      <c r="B62" s="443"/>
      <c r="C62" s="444">
        <v>100</v>
      </c>
      <c r="D62" s="445"/>
      <c r="E62" s="445"/>
      <c r="F62" s="445"/>
      <c r="G62" s="445"/>
      <c r="H62" s="445"/>
      <c r="I62" s="445"/>
      <c r="J62" s="445"/>
      <c r="K62" s="445"/>
      <c r="L62" s="445"/>
      <c r="M62" s="447"/>
      <c r="N62" s="875"/>
      <c r="O62" s="875"/>
      <c r="P62" s="1770"/>
      <c r="Q62" s="438"/>
    </row>
    <row r="63" spans="1:29">
      <c r="A63" s="378" t="s">
        <v>1719</v>
      </c>
      <c r="B63" s="459" t="s">
        <v>1685</v>
      </c>
      <c r="C63" s="460">
        <f>C9</f>
        <v>0</v>
      </c>
      <c r="D63" s="461"/>
      <c r="E63" s="461"/>
      <c r="F63" s="461"/>
      <c r="G63" s="461"/>
      <c r="H63" s="461"/>
      <c r="I63" s="461"/>
      <c r="J63" s="461"/>
      <c r="K63" s="462"/>
      <c r="L63" s="463"/>
      <c r="M63" s="464"/>
      <c r="N63" s="876"/>
      <c r="O63" s="876"/>
      <c r="P63" s="1772"/>
      <c r="Q63" s="438"/>
    </row>
    <row r="64" spans="1:29" ht="15.75" thickBot="1">
      <c r="A64" s="366"/>
      <c r="B64" s="465"/>
      <c r="C64" s="466">
        <v>100</v>
      </c>
      <c r="D64" s="466"/>
      <c r="E64" s="466"/>
      <c r="F64" s="466"/>
      <c r="G64" s="466"/>
      <c r="H64" s="466"/>
      <c r="I64" s="466"/>
      <c r="J64" s="466"/>
      <c r="K64" s="466"/>
      <c r="L64" s="466"/>
      <c r="M64" s="467"/>
      <c r="N64" s="877"/>
      <c r="O64" s="877"/>
      <c r="P64" s="1772"/>
      <c r="Q64" s="438"/>
    </row>
    <row r="65" spans="1:17" ht="27.75" thickTop="1">
      <c r="A65" s="366"/>
      <c r="B65" s="468" t="s">
        <v>1688</v>
      </c>
      <c r="C65" s="512"/>
      <c r="D65" s="512"/>
      <c r="E65" s="512"/>
      <c r="F65" s="512"/>
      <c r="G65" s="512"/>
      <c r="H65" s="512"/>
      <c r="I65" s="512"/>
      <c r="J65" s="512"/>
      <c r="K65" s="512"/>
      <c r="L65" s="512"/>
      <c r="M65" s="512"/>
      <c r="N65" s="877"/>
      <c r="O65" s="877"/>
      <c r="P65" s="1772"/>
      <c r="Q65" s="438"/>
    </row>
    <row r="66" spans="1:17" ht="15.75" thickBot="1">
      <c r="A66" s="366"/>
      <c r="B66" s="473"/>
      <c r="C66" s="466"/>
      <c r="D66" s="466"/>
      <c r="E66" s="466"/>
      <c r="F66" s="466"/>
      <c r="G66" s="466"/>
      <c r="H66" s="466"/>
      <c r="I66" s="466"/>
      <c r="J66" s="466"/>
      <c r="K66" s="466"/>
      <c r="L66" s="466"/>
      <c r="M66" s="467"/>
      <c r="N66" s="877"/>
      <c r="O66" s="877"/>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2"/>
      <c r="Q67" s="438"/>
    </row>
    <row r="68" spans="1:17" ht="15">
      <c r="A68" s="366"/>
      <c r="B68" s="478"/>
      <c r="C68" s="479"/>
      <c r="D68" s="479"/>
      <c r="E68" s="479"/>
      <c r="F68" s="479"/>
      <c r="G68" s="479"/>
      <c r="H68" s="479"/>
      <c r="I68" s="479"/>
      <c r="J68" s="479"/>
      <c r="K68" s="480"/>
      <c r="L68" s="481"/>
      <c r="M68" s="482"/>
      <c r="N68" s="876"/>
      <c r="O68" s="876"/>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2"/>
      <c r="Q69" s="438"/>
    </row>
    <row r="70" spans="1:17" s="407" customFormat="1" ht="15.75" thickTop="1">
      <c r="A70" s="483"/>
      <c r="B70" s="468">
        <f>B12</f>
        <v>111</v>
      </c>
      <c r="C70" s="484"/>
      <c r="D70" s="484"/>
      <c r="E70" s="484"/>
      <c r="F70" s="484"/>
      <c r="G70" s="484"/>
      <c r="H70" s="485"/>
      <c r="I70" s="485"/>
      <c r="J70" s="485"/>
      <c r="K70" s="485"/>
      <c r="L70" s="486"/>
      <c r="M70" s="487"/>
      <c r="N70" s="878"/>
      <c r="O70" s="878"/>
      <c r="P70" s="1773"/>
      <c r="Q70" s="489"/>
    </row>
    <row r="71" spans="1:17" s="407" customFormat="1" ht="15.75" thickBot="1">
      <c r="A71" s="483"/>
      <c r="B71" s="473"/>
      <c r="C71" s="490"/>
      <c r="D71" s="466"/>
      <c r="E71" s="466"/>
      <c r="F71" s="466"/>
      <c r="G71" s="466"/>
      <c r="H71" s="466"/>
      <c r="I71" s="466"/>
      <c r="J71" s="466"/>
      <c r="K71" s="466"/>
      <c r="L71" s="466"/>
      <c r="M71" s="467"/>
      <c r="N71" s="877"/>
      <c r="O71" s="877"/>
      <c r="P71" s="1773"/>
      <c r="Q71" s="489"/>
    </row>
    <row r="72" spans="1:17" s="407" customFormat="1" ht="15.75" thickTop="1">
      <c r="A72" s="483"/>
      <c r="B72" s="468">
        <f>B13</f>
        <v>111</v>
      </c>
      <c r="C72" s="484"/>
      <c r="D72" s="484"/>
      <c r="E72" s="484"/>
      <c r="F72" s="484"/>
      <c r="G72" s="484"/>
      <c r="H72" s="485"/>
      <c r="I72" s="485"/>
      <c r="J72" s="485"/>
      <c r="K72" s="485"/>
      <c r="L72" s="486"/>
      <c r="M72" s="487"/>
      <c r="N72" s="878"/>
      <c r="O72" s="878"/>
      <c r="P72" s="1774"/>
      <c r="Q72" s="491"/>
    </row>
    <row r="73" spans="1:17" s="407" customFormat="1" ht="15.75" thickBot="1">
      <c r="A73" s="483"/>
      <c r="B73" s="473"/>
      <c r="C73" s="490"/>
      <c r="D73" s="490"/>
      <c r="E73" s="490"/>
      <c r="F73" s="490"/>
      <c r="G73" s="490"/>
      <c r="H73" s="492"/>
      <c r="I73" s="492"/>
      <c r="J73" s="492"/>
      <c r="K73" s="492"/>
      <c r="L73" s="492"/>
      <c r="M73" s="493"/>
      <c r="N73" s="878"/>
      <c r="O73" s="878"/>
      <c r="P73" s="1773"/>
      <c r="Q73" s="489"/>
    </row>
    <row r="74" spans="1:17" s="407" customFormat="1" ht="15.75" thickTop="1">
      <c r="A74" s="483"/>
      <c r="B74" s="476">
        <f>B14</f>
        <v>111</v>
      </c>
      <c r="C74" s="484"/>
      <c r="D74" s="484"/>
      <c r="E74" s="484"/>
      <c r="F74" s="484"/>
      <c r="G74" s="31"/>
      <c r="H74" s="494"/>
      <c r="I74" s="494"/>
      <c r="J74" s="494"/>
      <c r="K74" s="494"/>
      <c r="L74" s="495"/>
      <c r="M74" s="496"/>
      <c r="N74" s="878"/>
      <c r="O74" s="878"/>
      <c r="P74" s="1775"/>
      <c r="Q74" s="489"/>
    </row>
    <row r="75" spans="1:17" s="407" customFormat="1" ht="15.75" thickBot="1">
      <c r="A75" s="498"/>
      <c r="B75" s="499"/>
      <c r="C75" s="500"/>
      <c r="D75" s="500"/>
      <c r="E75" s="500"/>
      <c r="F75" s="500"/>
      <c r="G75" s="500"/>
      <c r="H75" s="501"/>
      <c r="I75" s="501"/>
      <c r="J75" s="501"/>
      <c r="K75" s="501"/>
      <c r="L75" s="501"/>
      <c r="M75" s="502"/>
      <c r="N75" s="878"/>
      <c r="O75" s="878"/>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6"/>
      <c r="O76" s="876"/>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6"/>
      <c r="O78" s="876"/>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6"/>
      <c r="O80" s="876"/>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7"/>
      <c r="O82" s="877"/>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7"/>
      <c r="O83" s="877"/>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6"/>
      <c r="O84" s="876"/>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72"/>
      <c r="Q85" s="438"/>
    </row>
    <row r="86" spans="1:17" s="102" customFormat="1" ht="15.75" thickTop="1">
      <c r="A86" s="369"/>
      <c r="B86" s="468" t="s">
        <v>1734</v>
      </c>
      <c r="C86" s="484"/>
      <c r="D86" s="484"/>
      <c r="E86" s="484"/>
      <c r="F86" s="484"/>
      <c r="G86" s="484"/>
      <c r="H86" s="484"/>
      <c r="I86" s="484"/>
      <c r="J86" s="484"/>
      <c r="K86" s="484"/>
      <c r="L86" s="509"/>
      <c r="M86" s="510"/>
      <c r="N86" s="875"/>
      <c r="O86" s="875"/>
      <c r="P86" s="1772"/>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2"/>
      <c r="Q87" s="438"/>
    </row>
    <row r="88" spans="1:17" s="102" customFormat="1" ht="15.75" thickTop="1">
      <c r="A88" s="369"/>
      <c r="B88" s="468" t="s">
        <v>1735</v>
      </c>
      <c r="C88" s="484"/>
      <c r="D88" s="484"/>
      <c r="E88" s="484"/>
      <c r="F88" s="1777"/>
      <c r="G88" s="484"/>
      <c r="H88" s="484"/>
      <c r="I88" s="484"/>
      <c r="J88" s="484"/>
      <c r="K88" s="484"/>
      <c r="L88" s="484"/>
      <c r="M88" s="510"/>
      <c r="N88" s="875"/>
      <c r="O88" s="875"/>
      <c r="P88" s="1772"/>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2"/>
      <c r="Q89" s="438"/>
    </row>
    <row r="90" spans="1:17" s="407" customFormat="1" ht="15.75" thickTop="1">
      <c r="A90" s="483"/>
      <c r="B90" s="468">
        <f>B27</f>
        <v>111</v>
      </c>
      <c r="C90" s="484"/>
      <c r="D90" s="484"/>
      <c r="E90" s="484"/>
      <c r="F90" s="484"/>
      <c r="G90" s="484"/>
      <c r="H90" s="485"/>
      <c r="I90" s="485"/>
      <c r="J90" s="485"/>
      <c r="K90" s="485"/>
      <c r="L90" s="486"/>
      <c r="M90" s="487"/>
      <c r="N90" s="878"/>
      <c r="O90" s="878"/>
      <c r="P90" s="1773"/>
      <c r="Q90" s="489"/>
    </row>
    <row r="91" spans="1:17" s="407" customFormat="1" ht="15.75" thickBot="1">
      <c r="A91" s="483"/>
      <c r="B91" s="473"/>
      <c r="C91" s="490"/>
      <c r="D91" s="490"/>
      <c r="E91" s="490"/>
      <c r="F91" s="490"/>
      <c r="G91" s="490"/>
      <c r="H91" s="492"/>
      <c r="I91" s="492"/>
      <c r="J91" s="492"/>
      <c r="K91" s="492"/>
      <c r="L91" s="492"/>
      <c r="M91" s="493"/>
      <c r="N91" s="878"/>
      <c r="O91" s="878"/>
      <c r="P91" s="1773"/>
      <c r="Q91" s="489"/>
    </row>
    <row r="92" spans="1:17" ht="15.75" thickTop="1">
      <c r="A92" s="366"/>
      <c r="B92" s="468">
        <f>B28</f>
        <v>111</v>
      </c>
      <c r="C92" s="484"/>
      <c r="D92" s="484"/>
      <c r="E92" s="484"/>
      <c r="F92" s="484"/>
      <c r="G92" s="512"/>
      <c r="H92" s="512"/>
      <c r="I92" s="512"/>
      <c r="J92" s="512"/>
      <c r="K92" s="513"/>
      <c r="L92" s="514"/>
      <c r="M92" s="515"/>
      <c r="N92" s="876"/>
      <c r="O92" s="876"/>
      <c r="P92" s="1772"/>
      <c r="Q92" s="438"/>
    </row>
    <row r="93" spans="1:17" ht="15.75" thickBot="1">
      <c r="A93" s="366"/>
      <c r="B93" s="473"/>
      <c r="C93" s="490"/>
      <c r="D93" s="466"/>
      <c r="E93" s="466"/>
      <c r="F93" s="466"/>
      <c r="G93" s="466"/>
      <c r="H93" s="466"/>
      <c r="I93" s="466"/>
      <c r="J93" s="466"/>
      <c r="K93" s="466"/>
      <c r="L93" s="466"/>
      <c r="M93" s="467"/>
      <c r="N93" s="877"/>
      <c r="O93" s="877"/>
      <c r="P93" s="1772"/>
      <c r="Q93" s="438"/>
    </row>
    <row r="94" spans="1:17" ht="15.75" thickTop="1">
      <c r="A94" s="366"/>
      <c r="B94" s="468">
        <f>B29</f>
        <v>111</v>
      </c>
      <c r="C94" s="484"/>
      <c r="D94" s="484"/>
      <c r="E94" s="484"/>
      <c r="F94" s="484"/>
      <c r="G94" s="512"/>
      <c r="H94" s="512"/>
      <c r="I94" s="512"/>
      <c r="J94" s="512"/>
      <c r="K94" s="513"/>
      <c r="L94" s="514"/>
      <c r="M94" s="515"/>
      <c r="N94" s="876"/>
      <c r="O94" s="876"/>
      <c r="P94" s="1772"/>
      <c r="Q94" s="438"/>
    </row>
    <row r="95" spans="1:17" ht="15.75" thickBot="1">
      <c r="A95" s="366"/>
      <c r="B95" s="473"/>
      <c r="C95" s="490"/>
      <c r="D95" s="490"/>
      <c r="E95" s="490"/>
      <c r="F95" s="490"/>
      <c r="G95" s="466"/>
      <c r="H95" s="466"/>
      <c r="I95" s="466"/>
      <c r="J95" s="466"/>
      <c r="K95" s="466"/>
      <c r="L95" s="466"/>
      <c r="M95" s="467"/>
      <c r="N95" s="877"/>
      <c r="O95" s="877"/>
      <c r="P95" s="1772"/>
      <c r="Q95" s="438"/>
    </row>
    <row r="96" spans="1:17" ht="15.75" thickTop="1">
      <c r="A96" s="366"/>
      <c r="B96" s="468">
        <f>B30</f>
        <v>111</v>
      </c>
      <c r="C96" s="484"/>
      <c r="D96" s="484"/>
      <c r="E96" s="484"/>
      <c r="F96" s="484"/>
      <c r="G96" s="512"/>
      <c r="H96" s="512"/>
      <c r="I96" s="512"/>
      <c r="J96" s="512"/>
      <c r="K96" s="513"/>
      <c r="L96" s="514"/>
      <c r="M96" s="515"/>
      <c r="N96" s="876"/>
      <c r="O96" s="876"/>
      <c r="P96" s="1772"/>
      <c r="Q96" s="438"/>
    </row>
    <row r="97" spans="1:17" ht="15.75" thickBot="1">
      <c r="A97" s="366"/>
      <c r="B97" s="473"/>
      <c r="C97" s="500"/>
      <c r="D97" s="500"/>
      <c r="E97" s="500"/>
      <c r="F97" s="500"/>
      <c r="G97" s="466"/>
      <c r="H97" s="466"/>
      <c r="I97" s="466"/>
      <c r="J97" s="466"/>
      <c r="K97" s="466"/>
      <c r="L97" s="466"/>
      <c r="M97" s="467"/>
      <c r="N97" s="877"/>
      <c r="O97" s="877"/>
      <c r="P97" s="1772"/>
      <c r="Q97" s="438"/>
    </row>
    <row r="98" spans="1:17" ht="15.75" thickTop="1">
      <c r="A98" s="366"/>
      <c r="B98" s="476">
        <f>B31</f>
        <v>111</v>
      </c>
      <c r="C98" s="516"/>
      <c r="D98" s="516"/>
      <c r="E98" s="516"/>
      <c r="F98" s="516"/>
      <c r="G98" s="516"/>
      <c r="H98" s="516"/>
      <c r="I98" s="516"/>
      <c r="J98" s="516"/>
      <c r="K98" s="517"/>
      <c r="L98" s="518"/>
      <c r="M98" s="519"/>
      <c r="N98" s="876"/>
      <c r="O98" s="876"/>
      <c r="P98" s="1772"/>
      <c r="Q98" s="438"/>
    </row>
    <row r="99" spans="1:17" ht="15.75" thickBot="1">
      <c r="A99" s="374"/>
      <c r="B99" s="499"/>
      <c r="C99" s="520"/>
      <c r="D99" s="520"/>
      <c r="E99" s="520"/>
      <c r="F99" s="520"/>
      <c r="G99" s="520"/>
      <c r="H99" s="520"/>
      <c r="I99" s="520"/>
      <c r="J99" s="520"/>
      <c r="K99" s="520"/>
      <c r="L99" s="520"/>
      <c r="M99" s="521"/>
      <c r="N99" s="877"/>
      <c r="O99" s="877"/>
      <c r="P99" s="1772"/>
      <c r="Q99" s="438"/>
    </row>
    <row r="100" spans="1:17">
      <c r="A100" s="378" t="s">
        <v>1694</v>
      </c>
      <c r="B100" s="459" t="s">
        <v>1736</v>
      </c>
      <c r="C100" s="461"/>
      <c r="D100" s="461"/>
      <c r="E100" s="461"/>
      <c r="F100" s="461"/>
      <c r="G100" s="461"/>
      <c r="H100" s="461"/>
      <c r="I100" s="461"/>
      <c r="J100" s="461"/>
      <c r="K100" s="462"/>
      <c r="L100" s="463"/>
      <c r="M100" s="464"/>
      <c r="N100" s="876"/>
      <c r="O100" s="876"/>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2"/>
      <c r="Q102" s="438"/>
    </row>
    <row r="103" spans="1:17" s="407" customFormat="1">
      <c r="A103" s="405"/>
      <c r="B103" s="522"/>
      <c r="C103" s="6"/>
      <c r="D103" s="6"/>
      <c r="E103" s="6"/>
      <c r="F103" s="6"/>
      <c r="G103" s="6"/>
      <c r="H103" s="6"/>
      <c r="I103" s="6"/>
      <c r="J103" s="523"/>
      <c r="K103" s="523"/>
      <c r="L103" s="524"/>
      <c r="M103" s="525"/>
      <c r="N103" s="878"/>
      <c r="O103" s="878"/>
      <c r="P103" s="1773"/>
      <c r="Q103" s="489"/>
    </row>
    <row r="104" spans="1:17" s="407" customFormat="1" ht="15.75" thickBot="1">
      <c r="A104" s="483"/>
      <c r="B104" s="473"/>
      <c r="C104" s="490"/>
      <c r="D104" s="466"/>
      <c r="E104" s="466"/>
      <c r="F104" s="466"/>
      <c r="G104" s="466"/>
      <c r="H104" s="466"/>
      <c r="I104" s="466"/>
      <c r="J104" s="466"/>
      <c r="K104" s="466"/>
      <c r="L104" s="466"/>
      <c r="M104" s="466"/>
      <c r="N104" s="877"/>
      <c r="O104" s="877"/>
      <c r="P104" s="1773"/>
      <c r="Q104" s="489"/>
    </row>
    <row r="105" spans="1:17" ht="15" thickTop="1">
      <c r="A105" s="408"/>
      <c r="B105" s="468" t="s">
        <v>1738</v>
      </c>
      <c r="C105" s="484"/>
      <c r="D105" s="484"/>
      <c r="E105" s="512"/>
      <c r="F105" s="512"/>
      <c r="G105" s="512"/>
      <c r="H105" s="512"/>
      <c r="I105" s="512"/>
      <c r="J105" s="512"/>
      <c r="K105" s="513"/>
      <c r="L105" s="514"/>
      <c r="M105" s="515"/>
      <c r="N105" s="876"/>
      <c r="O105" s="876"/>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2"/>
      <c r="Q106" s="438"/>
    </row>
    <row r="107" spans="1:17" ht="15" thickTop="1">
      <c r="A107" s="408"/>
      <c r="B107" s="468" t="s">
        <v>1739</v>
      </c>
      <c r="C107" s="512"/>
      <c r="D107" s="512"/>
      <c r="E107" s="512"/>
      <c r="F107" s="512"/>
      <c r="G107" s="512"/>
      <c r="H107" s="512"/>
      <c r="I107" s="512"/>
      <c r="J107" s="512"/>
      <c r="K107" s="513"/>
      <c r="L107" s="514"/>
      <c r="M107" s="515"/>
      <c r="N107" s="876"/>
      <c r="O107" s="876"/>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2"/>
      <c r="Q108" s="438"/>
    </row>
    <row r="109" spans="1:17" ht="15" thickTop="1">
      <c r="A109" s="408"/>
      <c r="B109" s="468" t="s">
        <v>1740</v>
      </c>
      <c r="C109" s="484"/>
      <c r="D109" s="484"/>
      <c r="E109" s="484"/>
      <c r="F109" s="512"/>
      <c r="G109" s="512"/>
      <c r="H109" s="512"/>
      <c r="I109" s="512"/>
      <c r="J109" s="512"/>
      <c r="K109" s="513"/>
      <c r="L109" s="514"/>
      <c r="M109" s="515"/>
      <c r="N109" s="876"/>
      <c r="O109" s="876"/>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3"/>
      <c r="Q113" s="489"/>
    </row>
    <row r="114" spans="1:17" ht="15" thickTop="1">
      <c r="A114" s="408"/>
      <c r="B114" s="468" t="s">
        <v>1741</v>
      </c>
      <c r="C114" s="484"/>
      <c r="D114" s="484"/>
      <c r="E114" s="512"/>
      <c r="F114" s="512"/>
      <c r="G114" s="512"/>
      <c r="H114" s="512"/>
      <c r="I114" s="512"/>
      <c r="J114" s="512"/>
      <c r="K114" s="513"/>
      <c r="L114" s="514"/>
      <c r="M114" s="515"/>
      <c r="N114" s="876"/>
      <c r="O114" s="876"/>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2"/>
      <c r="Q115" s="438"/>
    </row>
    <row r="116" spans="1:17" ht="15" thickTop="1">
      <c r="A116" s="408"/>
      <c r="B116" s="468" t="s">
        <v>1742</v>
      </c>
      <c r="C116" s="484"/>
      <c r="D116" s="484"/>
      <c r="E116" s="484"/>
      <c r="F116" s="484"/>
      <c r="G116" s="484"/>
      <c r="H116" s="512"/>
      <c r="I116" s="512"/>
      <c r="J116" s="512"/>
      <c r="K116" s="513"/>
      <c r="L116" s="514"/>
      <c r="M116" s="515"/>
      <c r="N116" s="876"/>
      <c r="O116" s="876"/>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2"/>
      <c r="Q117" s="438"/>
    </row>
    <row r="118" spans="1:17" ht="15" thickTop="1">
      <c r="A118" s="408"/>
      <c r="B118" s="468" t="s">
        <v>1743</v>
      </c>
      <c r="C118" s="512"/>
      <c r="D118" s="512"/>
      <c r="E118" s="512"/>
      <c r="F118" s="512"/>
      <c r="G118" s="512"/>
      <c r="H118" s="512"/>
      <c r="I118" s="512"/>
      <c r="J118" s="512"/>
      <c r="K118" s="513"/>
      <c r="L118" s="514"/>
      <c r="M118" s="515"/>
      <c r="N118" s="876"/>
      <c r="O118" s="876"/>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2"/>
      <c r="Q119" s="438"/>
    </row>
    <row r="120" spans="1:17" s="407" customFormat="1" ht="28.5" thickTop="1">
      <c r="A120" s="405"/>
      <c r="B120" s="468" t="s">
        <v>1705</v>
      </c>
      <c r="C120" s="484"/>
      <c r="D120" s="484"/>
      <c r="E120" s="484"/>
      <c r="F120" s="484"/>
      <c r="G120" s="484"/>
      <c r="H120" s="484"/>
      <c r="I120" s="484"/>
      <c r="J120" s="484"/>
      <c r="K120" s="484"/>
      <c r="L120" s="509"/>
      <c r="M120" s="510"/>
      <c r="N120" s="878"/>
      <c r="O120" s="878"/>
      <c r="P120" s="1773"/>
      <c r="Q120" s="489"/>
    </row>
    <row r="121" spans="1:17" s="407" customFormat="1" ht="15.75" thickBot="1">
      <c r="A121" s="483"/>
      <c r="B121" s="465"/>
      <c r="C121" s="490"/>
      <c r="D121" s="466"/>
      <c r="E121" s="466"/>
      <c r="F121" s="466"/>
      <c r="G121" s="466"/>
      <c r="H121" s="466"/>
      <c r="I121" s="466"/>
      <c r="J121" s="466"/>
      <c r="K121" s="466"/>
      <c r="L121" s="466"/>
      <c r="M121" s="466"/>
      <c r="N121" s="878"/>
      <c r="O121" s="878"/>
      <c r="P121" s="1773"/>
      <c r="Q121" s="489"/>
    </row>
    <row r="122" spans="1:17" ht="15" thickTop="1">
      <c r="A122" s="408"/>
      <c r="B122" s="468" t="s">
        <v>1744</v>
      </c>
      <c r="C122" s="484"/>
      <c r="D122" s="484"/>
      <c r="E122" s="484"/>
      <c r="F122" s="512"/>
      <c r="G122" s="512"/>
      <c r="H122" s="512"/>
      <c r="I122" s="512"/>
      <c r="J122" s="512"/>
      <c r="K122" s="513"/>
      <c r="L122" s="514"/>
      <c r="M122" s="515"/>
      <c r="N122" s="876"/>
      <c r="O122" s="876"/>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2"/>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73"/>
      <c r="Q126" s="489"/>
    </row>
    <row r="127" spans="1:17" s="407" customFormat="1" ht="15.75" thickBot="1">
      <c r="A127" s="483"/>
      <c r="B127" s="473"/>
      <c r="C127" s="490"/>
      <c r="D127" s="466"/>
      <c r="E127" s="466"/>
      <c r="F127" s="466"/>
      <c r="G127" s="490"/>
      <c r="H127" s="492"/>
      <c r="I127" s="492"/>
      <c r="J127" s="492"/>
      <c r="K127" s="492"/>
      <c r="L127" s="492"/>
      <c r="M127" s="493"/>
      <c r="N127" s="878"/>
      <c r="O127" s="878"/>
      <c r="P127" s="1773"/>
      <c r="Q127" s="489"/>
    </row>
    <row r="128" spans="1:17" ht="15" thickTop="1">
      <c r="A128" s="408"/>
      <c r="B128" s="468">
        <f>B45</f>
        <v>111</v>
      </c>
      <c r="C128" s="484"/>
      <c r="D128" s="484"/>
      <c r="E128" s="484"/>
      <c r="F128" s="484"/>
      <c r="G128" s="512"/>
      <c r="H128" s="512"/>
      <c r="I128" s="512"/>
      <c r="J128" s="512"/>
      <c r="K128" s="513"/>
      <c r="L128" s="514"/>
      <c r="M128" s="515"/>
      <c r="N128" s="876"/>
      <c r="O128" s="876"/>
      <c r="P128" s="1772"/>
      <c r="Q128" s="438"/>
    </row>
    <row r="129" spans="1:17" ht="15.75" thickBot="1">
      <c r="A129" s="366"/>
      <c r="B129" s="473"/>
      <c r="C129" s="490"/>
      <c r="D129" s="490"/>
      <c r="E129" s="490"/>
      <c r="F129" s="490"/>
      <c r="G129" s="466"/>
      <c r="H129" s="466"/>
      <c r="I129" s="466"/>
      <c r="J129" s="466"/>
      <c r="K129" s="466"/>
      <c r="L129" s="466"/>
      <c r="M129" s="467"/>
      <c r="N129" s="877"/>
      <c r="O129" s="877"/>
      <c r="P129" s="1772"/>
      <c r="Q129" s="438"/>
    </row>
    <row r="130" spans="1:17" ht="15" thickTop="1">
      <c r="A130" s="408"/>
      <c r="B130" s="476">
        <f>B46</f>
        <v>111</v>
      </c>
      <c r="C130" s="484"/>
      <c r="D130" s="484"/>
      <c r="E130" s="484"/>
      <c r="F130" s="484"/>
      <c r="G130" s="516"/>
      <c r="H130" s="516"/>
      <c r="I130" s="516"/>
      <c r="J130" s="516"/>
      <c r="K130" s="31"/>
      <c r="L130" s="456"/>
      <c r="M130" s="519"/>
      <c r="N130" s="876"/>
      <c r="O130" s="876"/>
      <c r="P130" s="1772"/>
      <c r="Q130" s="438"/>
    </row>
    <row r="131" spans="1:17" ht="15.75" thickBot="1">
      <c r="A131" s="374"/>
      <c r="B131" s="499"/>
      <c r="C131" s="500"/>
      <c r="D131" s="500"/>
      <c r="E131" s="500"/>
      <c r="F131" s="500"/>
      <c r="G131" s="520"/>
      <c r="H131" s="520"/>
      <c r="I131" s="520"/>
      <c r="J131" s="520"/>
      <c r="K131" s="520"/>
      <c r="L131" s="520"/>
      <c r="M131" s="521"/>
      <c r="N131" s="877"/>
      <c r="O131" s="877"/>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1" customFormat="1" ht="28.5" customHeight="1" thickBot="1">
      <c r="A3" s="194" t="s">
        <v>1464</v>
      </c>
      <c r="B3" s="535">
        <f>IF(C2="——",C49,ROUND(B2*10000/D3,0))</f>
        <v>0</v>
      </c>
      <c r="C3" s="343" t="s">
        <v>1768</v>
      </c>
      <c r="D3" s="342">
        <f>IF(D1="",'数据-汇总表'!E3,SUMIF('数据-汇总表'!$C19:$C33,D1,'数据-汇总表'!$E19:$E33))</f>
        <v>83502.290000000008</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87" t="s">
        <v>1775</v>
      </c>
      <c r="Q4" s="3488"/>
      <c r="R4" s="3483" t="s">
        <v>1771</v>
      </c>
      <c r="S4" s="3484"/>
      <c r="T4" s="3483" t="s">
        <v>1772</v>
      </c>
      <c r="U4" s="3484"/>
      <c r="V4" s="3440" t="s">
        <v>1773</v>
      </c>
      <c r="W4" s="3440"/>
      <c r="X4" s="1262"/>
      <c r="Y4" s="3483" t="s">
        <v>1775</v>
      </c>
      <c r="Z4" s="3484"/>
      <c r="AA4" s="3482" t="s">
        <v>1771</v>
      </c>
      <c r="AB4" s="3440" t="s">
        <v>1772</v>
      </c>
      <c r="AC4" s="3482" t="s">
        <v>1773</v>
      </c>
    </row>
    <row r="5" spans="1:29" ht="15">
      <c r="A5" s="347"/>
      <c r="B5" s="348"/>
      <c r="C5" s="3418" t="s">
        <v>1673</v>
      </c>
      <c r="D5" s="3417"/>
      <c r="E5" s="3485" t="s">
        <v>1674</v>
      </c>
      <c r="F5" s="3486"/>
      <c r="G5" s="3418" t="s">
        <v>1675</v>
      </c>
      <c r="H5" s="3417"/>
      <c r="I5" s="3418" t="s">
        <v>1676</v>
      </c>
      <c r="J5" s="3417"/>
      <c r="K5" s="536"/>
      <c r="L5" s="2484"/>
      <c r="M5" s="2485"/>
      <c r="N5" s="2485"/>
      <c r="O5" s="2485"/>
      <c r="P5" s="3489"/>
      <c r="Q5" s="3434"/>
      <c r="R5" s="3414"/>
      <c r="S5" s="3415"/>
      <c r="T5" s="3414"/>
      <c r="U5" s="3415"/>
      <c r="V5" s="3440"/>
      <c r="W5" s="3440"/>
      <c r="X5" s="1262"/>
      <c r="Y5" s="3414"/>
      <c r="Z5" s="3415"/>
      <c r="AA5" s="3408"/>
      <c r="AB5" s="3440"/>
      <c r="AC5" s="3408"/>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90"/>
      <c r="Q6" s="3436"/>
      <c r="R6" s="3414"/>
      <c r="S6" s="3415"/>
      <c r="T6" s="3437"/>
      <c r="U6" s="3438"/>
      <c r="V6" s="3440"/>
      <c r="W6" s="3440"/>
      <c r="X6" s="1262"/>
      <c r="Y6" s="3437"/>
      <c r="Z6" s="3438"/>
      <c r="AA6" s="3409"/>
      <c r="AB6" s="3440"/>
      <c r="AC6" s="3409"/>
    </row>
    <row r="7" spans="1:29" s="102" customFormat="1" ht="15.75" thickBot="1">
      <c r="A7" s="351" t="s">
        <v>1679</v>
      </c>
      <c r="B7" s="352"/>
      <c r="C7" s="353">
        <f>'数据-取费表'!B2</f>
        <v>45881</v>
      </c>
      <c r="D7" s="354">
        <v>100</v>
      </c>
      <c r="E7" s="355"/>
      <c r="F7" s="356">
        <f>SUMIF(58:58,YEAR(E7)&amp;"-"&amp;MONTH(E7),59:59)</f>
        <v>0</v>
      </c>
      <c r="G7" s="355"/>
      <c r="H7" s="354">
        <f>SUMIF(58:58,YEAR(G7)&amp;"-"&amp;MONTH(G7),59:59)</f>
        <v>0</v>
      </c>
      <c r="I7" s="355"/>
      <c r="J7" s="354">
        <f>SUMIF(58:58,YEAR(I7)&amp;"-"&amp;MONTH(I7),59:59)</f>
        <v>0</v>
      </c>
      <c r="K7" s="38"/>
      <c r="L7" s="2486"/>
      <c r="M7" s="2437"/>
      <c r="N7" s="2437"/>
      <c r="O7" s="2437"/>
      <c r="P7" s="3410" t="s">
        <v>1680</v>
      </c>
      <c r="Q7" s="3442"/>
      <c r="R7" s="662" t="s">
        <v>14</v>
      </c>
      <c r="S7" s="663">
        <f t="shared" ref="S7:S15" si="0">F7</f>
        <v>0</v>
      </c>
      <c r="T7" s="662" t="s">
        <v>14</v>
      </c>
      <c r="U7" s="663">
        <f t="shared" ref="U7:U15" si="1">H7</f>
        <v>0</v>
      </c>
      <c r="V7" s="662" t="s">
        <v>14</v>
      </c>
      <c r="W7" s="663">
        <f t="shared" ref="W7:W15" si="2">J7</f>
        <v>0</v>
      </c>
      <c r="X7" s="664"/>
      <c r="Y7" s="3410" t="s">
        <v>1680</v>
      </c>
      <c r="Z7" s="3411"/>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10" t="s">
        <v>1683</v>
      </c>
      <c r="Q8" s="3411"/>
      <c r="R8" s="662" t="s">
        <v>14</v>
      </c>
      <c r="S8" s="663">
        <f t="shared" si="0"/>
        <v>100</v>
      </c>
      <c r="T8" s="662" t="s">
        <v>14</v>
      </c>
      <c r="U8" s="663">
        <f t="shared" si="1"/>
        <v>100</v>
      </c>
      <c r="V8" s="662" t="s">
        <v>14</v>
      </c>
      <c r="W8" s="663">
        <f t="shared" si="2"/>
        <v>100</v>
      </c>
      <c r="X8" s="664"/>
      <c r="Y8" s="3410" t="s">
        <v>1683</v>
      </c>
      <c r="Z8" s="3411"/>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23"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23"/>
      <c r="Q10" s="529" t="str">
        <f t="shared" si="6"/>
        <v>土地使用年限（年）</v>
      </c>
      <c r="R10" s="662" t="s">
        <v>14</v>
      </c>
      <c r="S10" s="663">
        <f t="shared" si="0"/>
        <v>100</v>
      </c>
      <c r="T10" s="662" t="s">
        <v>14</v>
      </c>
      <c r="U10" s="663">
        <f t="shared" si="1"/>
        <v>100</v>
      </c>
      <c r="V10" s="662" t="s">
        <v>14</v>
      </c>
      <c r="W10" s="663">
        <f t="shared" si="2"/>
        <v>100</v>
      </c>
      <c r="X10" s="664"/>
      <c r="Y10" s="33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23"/>
      <c r="Q11" s="529" t="str">
        <f t="shared" si="6"/>
        <v>容积率</v>
      </c>
      <c r="R11" s="662" t="s">
        <v>14</v>
      </c>
      <c r="S11" s="663" t="e">
        <f t="shared" si="0"/>
        <v>#N/A</v>
      </c>
      <c r="T11" s="662" t="s">
        <v>14</v>
      </c>
      <c r="U11" s="663" t="e">
        <f t="shared" si="1"/>
        <v>#N/A</v>
      </c>
      <c r="V11" s="662" t="s">
        <v>14</v>
      </c>
      <c r="W11" s="663" t="e">
        <f t="shared" si="2"/>
        <v>#N/A</v>
      </c>
      <c r="X11" s="664"/>
      <c r="Y11" s="3361"/>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23"/>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23"/>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23"/>
      <c r="Q14" s="529">
        <f t="shared" si="6"/>
        <v>111</v>
      </c>
      <c r="R14" s="662" t="s">
        <v>14</v>
      </c>
      <c r="S14" s="663">
        <f t="shared" si="0"/>
        <v>100</v>
      </c>
      <c r="T14" s="662" t="s">
        <v>14</v>
      </c>
      <c r="U14" s="663">
        <f t="shared" si="1"/>
        <v>100</v>
      </c>
      <c r="V14" s="662" t="s">
        <v>14</v>
      </c>
      <c r="W14" s="663">
        <f t="shared" si="2"/>
        <v>100</v>
      </c>
      <c r="X14" s="664"/>
      <c r="Y14" s="3361"/>
      <c r="Z14" s="50">
        <f t="shared" si="7"/>
        <v>111</v>
      </c>
      <c r="AA14" s="50">
        <f t="shared" si="3"/>
        <v>1</v>
      </c>
      <c r="AB14" s="50">
        <f t="shared" si="4"/>
        <v>1</v>
      </c>
      <c r="AC14" s="50">
        <f t="shared" si="5"/>
        <v>1</v>
      </c>
    </row>
    <row r="15" spans="1:29" ht="15">
      <c r="A15" s="378" t="s">
        <v>1690</v>
      </c>
      <c r="B15" s="58"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3" t="s">
        <v>1691</v>
      </c>
      <c r="Q15" s="1260" t="str">
        <f t="shared" si="6"/>
        <v>商业繁华度</v>
      </c>
      <c r="R15" s="665" t="s">
        <v>14</v>
      </c>
      <c r="S15" s="666">
        <f t="shared" si="0"/>
        <v>100</v>
      </c>
      <c r="T15" s="665" t="s">
        <v>14</v>
      </c>
      <c r="U15" s="666">
        <f t="shared" si="1"/>
        <v>100</v>
      </c>
      <c r="V15" s="665" t="s">
        <v>14</v>
      </c>
      <c r="W15" s="666">
        <f t="shared" si="2"/>
        <v>100</v>
      </c>
      <c r="X15" s="1262"/>
      <c r="Y15" s="3445"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44"/>
      <c r="Q16" s="1260"/>
      <c r="R16" s="665"/>
      <c r="S16" s="666"/>
      <c r="T16" s="665"/>
      <c r="U16" s="666"/>
      <c r="V16" s="665"/>
      <c r="W16" s="666"/>
      <c r="X16" s="1262"/>
      <c r="Y16" s="3446"/>
      <c r="Z16" s="1261"/>
      <c r="AA16" s="1261">
        <v>1</v>
      </c>
      <c r="AB16" s="1261">
        <v>1</v>
      </c>
      <c r="AC16" s="1261">
        <v>1</v>
      </c>
    </row>
    <row r="17" spans="1:29" ht="15">
      <c r="A17" s="366"/>
      <c r="B17" s="389" t="s">
        <v>1259</v>
      </c>
      <c r="C17" s="1751">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4"/>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44"/>
      <c r="Q18" s="1260"/>
      <c r="R18" s="665"/>
      <c r="S18" s="666"/>
      <c r="T18" s="665"/>
      <c r="U18" s="666"/>
      <c r="V18" s="665"/>
      <c r="W18" s="666"/>
      <c r="X18" s="1262"/>
      <c r="Y18" s="3446"/>
      <c r="Z18" s="1261"/>
      <c r="AA18" s="1261">
        <v>1</v>
      </c>
      <c r="AB18" s="1261">
        <v>1</v>
      </c>
      <c r="AC18" s="1261">
        <v>1</v>
      </c>
    </row>
    <row r="19" spans="1:29" ht="15">
      <c r="A19" s="366"/>
      <c r="B19" s="389" t="s">
        <v>1778</v>
      </c>
      <c r="C19" s="1751">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4"/>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44"/>
      <c r="Q20" s="1260"/>
      <c r="R20" s="665"/>
      <c r="S20" s="666"/>
      <c r="T20" s="665"/>
      <c r="U20" s="666"/>
      <c r="V20" s="665"/>
      <c r="W20" s="666"/>
      <c r="X20" s="1262"/>
      <c r="Y20" s="3446"/>
      <c r="Z20" s="1261"/>
      <c r="AA20" s="1261">
        <v>1</v>
      </c>
      <c r="AB20" s="1261">
        <v>1</v>
      </c>
      <c r="AC20" s="1261">
        <v>1</v>
      </c>
    </row>
    <row r="21" spans="1:29" ht="15">
      <c r="A21" s="366"/>
      <c r="B21" s="585" t="s">
        <v>1779</v>
      </c>
      <c r="C21" s="1751">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4"/>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2490"/>
      <c r="M22" s="2485"/>
      <c r="N22" s="2485"/>
      <c r="O22" s="2485"/>
      <c r="P22" s="3444"/>
      <c r="Q22" s="1260"/>
      <c r="R22" s="665"/>
      <c r="S22" s="666"/>
      <c r="T22" s="665"/>
      <c r="U22" s="666"/>
      <c r="V22" s="665"/>
      <c r="W22" s="666"/>
      <c r="X22" s="1262"/>
      <c r="Y22" s="3446"/>
      <c r="Z22" s="1261"/>
      <c r="AA22" s="1261">
        <v>1</v>
      </c>
      <c r="AB22" s="1261">
        <v>1</v>
      </c>
      <c r="AC22" s="1261">
        <v>1</v>
      </c>
    </row>
    <row r="23" spans="1:29" ht="15">
      <c r="A23" s="366"/>
      <c r="B23" s="389" t="s">
        <v>1261</v>
      </c>
      <c r="C23" s="1803">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4"/>
      <c r="Q23" s="1260" t="str">
        <f>B23</f>
        <v>自然及人文环境</v>
      </c>
      <c r="R23" s="665" t="s">
        <v>14</v>
      </c>
      <c r="S23" s="666">
        <f>F23</f>
        <v>100</v>
      </c>
      <c r="T23" s="665" t="s">
        <v>14</v>
      </c>
      <c r="U23" s="666">
        <f>H23</f>
        <v>100</v>
      </c>
      <c r="V23" s="665" t="s">
        <v>14</v>
      </c>
      <c r="W23" s="666">
        <f>J23</f>
        <v>100</v>
      </c>
      <c r="X23" s="1262"/>
      <c r="Y23" s="3446"/>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44"/>
      <c r="Q24" s="1260"/>
      <c r="R24" s="665"/>
      <c r="S24" s="666"/>
      <c r="T24" s="665"/>
      <c r="U24" s="666"/>
      <c r="V24" s="665"/>
      <c r="W24" s="666"/>
      <c r="X24" s="1262"/>
      <c r="Y24" s="3446"/>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4"/>
      <c r="Q25" s="1260" t="str">
        <f t="shared" ref="Q25:Q46" si="11">B25</f>
        <v>临街状况</v>
      </c>
      <c r="R25" s="665" t="s">
        <v>14</v>
      </c>
      <c r="S25" s="666">
        <f>F25</f>
        <v>100</v>
      </c>
      <c r="T25" s="665" t="s">
        <v>14</v>
      </c>
      <c r="U25" s="666">
        <f>H25</f>
        <v>100</v>
      </c>
      <c r="V25" s="665" t="s">
        <v>14</v>
      </c>
      <c r="W25" s="666">
        <f>J25</f>
        <v>100</v>
      </c>
      <c r="X25" s="1262"/>
      <c r="Y25" s="3446"/>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4"/>
      <c r="Q26" s="1260" t="str">
        <f t="shared" si="11"/>
        <v>平面位置/可视性</v>
      </c>
      <c r="R26" s="665" t="s">
        <v>14</v>
      </c>
      <c r="S26" s="666">
        <f>F26</f>
        <v>100</v>
      </c>
      <c r="T26" s="665" t="s">
        <v>14</v>
      </c>
      <c r="U26" s="666">
        <f>H26</f>
        <v>100</v>
      </c>
      <c r="V26" s="665" t="s">
        <v>14</v>
      </c>
      <c r="W26" s="666">
        <f>J26</f>
        <v>100</v>
      </c>
      <c r="X26" s="1262"/>
      <c r="Y26" s="3446"/>
      <c r="Z26" s="1261" t="str">
        <f>Q26</f>
        <v>平面位置/可视性</v>
      </c>
      <c r="AA26" s="1261">
        <f t="shared" si="3"/>
        <v>1</v>
      </c>
      <c r="AB26" s="1261">
        <f t="shared" si="4"/>
        <v>1</v>
      </c>
      <c r="AC26" s="1261">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44"/>
      <c r="Q27" s="529" t="str">
        <f t="shared" si="11"/>
        <v>人流量</v>
      </c>
      <c r="R27" s="662" t="s">
        <v>14</v>
      </c>
      <c r="S27" s="663">
        <f>F27</f>
        <v>100</v>
      </c>
      <c r="T27" s="662" t="s">
        <v>14</v>
      </c>
      <c r="U27" s="663">
        <f>H27</f>
        <v>100</v>
      </c>
      <c r="V27" s="662" t="s">
        <v>14</v>
      </c>
      <c r="W27" s="663">
        <f>J27</f>
        <v>100</v>
      </c>
      <c r="X27" s="664"/>
      <c r="Y27" s="3446"/>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46"/>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4"/>
      <c r="Q29" s="1260">
        <f t="shared" si="11"/>
        <v>111</v>
      </c>
      <c r="R29" s="665" t="s">
        <v>14</v>
      </c>
      <c r="S29" s="666">
        <f t="shared" si="12"/>
        <v>100</v>
      </c>
      <c r="T29" s="665" t="s">
        <v>14</v>
      </c>
      <c r="U29" s="666">
        <f t="shared" si="13"/>
        <v>100</v>
      </c>
      <c r="V29" s="665" t="s">
        <v>14</v>
      </c>
      <c r="W29" s="666">
        <f t="shared" si="14"/>
        <v>100</v>
      </c>
      <c r="X29" s="1262"/>
      <c r="Y29" s="3446"/>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4"/>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4"/>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47" t="s">
        <v>1696</v>
      </c>
      <c r="Q32" s="1260" t="str">
        <f t="shared" si="11"/>
        <v>商业类型</v>
      </c>
      <c r="R32" s="665" t="s">
        <v>14</v>
      </c>
      <c r="S32" s="666">
        <f t="shared" si="12"/>
        <v>100</v>
      </c>
      <c r="T32" s="665" t="s">
        <v>14</v>
      </c>
      <c r="U32" s="666">
        <f t="shared" si="13"/>
        <v>100</v>
      </c>
      <c r="V32" s="665" t="s">
        <v>14</v>
      </c>
      <c r="W32" s="666">
        <f t="shared" si="14"/>
        <v>100</v>
      </c>
      <c r="X32" s="1262"/>
      <c r="Y32" s="3450"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48"/>
      <c r="Q33" s="530" t="str">
        <f t="shared" si="11"/>
        <v>项目建筑规模</v>
      </c>
      <c r="R33" s="667" t="s">
        <v>14</v>
      </c>
      <c r="S33" s="668" t="e">
        <f t="shared" si="12"/>
        <v>#N/A</v>
      </c>
      <c r="T33" s="667" t="s">
        <v>14</v>
      </c>
      <c r="U33" s="668" t="e">
        <f t="shared" si="13"/>
        <v>#N/A</v>
      </c>
      <c r="V33" s="667" t="s">
        <v>14</v>
      </c>
      <c r="W33" s="668" t="e">
        <f t="shared" si="14"/>
        <v>#N/A</v>
      </c>
      <c r="X33" s="669"/>
      <c r="Y33" s="3450"/>
      <c r="Z33" s="670"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48"/>
      <c r="Q34" s="1260" t="str">
        <f t="shared" si="11"/>
        <v>建筑结构</v>
      </c>
      <c r="R34" s="665" t="s">
        <v>14</v>
      </c>
      <c r="S34" s="666">
        <f t="shared" si="12"/>
        <v>100</v>
      </c>
      <c r="T34" s="665" t="s">
        <v>14</v>
      </c>
      <c r="U34" s="666">
        <f t="shared" si="13"/>
        <v>100</v>
      </c>
      <c r="V34" s="665" t="s">
        <v>14</v>
      </c>
      <c r="W34" s="666">
        <f t="shared" si="14"/>
        <v>100</v>
      </c>
      <c r="X34" s="1262"/>
      <c r="Y34" s="3450"/>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48"/>
      <c r="Q35" s="1260" t="str">
        <f t="shared" si="11"/>
        <v>公共部分装修</v>
      </c>
      <c r="R35" s="665" t="s">
        <v>14</v>
      </c>
      <c r="S35" s="666">
        <f t="shared" si="12"/>
        <v>100</v>
      </c>
      <c r="T35" s="665" t="s">
        <v>14</v>
      </c>
      <c r="U35" s="666">
        <f t="shared" si="13"/>
        <v>100</v>
      </c>
      <c r="V35" s="665" t="s">
        <v>14</v>
      </c>
      <c r="W35" s="666">
        <f t="shared" si="14"/>
        <v>100</v>
      </c>
      <c r="X35" s="1262"/>
      <c r="Y35" s="3450"/>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48"/>
      <c r="Q36" s="1260" t="str">
        <f t="shared" si="11"/>
        <v>成新度</v>
      </c>
      <c r="R36" s="665" t="s">
        <v>14</v>
      </c>
      <c r="S36" s="666" t="e">
        <f t="shared" si="12"/>
        <v>#N/A</v>
      </c>
      <c r="T36" s="665" t="s">
        <v>14</v>
      </c>
      <c r="U36" s="666" t="e">
        <f t="shared" si="13"/>
        <v>#N/A</v>
      </c>
      <c r="V36" s="665" t="s">
        <v>14</v>
      </c>
      <c r="W36" s="666" t="e">
        <f t="shared" si="14"/>
        <v>#N/A</v>
      </c>
      <c r="X36" s="1262"/>
      <c r="Y36" s="3450"/>
      <c r="Z36" s="1261" t="str">
        <f t="shared" si="15"/>
        <v>成新度</v>
      </c>
      <c r="AA36" s="1261" t="e">
        <f t="shared" si="3"/>
        <v>#N/A</v>
      </c>
      <c r="AB36" s="1261" t="e">
        <f t="shared" si="4"/>
        <v>#N/A</v>
      </c>
      <c r="AC36" s="1261"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48"/>
      <c r="Q37" s="529" t="str">
        <f t="shared" si="11"/>
        <v>市政基础设施</v>
      </c>
      <c r="R37" s="662" t="s">
        <v>14</v>
      </c>
      <c r="S37" s="663">
        <f t="shared" si="12"/>
        <v>100</v>
      </c>
      <c r="T37" s="662" t="s">
        <v>14</v>
      </c>
      <c r="U37" s="663">
        <f t="shared" si="13"/>
        <v>100</v>
      </c>
      <c r="V37" s="662" t="s">
        <v>14</v>
      </c>
      <c r="W37" s="663">
        <f t="shared" si="14"/>
        <v>100</v>
      </c>
      <c r="X37" s="664"/>
      <c r="Y37" s="3450"/>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48" t="s">
        <v>1696</v>
      </c>
      <c r="Q38" s="1260" t="str">
        <f t="shared" si="11"/>
        <v>业态</v>
      </c>
      <c r="R38" s="665" t="s">
        <v>14</v>
      </c>
      <c r="S38" s="666">
        <f t="shared" si="12"/>
        <v>100</v>
      </c>
      <c r="T38" s="665" t="s">
        <v>14</v>
      </c>
      <c r="U38" s="666">
        <f t="shared" si="13"/>
        <v>100</v>
      </c>
      <c r="V38" s="665" t="s">
        <v>14</v>
      </c>
      <c r="W38" s="666">
        <f t="shared" si="14"/>
        <v>100</v>
      </c>
      <c r="X38" s="1262"/>
      <c r="Y38" s="3450"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48"/>
      <c r="Q39" s="1260" t="str">
        <f t="shared" si="11"/>
        <v>层高</v>
      </c>
      <c r="R39" s="665" t="s">
        <v>14</v>
      </c>
      <c r="S39" s="666">
        <f t="shared" si="12"/>
        <v>100</v>
      </c>
      <c r="T39" s="665" t="s">
        <v>14</v>
      </c>
      <c r="U39" s="666">
        <f t="shared" si="13"/>
        <v>100</v>
      </c>
      <c r="V39" s="665" t="s">
        <v>14</v>
      </c>
      <c r="W39" s="666">
        <f t="shared" si="14"/>
        <v>100</v>
      </c>
      <c r="X39" s="1262"/>
      <c r="Y39" s="3450"/>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48"/>
      <c r="Q40" s="1260" t="str">
        <f t="shared" si="11"/>
        <v>单套建筑面积</v>
      </c>
      <c r="R40" s="665" t="s">
        <v>14</v>
      </c>
      <c r="S40" s="666">
        <f t="shared" si="12"/>
        <v>100</v>
      </c>
      <c r="T40" s="665" t="s">
        <v>14</v>
      </c>
      <c r="U40" s="666">
        <f t="shared" si="13"/>
        <v>100</v>
      </c>
      <c r="V40" s="665" t="s">
        <v>14</v>
      </c>
      <c r="W40" s="666">
        <f t="shared" si="14"/>
        <v>100</v>
      </c>
      <c r="X40" s="1262"/>
      <c r="Y40" s="3450"/>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48"/>
      <c r="Q41" s="530" t="str">
        <f t="shared" si="11"/>
        <v>进深比</v>
      </c>
      <c r="R41" s="667" t="s">
        <v>14</v>
      </c>
      <c r="S41" s="668">
        <f t="shared" si="12"/>
        <v>100</v>
      </c>
      <c r="T41" s="667" t="s">
        <v>14</v>
      </c>
      <c r="U41" s="668">
        <f t="shared" si="13"/>
        <v>100</v>
      </c>
      <c r="V41" s="667" t="s">
        <v>14</v>
      </c>
      <c r="W41" s="668">
        <f t="shared" si="14"/>
        <v>100</v>
      </c>
      <c r="X41" s="669"/>
      <c r="Y41" s="3450"/>
      <c r="Z41" s="670"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48"/>
      <c r="Q42" s="1260" t="str">
        <f t="shared" si="11"/>
        <v>内部装修</v>
      </c>
      <c r="R42" s="665" t="s">
        <v>14</v>
      </c>
      <c r="S42" s="666">
        <f t="shared" si="12"/>
        <v>100</v>
      </c>
      <c r="T42" s="665" t="s">
        <v>14</v>
      </c>
      <c r="U42" s="666">
        <f t="shared" si="13"/>
        <v>100</v>
      </c>
      <c r="V42" s="665" t="s">
        <v>14</v>
      </c>
      <c r="W42" s="666">
        <f t="shared" si="14"/>
        <v>100</v>
      </c>
      <c r="X42" s="1262"/>
      <c r="Y42" s="3450"/>
      <c r="Z42" s="1261" t="str">
        <f t="shared" si="15"/>
        <v>内部装修</v>
      </c>
      <c r="AA42" s="1261">
        <f t="shared" si="3"/>
        <v>1</v>
      </c>
      <c r="AB42" s="1261">
        <f t="shared" si="4"/>
        <v>1</v>
      </c>
      <c r="AC42" s="1261">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48"/>
      <c r="Q43" s="1260" t="str">
        <f t="shared" si="11"/>
        <v>内部装修维护情况</v>
      </c>
      <c r="R43" s="665" t="s">
        <v>14</v>
      </c>
      <c r="S43" s="666">
        <f t="shared" si="12"/>
        <v>100</v>
      </c>
      <c r="T43" s="665" t="s">
        <v>14</v>
      </c>
      <c r="U43" s="666">
        <f t="shared" si="13"/>
        <v>100</v>
      </c>
      <c r="V43" s="665" t="s">
        <v>14</v>
      </c>
      <c r="W43" s="666">
        <f t="shared" si="14"/>
        <v>100</v>
      </c>
      <c r="X43" s="1262"/>
      <c r="Y43" s="3450"/>
      <c r="Z43" s="1261" t="str">
        <f t="shared" si="15"/>
        <v>内部装修维护情况</v>
      </c>
      <c r="AA43" s="1261">
        <f t="shared" si="3"/>
        <v>1</v>
      </c>
      <c r="AB43" s="1261">
        <f t="shared" si="4"/>
        <v>1</v>
      </c>
      <c r="AC43" s="1261">
        <f t="shared" si="5"/>
        <v>1</v>
      </c>
    </row>
    <row r="44" spans="1:29" s="102"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48"/>
      <c r="Q44" s="529">
        <f t="shared" si="11"/>
        <v>111</v>
      </c>
      <c r="R44" s="662" t="s">
        <v>14</v>
      </c>
      <c r="S44" s="663">
        <f t="shared" si="12"/>
        <v>100</v>
      </c>
      <c r="T44" s="662" t="s">
        <v>14</v>
      </c>
      <c r="U44" s="663">
        <f t="shared" si="13"/>
        <v>100</v>
      </c>
      <c r="V44" s="662" t="s">
        <v>14</v>
      </c>
      <c r="W44" s="663">
        <f t="shared" si="14"/>
        <v>100</v>
      </c>
      <c r="X44" s="664"/>
      <c r="Y44" s="3450"/>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48"/>
      <c r="Q45" s="1260">
        <f t="shared" si="11"/>
        <v>111</v>
      </c>
      <c r="R45" s="665" t="s">
        <v>14</v>
      </c>
      <c r="S45" s="666">
        <f t="shared" si="12"/>
        <v>100</v>
      </c>
      <c r="T45" s="665" t="s">
        <v>14</v>
      </c>
      <c r="U45" s="666">
        <f t="shared" si="13"/>
        <v>100</v>
      </c>
      <c r="V45" s="665" t="s">
        <v>14</v>
      </c>
      <c r="W45" s="666">
        <f t="shared" si="14"/>
        <v>100</v>
      </c>
      <c r="X45" s="1262"/>
      <c r="Y45" s="3450"/>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9"/>
      <c r="Q46" s="1260">
        <f t="shared" si="11"/>
        <v>111</v>
      </c>
      <c r="R46" s="665" t="s">
        <v>14</v>
      </c>
      <c r="S46" s="666">
        <f t="shared" si="12"/>
        <v>100</v>
      </c>
      <c r="T46" s="665" t="s">
        <v>14</v>
      </c>
      <c r="U46" s="666">
        <f t="shared" si="13"/>
        <v>100</v>
      </c>
      <c r="V46" s="665" t="s">
        <v>14</v>
      </c>
      <c r="W46" s="666">
        <f t="shared" si="14"/>
        <v>100</v>
      </c>
      <c r="X46" s="1262"/>
      <c r="Y46" s="3451"/>
      <c r="Z46" s="1261">
        <f t="shared" si="15"/>
        <v>111</v>
      </c>
      <c r="AA46" s="1261">
        <f t="shared" si="3"/>
        <v>1</v>
      </c>
      <c r="AB46" s="1261">
        <f t="shared" si="4"/>
        <v>1</v>
      </c>
      <c r="AC46" s="1261">
        <f t="shared" si="5"/>
        <v>1</v>
      </c>
    </row>
    <row r="47" spans="1:29" ht="15">
      <c r="A47" s="415" t="s">
        <v>1708</v>
      </c>
      <c r="B47" s="416"/>
      <c r="C47" s="1078" t="s">
        <v>0</v>
      </c>
      <c r="D47" s="417"/>
      <c r="E47" s="418"/>
      <c r="F47" s="419"/>
      <c r="G47" s="420"/>
      <c r="H47" s="421"/>
      <c r="I47" s="418"/>
      <c r="J47" s="421"/>
      <c r="K47" s="672"/>
      <c r="L47" s="2492"/>
      <c r="M47" s="2485"/>
      <c r="N47" s="2485"/>
      <c r="O47" s="2485"/>
      <c r="P47" s="3452" t="str">
        <f>A47</f>
        <v>成交单价（元/平方米）</v>
      </c>
      <c r="Q47" s="3452"/>
      <c r="R47" s="3440">
        <f>E47</f>
        <v>0</v>
      </c>
      <c r="S47" s="3440"/>
      <c r="T47" s="3440">
        <f>G47</f>
        <v>0</v>
      </c>
      <c r="U47" s="3440"/>
      <c r="V47" s="3440">
        <f>I47</f>
        <v>0</v>
      </c>
      <c r="W47" s="3440"/>
      <c r="X47" s="384"/>
      <c r="Y47" s="671"/>
      <c r="Z47" s="384"/>
      <c r="AA47" s="384"/>
      <c r="AB47" s="384"/>
      <c r="AC47" s="384"/>
    </row>
    <row r="48" spans="1:29" ht="15.75" thickBot="1">
      <c r="A48" s="422" t="s">
        <v>1793</v>
      </c>
      <c r="B48" s="423"/>
      <c r="C48" s="1079" t="e">
        <f>R49</f>
        <v>#DIV/0!</v>
      </c>
      <c r="D48" s="2138" t="s">
        <v>2136</v>
      </c>
      <c r="E48" s="1080" t="e">
        <f>R48</f>
        <v>#DIV/0!</v>
      </c>
      <c r="F48" s="2139"/>
      <c r="G48" s="1079" t="e">
        <f>T48</f>
        <v>#DIV/0!</v>
      </c>
      <c r="H48" s="2139"/>
      <c r="I48" s="1080" t="e">
        <f>V48</f>
        <v>#DIV/0!</v>
      </c>
      <c r="J48" s="2139"/>
      <c r="K48" s="2141">
        <f>F48+H48+J48</f>
        <v>0</v>
      </c>
      <c r="L48" s="2492"/>
      <c r="M48" s="2485"/>
      <c r="N48" s="2485"/>
      <c r="O48" s="2485"/>
      <c r="P48" s="3452" t="str">
        <f>A48</f>
        <v>比较价值（元/平方米）</v>
      </c>
      <c r="Q48" s="3452"/>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4"/>
      <c r="Y48" s="384"/>
      <c r="Z48" s="384"/>
      <c r="AA48" s="384"/>
      <c r="AB48" s="384"/>
      <c r="AC48" s="384"/>
    </row>
    <row r="49" spans="1:29" ht="15.75" thickBot="1">
      <c r="A49" s="426" t="s">
        <v>1794</v>
      </c>
      <c r="B49" s="427"/>
      <c r="C49" s="350" t="e">
        <f>R49</f>
        <v>#DIV/0!</v>
      </c>
      <c r="D49" s="350"/>
      <c r="E49" s="350"/>
      <c r="F49" s="350"/>
      <c r="G49" s="350"/>
      <c r="H49" s="350"/>
      <c r="I49" s="350"/>
      <c r="J49" s="350"/>
      <c r="K49" s="673"/>
      <c r="L49" s="2492"/>
      <c r="M49" s="2485"/>
      <c r="N49" s="2485"/>
      <c r="O49" s="2485"/>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1798</v>
      </c>
      <c r="B57" s="384"/>
      <c r="C57" s="657"/>
      <c r="D57" s="657"/>
      <c r="E57" s="657"/>
      <c r="F57" s="658"/>
      <c r="G57" s="658"/>
      <c r="H57" s="657"/>
      <c r="I57" s="657"/>
      <c r="J57" s="657"/>
      <c r="K57" s="659"/>
      <c r="L57" s="885"/>
      <c r="M57" s="883"/>
      <c r="N57" s="883"/>
      <c r="O57" s="883"/>
      <c r="P57" s="2505"/>
      <c r="Q57" s="2506"/>
      <c r="R57" s="2485"/>
      <c r="S57" s="2485"/>
      <c r="T57" s="2485"/>
      <c r="U57" s="2485"/>
      <c r="V57" s="2485"/>
      <c r="W57" s="2485"/>
      <c r="X57" s="2485"/>
      <c r="Y57" s="2485"/>
      <c r="Z57" s="2485"/>
      <c r="AA57" s="2485"/>
      <c r="AB57" s="2485"/>
      <c r="AC57" s="2485"/>
    </row>
    <row r="58" spans="1:29" s="441" customFormat="1" ht="15">
      <c r="A58" s="439" t="s">
        <v>1679</v>
      </c>
      <c r="B58" s="440"/>
      <c r="C58" s="1100" t="str">
        <f>YEAR(C7)&amp;"-"&amp;MONTH(C7)</f>
        <v>2025-8</v>
      </c>
      <c r="D58" s="1101">
        <f>EDATE(C58,-1)</f>
        <v>45839</v>
      </c>
      <c r="E58" s="1101">
        <f t="shared" ref="E58:N58" si="16">EDATE(D58,-1)</f>
        <v>45809</v>
      </c>
      <c r="F58" s="1101">
        <f t="shared" si="16"/>
        <v>45778</v>
      </c>
      <c r="G58" s="1101">
        <f t="shared" si="16"/>
        <v>45748</v>
      </c>
      <c r="H58" s="1101">
        <f t="shared" si="16"/>
        <v>45717</v>
      </c>
      <c r="I58" s="1101">
        <f t="shared" si="16"/>
        <v>45689</v>
      </c>
      <c r="J58" s="1101">
        <f t="shared" si="16"/>
        <v>45658</v>
      </c>
      <c r="K58" s="1101">
        <f t="shared" si="16"/>
        <v>45627</v>
      </c>
      <c r="L58" s="1101">
        <f t="shared" si="16"/>
        <v>45597</v>
      </c>
      <c r="M58" s="1101">
        <f t="shared" si="16"/>
        <v>45566</v>
      </c>
      <c r="N58" s="1101">
        <f t="shared" si="16"/>
        <v>45536</v>
      </c>
      <c r="O58" s="1101">
        <f>EDATE(N58,-1)</f>
        <v>45505</v>
      </c>
      <c r="P58" s="2507"/>
      <c r="Q58" s="2508"/>
      <c r="R58" s="2508"/>
      <c r="S58" s="2508"/>
      <c r="T58" s="2508"/>
      <c r="U58" s="2508"/>
      <c r="V58" s="2508"/>
      <c r="W58" s="2508"/>
      <c r="X58" s="2508"/>
      <c r="Y58" s="2508"/>
      <c r="Z58" s="2508"/>
      <c r="AA58" s="2508"/>
      <c r="AB58" s="2508"/>
      <c r="AC58" s="2508"/>
    </row>
    <row r="59" spans="1:29" s="102" customFormat="1" ht="15">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0"/>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7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1" sqref="E1"/>
      <selection pane="bottomLeft" activeCell="V30" sqref="V30"/>
    </sheetView>
  </sheetViews>
  <sheetFormatPr defaultColWidth="9" defaultRowHeight="12.75"/>
  <cols>
    <col min="1" max="1" width="11.5" style="121" customWidth="1"/>
    <col min="2" max="2" width="9.25" style="24" customWidth="1"/>
    <col min="3" max="3" width="5" style="24" customWidth="1"/>
    <col min="4" max="4" width="9" style="24"/>
    <col min="5" max="5" width="8.875" style="24" customWidth="1"/>
    <col min="6" max="6" width="9" style="24"/>
    <col min="7" max="7" width="7.62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6" t="s">
        <v>2083</v>
      </c>
      <c r="C1" s="3497" t="s">
        <v>2084</v>
      </c>
      <c r="D1" s="3498"/>
      <c r="E1" s="3498"/>
      <c r="F1" s="3498"/>
      <c r="G1" s="3498"/>
      <c r="H1" s="3498"/>
      <c r="I1" s="3498"/>
      <c r="J1" s="3498"/>
      <c r="K1" s="3498"/>
      <c r="L1" s="3498"/>
      <c r="M1" s="3498"/>
      <c r="N1" s="3498"/>
      <c r="O1" s="3498"/>
      <c r="P1" s="3498"/>
      <c r="Q1" s="3498"/>
      <c r="R1" s="3498"/>
      <c r="S1" s="3499"/>
      <c r="T1" s="926" t="s">
        <v>2085</v>
      </c>
    </row>
    <row r="2" spans="1:45" s="624" customFormat="1" ht="25.5">
      <c r="A2" s="927"/>
      <c r="B2" s="621" t="s">
        <v>2086</v>
      </c>
      <c r="C2" s="14" t="str">
        <f t="shared" ref="C2:L2" si="0">C3&amp;"(含)"&amp;"-"&amp;D3</f>
        <v>0(含)-10000</v>
      </c>
      <c r="D2" s="622" t="str">
        <f t="shared" si="0"/>
        <v>10000(含)-20000</v>
      </c>
      <c r="E2" s="622" t="str">
        <f t="shared" si="0"/>
        <v>20000(含)-30000</v>
      </c>
      <c r="F2" s="622" t="str">
        <f t="shared" si="0"/>
        <v>30000(含)-40000</v>
      </c>
      <c r="G2" s="622" t="str">
        <f t="shared" si="0"/>
        <v>40000(含)-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4.25">
      <c r="A3" s="929"/>
      <c r="B3" s="625"/>
      <c r="C3" s="6">
        <v>0</v>
      </c>
      <c r="D3" s="6">
        <v>10000</v>
      </c>
      <c r="E3" s="6">
        <v>20000</v>
      </c>
      <c r="F3" s="6">
        <v>30000</v>
      </c>
      <c r="G3" s="6">
        <v>40000</v>
      </c>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5" thickBot="1">
      <c r="A4" s="930"/>
      <c r="B4" s="931"/>
      <c r="C4" s="490">
        <v>100</v>
      </c>
      <c r="D4" s="466">
        <v>99</v>
      </c>
      <c r="E4" s="466">
        <v>98</v>
      </c>
      <c r="F4" s="466">
        <v>97</v>
      </c>
      <c r="G4" s="466">
        <v>96</v>
      </c>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5" thickTop="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4"/>
      <c r="C6" s="849">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4"/>
      <c r="C8" s="849">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4"/>
      <c r="C12" s="849">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t="15" thickTop="1">
      <c r="A13" s="922"/>
      <c r="B13" s="3201" t="s">
        <v>3785</v>
      </c>
      <c r="C13" s="3199">
        <v>0</v>
      </c>
      <c r="D13" s="3199" t="s">
        <v>3778</v>
      </c>
      <c r="E13" s="3199" t="s">
        <v>3779</v>
      </c>
      <c r="F13" s="3199" t="s">
        <v>3780</v>
      </c>
      <c r="G13" s="484" t="s">
        <v>3781</v>
      </c>
      <c r="H13" s="485" t="s">
        <v>3767</v>
      </c>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5" thickBot="1">
      <c r="A14" s="922"/>
      <c r="B14" s="844"/>
      <c r="C14" s="490">
        <v>100</v>
      </c>
      <c r="D14" s="466">
        <v>98</v>
      </c>
      <c r="E14" s="466">
        <v>96</v>
      </c>
      <c r="F14" s="466">
        <v>94</v>
      </c>
      <c r="G14" s="490">
        <v>92</v>
      </c>
      <c r="H14" s="492">
        <v>90</v>
      </c>
      <c r="I14" s="845"/>
      <c r="J14" s="845"/>
      <c r="K14" s="845"/>
      <c r="L14" s="845"/>
      <c r="M14" s="948"/>
      <c r="N14" s="948"/>
      <c r="O14" s="845"/>
      <c r="P14" s="845"/>
      <c r="Q14" s="845"/>
      <c r="R14" s="845"/>
      <c r="S14" s="949"/>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3" t="s">
        <v>2092</v>
      </c>
      <c r="B17" s="1984"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5" t="s">
        <v>2094</v>
      </c>
      <c r="E19" s="1250"/>
      <c r="F19" s="1250"/>
      <c r="G19" s="1250"/>
      <c r="H19" s="993"/>
      <c r="I19" s="150"/>
      <c r="J19" s="150"/>
      <c r="K19" s="150"/>
      <c r="L19" s="150"/>
      <c r="M19" s="150"/>
      <c r="N19" s="150"/>
      <c r="O19" s="150"/>
      <c r="P19" s="150"/>
      <c r="Q19" s="150"/>
      <c r="R19" s="150"/>
      <c r="S19" s="120"/>
    </row>
    <row r="20" spans="1:45" ht="16.5" thickBot="1">
      <c r="A20" s="630" t="s">
        <v>2095</v>
      </c>
      <c r="B20" s="285">
        <f ca="1">IF(D20="——",S22,S22-F20)</f>
        <v>328551</v>
      </c>
      <c r="C20" s="150"/>
      <c r="D20" s="1986" t="s">
        <v>43</v>
      </c>
      <c r="E20" s="1251"/>
      <c r="F20" s="926" t="e">
        <f ca="1">SUMIF(INDIRECT("'"&amp;H20&amp;"'"&amp;"!A:A"),"承租人权益价值",INDIRECT("'"&amp;H20&amp;"'"&amp;"!c:c"))</f>
        <v>#REF!</v>
      </c>
      <c r="G20" s="926" t="s">
        <v>2096</v>
      </c>
      <c r="H20" s="1987"/>
      <c r="I20" s="150"/>
      <c r="J20" s="150"/>
      <c r="K20" s="150"/>
      <c r="L20" s="150"/>
      <c r="M20" s="150"/>
      <c r="N20" s="150"/>
      <c r="O20" s="150"/>
      <c r="P20" s="150"/>
      <c r="Q20" s="150"/>
      <c r="R20" s="150"/>
      <c r="S20" s="120"/>
    </row>
    <row r="21" spans="1:45" ht="15.75">
      <c r="A21" s="630" t="s">
        <v>2097</v>
      </c>
      <c r="B21" s="285">
        <f ca="1">ROUND(B20*10000/B22,0)</f>
        <v>39346</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83502.290000000008</v>
      </c>
      <c r="C22" s="3494" t="s">
        <v>27</v>
      </c>
      <c r="D22" s="3495"/>
      <c r="E22" s="3495"/>
      <c r="F22" s="3495"/>
      <c r="G22" s="3495"/>
      <c r="H22" s="3495"/>
      <c r="I22" s="3495"/>
      <c r="J22" s="3495"/>
      <c r="K22" s="3495"/>
      <c r="L22" s="3495"/>
      <c r="M22" s="3495"/>
      <c r="N22" s="3495"/>
      <c r="O22" s="3495"/>
      <c r="P22" s="3495"/>
      <c r="Q22" s="3496"/>
      <c r="R22" s="21">
        <f ca="1">ROUND(S22*10000/B22,0)</f>
        <v>39346</v>
      </c>
      <c r="S22" s="21">
        <f ca="1">SUM(S24:S10000)</f>
        <v>328551</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地下占比</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'数据-基础表'!C13</f>
        <v>16号楼A座</v>
      </c>
      <c r="B24" s="631">
        <f>'数据-基础表'!G13</f>
        <v>34499.08</v>
      </c>
      <c r="C24" s="2568">
        <v>1</v>
      </c>
      <c r="D24" s="2569"/>
      <c r="E24" s="2568">
        <v>1</v>
      </c>
      <c r="F24" s="2569"/>
      <c r="G24" s="2568">
        <v>1</v>
      </c>
      <c r="H24" s="2569"/>
      <c r="I24" s="2568">
        <v>1</v>
      </c>
      <c r="J24" s="2569"/>
      <c r="K24" s="2568">
        <v>1</v>
      </c>
      <c r="L24" s="2569" t="s">
        <v>3765</v>
      </c>
      <c r="M24" s="2568">
        <v>1</v>
      </c>
      <c r="N24" s="2569"/>
      <c r="O24" s="2568">
        <v>1</v>
      </c>
      <c r="P24" s="2569"/>
      <c r="Q24" s="2568">
        <v>1</v>
      </c>
      <c r="R24" s="631">
        <f ca="1">结果表!G20</f>
        <v>39117</v>
      </c>
      <c r="S24" s="632">
        <f t="shared" ref="S24:S54" ca="1" si="11">ROUND(R24*B24/10000,0)</f>
        <v>134950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tr">
        <f>'数据-基础表'!C14</f>
        <v>21号楼F座</v>
      </c>
      <c r="B25" s="631">
        <f>'数据-基础表'!G14</f>
        <v>23945.380000000005</v>
      </c>
      <c r="C25" s="21">
        <f>IF(B25="",1,(LOOKUP(B25,$3:$3,$4:$4)-LOOKUP($B$24,$3:$3,$4:$4)+100)/100)</f>
        <v>1.01</v>
      </c>
      <c r="D25" s="633"/>
      <c r="E25" s="21">
        <f>(SUMIF($5:$5,D25,$6:$6)-SUMIF($5:$5,$D$24,$6:$6)+100)/100</f>
        <v>1</v>
      </c>
      <c r="F25" s="633"/>
      <c r="G25" s="21">
        <f>(SUMIF($7:$7,F25,$8:$8)-SUMIF($7:$7,$F$24,$8:$8)+100)/100</f>
        <v>1</v>
      </c>
      <c r="H25" s="633"/>
      <c r="I25" s="21">
        <f>(SUMIF($9:$9,H25,$10:$10)-SUMIF($9:$9,$H$24,$10:$10)+100)/100</f>
        <v>1</v>
      </c>
      <c r="J25" s="633"/>
      <c r="K25" s="21">
        <f>(SUMIF($11:$11,J25,$12:$12)-SUMIF($11:$11,$J$24,$12:$12)+100)/100</f>
        <v>1</v>
      </c>
      <c r="L25" s="2569" t="s">
        <v>3765</v>
      </c>
      <c r="M25" s="21">
        <f>(SUMIF($13:$13,L25,$14:$14)-SUMIF($13:$13,$L$24,$14:$14)+100)/100</f>
        <v>1</v>
      </c>
      <c r="N25" s="633"/>
      <c r="O25" s="21">
        <f>(SUMIF($15:$15,N25,$16:$16)-SUMIF($15:$15,$N$24,$16:$16)+100)/100</f>
        <v>1</v>
      </c>
      <c r="P25" s="633"/>
      <c r="Q25" s="21">
        <f>(SUMIF($17:$17,P25,$18:$18)-SUMIF($17:$17,$P$24,$18:$18)+100)/100</f>
        <v>1</v>
      </c>
      <c r="R25" s="21">
        <f ca="1">IF(B25="",0,ROUND($R$24*C25*E25*G25*I25*K25*M25*O25*Q25,0))</f>
        <v>39508</v>
      </c>
      <c r="S25" s="307">
        <f t="shared" ca="1" si="11"/>
        <v>94603</v>
      </c>
    </row>
    <row r="26" spans="1:45">
      <c r="A26" s="631" t="str">
        <f>'数据-基础表'!C15</f>
        <v>22号楼H座</v>
      </c>
      <c r="B26" s="631">
        <f>'数据-基础表'!G15</f>
        <v>25057.829999999994</v>
      </c>
      <c r="C26" s="21">
        <f t="shared" ref="C26:C89" si="12">IF(B26="",1,(LOOKUP(B26,$3:$3,$4:$4)-LOOKUP($B$24,$3:$3,$4:$4)+100)/100)</f>
        <v>1.01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2569" t="s">
        <v>3765</v>
      </c>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ca="1" si="20">IF(B26="",0,ROUND($R$24*C26*E26*G26*I26*K26*M26*O26*Q26,0))</f>
        <v>39508</v>
      </c>
      <c r="S26" s="307">
        <f t="shared" ca="1" si="11"/>
        <v>98998</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1.04</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1.04</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1.04</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1.04</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1.04</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1.04</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1.04</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1.04</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1.04</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1.04</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1.04</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1.04</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1.04</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1.04</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1.04</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1.04</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1.04</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1.04</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1.04</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1.04</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1.04</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1.04</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1.04</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1.04</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1.04</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1.04</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1.04</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1.04</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1.04</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1.04</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1.04</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1.04</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1.04</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1.04</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1.04</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1.04</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1.04</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1.04</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1.04</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1.04</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1.04</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1.04</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1.04</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1.04</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1.04</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1.04</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1.04</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1.04</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1.04</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1.04</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1.04</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1.04</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1.04</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1.04</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1.04</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1.04</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1.04</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1.04</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1.04</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1.04</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1.04</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1.04</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1.04</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1.04</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1.04</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1.04</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1.04</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1.04</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1.04</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1.04</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1.04</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1.04</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1.04</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1.04</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1.04</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1.04</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1.04</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1.04</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1.04</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1.04</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1.04</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1.04</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1.04</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1.04</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1.04</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1.04</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1.04</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1.04</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1.04</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1.04</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1.04</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1.04</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1.04</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1.04</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1.04</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1.04</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1.04</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1.04</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1.04</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1.04</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1.04</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1.04</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1.04</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1.04</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1.04</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1.04</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1.04</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1.04</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1.04</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1.04</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1.04</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1.04</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1.04</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1.04</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1.04</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1.04</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1.04</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1.04</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1.04</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1.04</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1.04</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1.04</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1.04</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1.04</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1.04</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1.04</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1.04</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1.04</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1.04</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1.04</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1.04</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1.04</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1.04</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1.04</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1.04</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1.04</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1.04</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1.04</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1.04</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1.04</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1.04</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1.04</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1.04</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1.04</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1.04</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1.04</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1.04</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1.04</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1.04</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1.04</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1.04</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1.04</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1.04</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1.04</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1.04</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1.04</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1.04</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1.04</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1.04</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1.04</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1.04</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1.04</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1.04</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1.04</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1.04</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1.04</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1.04</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1.04</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1.04</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1.04</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1.04</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1.04</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1.04</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1.04</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1.04</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1.04</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1.04</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1.04</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1.04</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1.04</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1.04</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1.04</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1.04</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1.04</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1.04</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1.04</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1.04</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1.04</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1.04</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1.04</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1.04</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1.04</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1.04</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1.04</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1.04</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1.04</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1.04</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1.04</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1.04</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1.04</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1.04</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1.04</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1.04</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1.04</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1.04</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1.04</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1.04</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1.04</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1.04</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1.04</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1.04</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1.04</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1.04</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1.04</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1.04</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1.04</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1.04</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1.04</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1.04</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1.04</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1.04</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1.04</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1.04</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1.04</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1.04</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1.04</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1.04</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1.04</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1.04</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1.04</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1.04</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1.04</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1.04</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1.04</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1.04</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1.04</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1.04</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1.04</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1.04</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1.04</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1.04</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1.04</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1.04</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1.04</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1.04</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1.04</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1.04</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1.04</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1.04</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1.04</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1.04</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1.04</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1.04</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1.04</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1.04</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1.04</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1.04</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1.04</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1.04</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1.04</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1.04</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1.04</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1.04</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1.04</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1.04</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1.04</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1.04</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1.04</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1.04</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1.04</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1.04</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1.04</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1.04</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1.04</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1.04</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1.04</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1.04</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1.04</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1.04</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1.04</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1.04</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1.04</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1.04</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1.04</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1.04</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1.04</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1.04</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1.04</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1.04</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1.04</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1.04</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1.04</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1.04</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1.04</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1.04</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1.04</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1.04</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1.04</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1.04</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1.04</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1.04</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1.04</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1.04</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1.04</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1.04</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1.04</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1.04</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1.04</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1.04</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1.04</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1.04</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1.04</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1.04</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1.04</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1.04</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1.04</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1.04</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1.04</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1.04</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1.04</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1.04</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1.04</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1.04</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1.04</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1.04</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1.04</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1.04</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1.04</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1.04</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1.04</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1.04</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1.04</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1.04</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1.04</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1.04</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1.04</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1.04</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1.04</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1.04</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1.04</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1.04</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1.04</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1.04</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1.04</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1.04</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1.04</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1.04</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1.04</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1.04</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1.04</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1.04</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1.04</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1.04</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1.04</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1.04</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1.04</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1.04</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1.04</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1.04</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1.04</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1.04</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1.04</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1.04</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1.04</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1.04</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1.04</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1.04</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1.04</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1.04</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1.04</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1.04</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1.04</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1.04</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1.04</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1.04</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1.04</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1.04</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1.04</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1.04</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1.04</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1.04</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1.04</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1.04</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1.04</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1.04</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1.04</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1.04</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1.04</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1.04</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1.04</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1.04</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1.04</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1.04</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1.04</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1.04</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1.04</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1.04</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1.04</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1.04</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1.04</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1.04</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1.04</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1.04</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1.04</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1.04</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1.04</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1.04</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1.04</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1.04</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1.04</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1.04</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1.04</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1.04</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1.04</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1.04</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1.04</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1.04</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1.04</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1.04</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1.04</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1.04</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1.04</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1.04</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1.04</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1.04</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1.04</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1.04</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1.04</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1.04</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1.04</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1.04</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1.04</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1.04</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1.04</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1.04</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1.04</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1.04</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1.04</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1.04</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1.04</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1.04</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1.04</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1.04</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1.04</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1.04</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1.04</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1.04</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1.04</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1.04</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1.04</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1.04</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1.04</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1.04</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1.04</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1.04</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1.04</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1.04</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1.04</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1.04</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1.04</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1.04</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1.04</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1.04</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1.04</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1.04</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1.04</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1.04</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1.04</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1.04</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1.04</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1.04</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1.04</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1.04</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1.04</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1.04</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1.04</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1.04</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1.04</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1.04</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1.04</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1.04</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1.04</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1.04</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1.04</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1.04</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1.04</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1.04</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1.04</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1.04</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1.04</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1.04</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1.04</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1.04</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1.04</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1.04</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1.04</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1.04</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1.04</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551DF-FE6C-44B5-8C5C-236CC8F04C44}">
  <dimension ref="A1"/>
  <sheetViews>
    <sheetView workbookViewId="0">
      <selection activeCell="T30" sqref="T30"/>
    </sheetView>
  </sheetViews>
  <sheetFormatPr defaultRowHeight="13.5"/>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F97C-7CD0-4B87-9A7D-8F846D39C8E0}">
  <dimension ref="A1:O99"/>
  <sheetViews>
    <sheetView topLeftCell="A82" workbookViewId="0">
      <selection activeCell="A93" sqref="A93"/>
    </sheetView>
  </sheetViews>
  <sheetFormatPr defaultRowHeight="13.5"/>
  <cols>
    <col min="1" max="1" width="11.625" bestFit="1" customWidth="1"/>
    <col min="2" max="2" width="9.5" bestFit="1" customWidth="1"/>
    <col min="3" max="3" width="13.875" bestFit="1" customWidth="1"/>
    <col min="4" max="8" width="7.5" bestFit="1" customWidth="1"/>
    <col min="9" max="9" width="37.125" bestFit="1" customWidth="1"/>
    <col min="10" max="10" width="10.5" bestFit="1" customWidth="1"/>
    <col min="11" max="12" width="5.5" bestFit="1" customWidth="1"/>
    <col min="13" max="13" width="13.875" bestFit="1" customWidth="1"/>
    <col min="14" max="14" width="16.125" bestFit="1" customWidth="1"/>
    <col min="15" max="15" width="17.25" bestFit="1" customWidth="1"/>
  </cols>
  <sheetData>
    <row r="1" spans="1:15" ht="14.25">
      <c r="A1" s="3500" t="s">
        <v>3640</v>
      </c>
      <c r="B1" s="3500" t="s">
        <v>3641</v>
      </c>
      <c r="C1" s="3500" t="s">
        <v>3642</v>
      </c>
      <c r="D1" s="3500" t="s">
        <v>3643</v>
      </c>
      <c r="E1" s="3500" t="s">
        <v>3644</v>
      </c>
      <c r="F1" s="3500" t="s">
        <v>3645</v>
      </c>
      <c r="G1" s="3500" t="s">
        <v>3646</v>
      </c>
      <c r="H1" s="3500" t="s">
        <v>3647</v>
      </c>
      <c r="I1" s="3500" t="s">
        <v>3648</v>
      </c>
      <c r="J1" s="3500" t="s">
        <v>3649</v>
      </c>
      <c r="K1" s="3500" t="s">
        <v>3650</v>
      </c>
      <c r="L1" s="3500" t="s">
        <v>3651</v>
      </c>
      <c r="M1" s="3500" t="s">
        <v>3652</v>
      </c>
      <c r="N1" s="3500" t="s">
        <v>3653</v>
      </c>
      <c r="O1" s="3500" t="s">
        <v>3654</v>
      </c>
    </row>
    <row r="2" spans="1:15" ht="14.25">
      <c r="A2" s="3501">
        <v>45625.333831018521</v>
      </c>
      <c r="B2" s="3500" t="s">
        <v>3655</v>
      </c>
      <c r="C2" s="3500" t="s">
        <v>3655</v>
      </c>
      <c r="D2" s="3500" t="s">
        <v>3670</v>
      </c>
      <c r="E2" s="3500" t="s">
        <v>3655</v>
      </c>
      <c r="F2" s="3500" t="s">
        <v>3655</v>
      </c>
      <c r="G2" s="3500">
        <v>-2</v>
      </c>
      <c r="H2" s="3500" t="s">
        <v>3671</v>
      </c>
      <c r="I2" s="3500" t="s">
        <v>3672</v>
      </c>
      <c r="J2" s="3500" t="s">
        <v>3323</v>
      </c>
      <c r="K2" s="3500" t="s">
        <v>3659</v>
      </c>
      <c r="L2" s="3500">
        <v>1</v>
      </c>
      <c r="M2" s="3500">
        <v>16.989999999999998</v>
      </c>
      <c r="N2" s="3500">
        <v>21.2</v>
      </c>
      <c r="O2" s="3500">
        <v>12475</v>
      </c>
    </row>
    <row r="3" spans="1:15" ht="14.25">
      <c r="A3" s="3501">
        <v>45611.333831018521</v>
      </c>
      <c r="B3" s="3500" t="s">
        <v>3655</v>
      </c>
      <c r="C3" s="3500" t="s">
        <v>3655</v>
      </c>
      <c r="D3" s="3500" t="s">
        <v>3670</v>
      </c>
      <c r="E3" s="3500" t="s">
        <v>3655</v>
      </c>
      <c r="F3" s="3500" t="s">
        <v>3655</v>
      </c>
      <c r="G3" s="3500">
        <v>-1</v>
      </c>
      <c r="H3" s="3500" t="s">
        <v>3673</v>
      </c>
      <c r="I3" s="3500" t="s">
        <v>3674</v>
      </c>
      <c r="J3" s="3500" t="s">
        <v>3658</v>
      </c>
      <c r="K3" s="3500" t="s">
        <v>3659</v>
      </c>
      <c r="L3" s="3500">
        <v>1</v>
      </c>
      <c r="M3" s="3500">
        <v>35.01</v>
      </c>
      <c r="N3" s="3500">
        <v>44</v>
      </c>
      <c r="O3" s="3500">
        <v>12568</v>
      </c>
    </row>
    <row r="4" spans="1:15" ht="14.25">
      <c r="A4" s="3501">
        <v>45602.333831018521</v>
      </c>
      <c r="B4" s="3500" t="s">
        <v>3655</v>
      </c>
      <c r="C4" s="3500" t="s">
        <v>3655</v>
      </c>
      <c r="D4" s="3500" t="s">
        <v>3675</v>
      </c>
      <c r="E4" s="3500" t="s">
        <v>3655</v>
      </c>
      <c r="F4" s="3500" t="s">
        <v>3655</v>
      </c>
      <c r="G4" s="3500">
        <v>-2</v>
      </c>
      <c r="H4" s="3500" t="s">
        <v>3676</v>
      </c>
      <c r="I4" s="3500" t="s">
        <v>3677</v>
      </c>
      <c r="J4" s="3500" t="s">
        <v>3658</v>
      </c>
      <c r="K4" s="3500" t="s">
        <v>3659</v>
      </c>
      <c r="L4" s="3500">
        <v>1</v>
      </c>
      <c r="M4" s="3500">
        <v>46.43</v>
      </c>
      <c r="N4" s="3500">
        <v>16</v>
      </c>
      <c r="O4" s="3500">
        <v>3446</v>
      </c>
    </row>
    <row r="5" spans="1:15" ht="14.25">
      <c r="A5" s="3501">
        <v>45602.333831018521</v>
      </c>
      <c r="B5" s="3500" t="s">
        <v>3655</v>
      </c>
      <c r="C5" s="3500" t="s">
        <v>3655</v>
      </c>
      <c r="D5" s="3500" t="s">
        <v>3675</v>
      </c>
      <c r="E5" s="3500" t="s">
        <v>3655</v>
      </c>
      <c r="F5" s="3500" t="s">
        <v>3655</v>
      </c>
      <c r="G5" s="3500">
        <v>-3</v>
      </c>
      <c r="H5" s="3500" t="s">
        <v>3678</v>
      </c>
      <c r="I5" s="3500" t="s">
        <v>3677</v>
      </c>
      <c r="J5" s="3500" t="s">
        <v>3658</v>
      </c>
      <c r="K5" s="3500" t="s">
        <v>3659</v>
      </c>
      <c r="L5" s="3500">
        <v>1</v>
      </c>
      <c r="M5" s="3500">
        <v>46.43</v>
      </c>
      <c r="N5" s="3500">
        <v>15</v>
      </c>
      <c r="O5" s="3500">
        <v>3231</v>
      </c>
    </row>
    <row r="6" spans="1:15" ht="14.25">
      <c r="A6" s="3501">
        <v>45602.333831018521</v>
      </c>
      <c r="B6" s="3500" t="s">
        <v>3655</v>
      </c>
      <c r="C6" s="3500" t="s">
        <v>3655</v>
      </c>
      <c r="D6" s="3500" t="s">
        <v>3675</v>
      </c>
      <c r="E6" s="3500" t="s">
        <v>3655</v>
      </c>
      <c r="F6" s="3500" t="s">
        <v>3655</v>
      </c>
      <c r="G6" s="3500">
        <v>-2</v>
      </c>
      <c r="H6" s="3500" t="s">
        <v>3679</v>
      </c>
      <c r="I6" s="3500" t="s">
        <v>3677</v>
      </c>
      <c r="J6" s="3500" t="s">
        <v>3658</v>
      </c>
      <c r="K6" s="3500" t="s">
        <v>3659</v>
      </c>
      <c r="L6" s="3500">
        <v>1</v>
      </c>
      <c r="M6" s="3500">
        <v>46.43</v>
      </c>
      <c r="N6" s="3500">
        <v>16</v>
      </c>
      <c r="O6" s="3500">
        <v>3446</v>
      </c>
    </row>
    <row r="7" spans="1:15" ht="14.25">
      <c r="A7" s="3501">
        <v>45602.333831018521</v>
      </c>
      <c r="B7" s="3500" t="s">
        <v>3655</v>
      </c>
      <c r="C7" s="3500" t="s">
        <v>3655</v>
      </c>
      <c r="D7" s="3500" t="s">
        <v>3675</v>
      </c>
      <c r="E7" s="3500" t="s">
        <v>3655</v>
      </c>
      <c r="F7" s="3500" t="s">
        <v>3655</v>
      </c>
      <c r="G7" s="3500">
        <v>-2</v>
      </c>
      <c r="H7" s="3500" t="s">
        <v>3680</v>
      </c>
      <c r="I7" s="3500" t="s">
        <v>3677</v>
      </c>
      <c r="J7" s="3500" t="s">
        <v>3658</v>
      </c>
      <c r="K7" s="3500" t="s">
        <v>3659</v>
      </c>
      <c r="L7" s="3500">
        <v>1</v>
      </c>
      <c r="M7" s="3500">
        <v>46.43</v>
      </c>
      <c r="N7" s="3500">
        <v>16</v>
      </c>
      <c r="O7" s="3500">
        <v>3446</v>
      </c>
    </row>
    <row r="8" spans="1:15" ht="14.25">
      <c r="A8" s="3501">
        <v>45602.333831018521</v>
      </c>
      <c r="B8" s="3500" t="s">
        <v>3655</v>
      </c>
      <c r="C8" s="3500" t="s">
        <v>3655</v>
      </c>
      <c r="D8" s="3500" t="s">
        <v>3675</v>
      </c>
      <c r="E8" s="3500" t="s">
        <v>3655</v>
      </c>
      <c r="F8" s="3500" t="s">
        <v>3655</v>
      </c>
      <c r="G8" s="3500">
        <v>-2</v>
      </c>
      <c r="H8" s="3500" t="s">
        <v>3681</v>
      </c>
      <c r="I8" s="3500" t="s">
        <v>3677</v>
      </c>
      <c r="J8" s="3500" t="s">
        <v>3658</v>
      </c>
      <c r="K8" s="3500" t="s">
        <v>3659</v>
      </c>
      <c r="L8" s="3500">
        <v>1</v>
      </c>
      <c r="M8" s="3500">
        <v>46.43</v>
      </c>
      <c r="N8" s="3500">
        <v>16</v>
      </c>
      <c r="O8" s="3500">
        <v>3446</v>
      </c>
    </row>
    <row r="9" spans="1:15" ht="14.25">
      <c r="A9" s="3501">
        <v>45602.333831018521</v>
      </c>
      <c r="B9" s="3500" t="s">
        <v>3655</v>
      </c>
      <c r="C9" s="3500" t="s">
        <v>3655</v>
      </c>
      <c r="D9" s="3500" t="s">
        <v>3675</v>
      </c>
      <c r="E9" s="3500" t="s">
        <v>3655</v>
      </c>
      <c r="F9" s="3500" t="s">
        <v>3655</v>
      </c>
      <c r="G9" s="3500">
        <v>7</v>
      </c>
      <c r="H9" s="3500">
        <v>702</v>
      </c>
      <c r="I9" s="3500" t="s">
        <v>3677</v>
      </c>
      <c r="J9" s="3500" t="s">
        <v>21</v>
      </c>
      <c r="K9" s="3500" t="s">
        <v>3659</v>
      </c>
      <c r="L9" s="3500">
        <v>1</v>
      </c>
      <c r="M9" s="3500">
        <v>869.47</v>
      </c>
      <c r="N9" s="3500">
        <v>4043.04</v>
      </c>
      <c r="O9" s="3500">
        <v>46500</v>
      </c>
    </row>
    <row r="10" spans="1:15" ht="14.25">
      <c r="A10" s="3501">
        <v>45602.333831018521</v>
      </c>
      <c r="B10" s="3500" t="s">
        <v>3655</v>
      </c>
      <c r="C10" s="3500" t="s">
        <v>3655</v>
      </c>
      <c r="D10" s="3500" t="s">
        <v>3675</v>
      </c>
      <c r="E10" s="3500" t="s">
        <v>3655</v>
      </c>
      <c r="F10" s="3500" t="s">
        <v>3655</v>
      </c>
      <c r="G10" s="3500">
        <v>-3</v>
      </c>
      <c r="H10" s="3500" t="s">
        <v>3682</v>
      </c>
      <c r="I10" s="3500" t="s">
        <v>3677</v>
      </c>
      <c r="J10" s="3500" t="s">
        <v>3658</v>
      </c>
      <c r="K10" s="3500" t="s">
        <v>3659</v>
      </c>
      <c r="L10" s="3500">
        <v>1</v>
      </c>
      <c r="M10" s="3500">
        <v>46.43</v>
      </c>
      <c r="N10" s="3500">
        <v>15</v>
      </c>
      <c r="O10" s="3500">
        <v>3231</v>
      </c>
    </row>
    <row r="11" spans="1:15" ht="14.25">
      <c r="A11" s="3501">
        <v>45602.333831018521</v>
      </c>
      <c r="B11" s="3500" t="s">
        <v>3655</v>
      </c>
      <c r="C11" s="3500" t="s">
        <v>3655</v>
      </c>
      <c r="D11" s="3500" t="s">
        <v>3675</v>
      </c>
      <c r="E11" s="3500" t="s">
        <v>3655</v>
      </c>
      <c r="F11" s="3500" t="s">
        <v>3655</v>
      </c>
      <c r="G11" s="3500">
        <v>-3</v>
      </c>
      <c r="H11" s="3500" t="s">
        <v>3683</v>
      </c>
      <c r="I11" s="3500" t="s">
        <v>3677</v>
      </c>
      <c r="J11" s="3500" t="s">
        <v>3658</v>
      </c>
      <c r="K11" s="3500" t="s">
        <v>3659</v>
      </c>
      <c r="L11" s="3500">
        <v>1</v>
      </c>
      <c r="M11" s="3500">
        <v>46.43</v>
      </c>
      <c r="N11" s="3500">
        <v>15</v>
      </c>
      <c r="O11" s="3500">
        <v>3231</v>
      </c>
    </row>
    <row r="12" spans="1:15" ht="14.25">
      <c r="A12" s="3501">
        <v>45602.333831018521</v>
      </c>
      <c r="B12" s="3500" t="s">
        <v>3655</v>
      </c>
      <c r="C12" s="3500" t="s">
        <v>3655</v>
      </c>
      <c r="D12" s="3500" t="s">
        <v>3675</v>
      </c>
      <c r="E12" s="3500" t="s">
        <v>3655</v>
      </c>
      <c r="F12" s="3500" t="s">
        <v>3655</v>
      </c>
      <c r="G12" s="3500">
        <v>5</v>
      </c>
      <c r="H12" s="3500">
        <v>502</v>
      </c>
      <c r="I12" s="3500" t="s">
        <v>3677</v>
      </c>
      <c r="J12" s="3500" t="s">
        <v>21</v>
      </c>
      <c r="K12" s="3500" t="s">
        <v>3659</v>
      </c>
      <c r="L12" s="3500">
        <v>1</v>
      </c>
      <c r="M12" s="3500">
        <v>869.47</v>
      </c>
      <c r="N12" s="3500">
        <v>4043.04</v>
      </c>
      <c r="O12" s="3500">
        <v>46500</v>
      </c>
    </row>
    <row r="13" spans="1:15" ht="14.25">
      <c r="A13" s="3501">
        <v>45602.333831018521</v>
      </c>
      <c r="B13" s="3500" t="s">
        <v>3655</v>
      </c>
      <c r="C13" s="3500" t="s">
        <v>3655</v>
      </c>
      <c r="D13" s="3500" t="s">
        <v>3675</v>
      </c>
      <c r="E13" s="3500" t="s">
        <v>3655</v>
      </c>
      <c r="F13" s="3500" t="s">
        <v>3655</v>
      </c>
      <c r="G13" s="3500">
        <v>-3</v>
      </c>
      <c r="H13" s="3500" t="s">
        <v>3684</v>
      </c>
      <c r="I13" s="3500" t="s">
        <v>3677</v>
      </c>
      <c r="J13" s="3500" t="s">
        <v>3658</v>
      </c>
      <c r="K13" s="3500" t="s">
        <v>3659</v>
      </c>
      <c r="L13" s="3500">
        <v>1</v>
      </c>
      <c r="M13" s="3500">
        <v>46.43</v>
      </c>
      <c r="N13" s="3500">
        <v>15</v>
      </c>
      <c r="O13" s="3500">
        <v>3231</v>
      </c>
    </row>
    <row r="14" spans="1:15" ht="14.25">
      <c r="A14" s="3501">
        <v>45602.333831018521</v>
      </c>
      <c r="B14" s="3500" t="s">
        <v>3655</v>
      </c>
      <c r="C14" s="3500" t="s">
        <v>3655</v>
      </c>
      <c r="D14" s="3500" t="s">
        <v>3675</v>
      </c>
      <c r="E14" s="3500" t="s">
        <v>3655</v>
      </c>
      <c r="F14" s="3500" t="s">
        <v>3655</v>
      </c>
      <c r="G14" s="3500">
        <v>-3</v>
      </c>
      <c r="H14" s="3500" t="s">
        <v>3685</v>
      </c>
      <c r="I14" s="3500" t="s">
        <v>3677</v>
      </c>
      <c r="J14" s="3500" t="s">
        <v>3658</v>
      </c>
      <c r="K14" s="3500" t="s">
        <v>3659</v>
      </c>
      <c r="L14" s="3500">
        <v>1</v>
      </c>
      <c r="M14" s="3500">
        <v>46.43</v>
      </c>
      <c r="N14" s="3500">
        <v>15</v>
      </c>
      <c r="O14" s="3500">
        <v>3231</v>
      </c>
    </row>
    <row r="15" spans="1:15" ht="14.25">
      <c r="A15" s="3501">
        <v>45602.333831018521</v>
      </c>
      <c r="B15" s="3500" t="s">
        <v>3655</v>
      </c>
      <c r="C15" s="3500" t="s">
        <v>3655</v>
      </c>
      <c r="D15" s="3500" t="s">
        <v>3675</v>
      </c>
      <c r="E15" s="3500" t="s">
        <v>3655</v>
      </c>
      <c r="F15" s="3500" t="s">
        <v>3655</v>
      </c>
      <c r="G15" s="3500">
        <v>11</v>
      </c>
      <c r="H15" s="3500">
        <v>1101</v>
      </c>
      <c r="I15" s="3500" t="s">
        <v>3677</v>
      </c>
      <c r="J15" s="3500" t="s">
        <v>21</v>
      </c>
      <c r="K15" s="3500" t="s">
        <v>3659</v>
      </c>
      <c r="L15" s="3500">
        <v>1</v>
      </c>
      <c r="M15" s="3500">
        <v>775.66</v>
      </c>
      <c r="N15" s="3500">
        <v>3606.82</v>
      </c>
      <c r="O15" s="3500">
        <v>46500</v>
      </c>
    </row>
    <row r="16" spans="1:15" ht="14.25">
      <c r="A16" s="3501">
        <v>45602.333831018521</v>
      </c>
      <c r="B16" s="3500" t="s">
        <v>3655</v>
      </c>
      <c r="C16" s="3500" t="s">
        <v>3655</v>
      </c>
      <c r="D16" s="3500" t="s">
        <v>3675</v>
      </c>
      <c r="E16" s="3500" t="s">
        <v>3655</v>
      </c>
      <c r="F16" s="3500" t="s">
        <v>3655</v>
      </c>
      <c r="G16" s="3500">
        <v>-3</v>
      </c>
      <c r="H16" s="3500" t="s">
        <v>3686</v>
      </c>
      <c r="I16" s="3500" t="s">
        <v>3677</v>
      </c>
      <c r="J16" s="3500" t="s">
        <v>3658</v>
      </c>
      <c r="K16" s="3500" t="s">
        <v>3659</v>
      </c>
      <c r="L16" s="3500">
        <v>1</v>
      </c>
      <c r="M16" s="3500">
        <v>46.43</v>
      </c>
      <c r="N16" s="3500">
        <v>15</v>
      </c>
      <c r="O16" s="3500">
        <v>3231</v>
      </c>
    </row>
    <row r="17" spans="1:15" ht="14.25">
      <c r="A17" s="3501">
        <v>45602.333831018521</v>
      </c>
      <c r="B17" s="3500" t="s">
        <v>3655</v>
      </c>
      <c r="C17" s="3500" t="s">
        <v>3655</v>
      </c>
      <c r="D17" s="3500" t="s">
        <v>3675</v>
      </c>
      <c r="E17" s="3500" t="s">
        <v>3655</v>
      </c>
      <c r="F17" s="3500" t="s">
        <v>3655</v>
      </c>
      <c r="G17" s="3500">
        <v>-3</v>
      </c>
      <c r="H17" s="3500" t="s">
        <v>3687</v>
      </c>
      <c r="I17" s="3500" t="s">
        <v>3677</v>
      </c>
      <c r="J17" s="3500" t="s">
        <v>3658</v>
      </c>
      <c r="K17" s="3500" t="s">
        <v>3659</v>
      </c>
      <c r="L17" s="3500">
        <v>1</v>
      </c>
      <c r="M17" s="3500">
        <v>46.43</v>
      </c>
      <c r="N17" s="3500">
        <v>15</v>
      </c>
      <c r="O17" s="3500">
        <v>3231</v>
      </c>
    </row>
    <row r="18" spans="1:15" ht="14.25">
      <c r="A18" s="3501">
        <v>45602.333831018521</v>
      </c>
      <c r="B18" s="3500" t="s">
        <v>3655</v>
      </c>
      <c r="C18" s="3500" t="s">
        <v>3655</v>
      </c>
      <c r="D18" s="3500" t="s">
        <v>3675</v>
      </c>
      <c r="E18" s="3500" t="s">
        <v>3655</v>
      </c>
      <c r="F18" s="3500" t="s">
        <v>3655</v>
      </c>
      <c r="G18" s="3500">
        <v>-2</v>
      </c>
      <c r="H18" s="3500" t="s">
        <v>3688</v>
      </c>
      <c r="I18" s="3500" t="s">
        <v>3677</v>
      </c>
      <c r="J18" s="3500" t="s">
        <v>3658</v>
      </c>
      <c r="K18" s="3500" t="s">
        <v>3659</v>
      </c>
      <c r="L18" s="3500">
        <v>1</v>
      </c>
      <c r="M18" s="3500">
        <v>46.43</v>
      </c>
      <c r="N18" s="3500">
        <v>16</v>
      </c>
      <c r="O18" s="3500">
        <v>3446</v>
      </c>
    </row>
    <row r="19" spans="1:15" ht="14.25">
      <c r="A19" s="3501">
        <v>45602.333831018521</v>
      </c>
      <c r="B19" s="3500" t="s">
        <v>3655</v>
      </c>
      <c r="C19" s="3500" t="s">
        <v>3655</v>
      </c>
      <c r="D19" s="3500" t="s">
        <v>3675</v>
      </c>
      <c r="E19" s="3500" t="s">
        <v>3655</v>
      </c>
      <c r="F19" s="3500" t="s">
        <v>3655</v>
      </c>
      <c r="G19" s="3500">
        <v>-3</v>
      </c>
      <c r="H19" s="3500" t="s">
        <v>3689</v>
      </c>
      <c r="I19" s="3500" t="s">
        <v>3677</v>
      </c>
      <c r="J19" s="3500" t="s">
        <v>3658</v>
      </c>
      <c r="K19" s="3500" t="s">
        <v>3659</v>
      </c>
      <c r="L19" s="3500">
        <v>1</v>
      </c>
      <c r="M19" s="3500">
        <v>46.43</v>
      </c>
      <c r="N19" s="3500">
        <v>15</v>
      </c>
      <c r="O19" s="3500">
        <v>3231</v>
      </c>
    </row>
    <row r="20" spans="1:15" ht="14.25">
      <c r="A20" s="3501">
        <v>45602.333831018521</v>
      </c>
      <c r="B20" s="3500" t="s">
        <v>3655</v>
      </c>
      <c r="C20" s="3500" t="s">
        <v>3655</v>
      </c>
      <c r="D20" s="3500" t="s">
        <v>3675</v>
      </c>
      <c r="E20" s="3500" t="s">
        <v>3655</v>
      </c>
      <c r="F20" s="3500" t="s">
        <v>3655</v>
      </c>
      <c r="G20" s="3500">
        <v>7</v>
      </c>
      <c r="H20" s="3500">
        <v>701</v>
      </c>
      <c r="I20" s="3500" t="s">
        <v>3677</v>
      </c>
      <c r="J20" s="3500" t="s">
        <v>21</v>
      </c>
      <c r="K20" s="3500" t="s">
        <v>3659</v>
      </c>
      <c r="L20" s="3500">
        <v>1</v>
      </c>
      <c r="M20" s="3500">
        <v>775.66</v>
      </c>
      <c r="N20" s="3500">
        <v>3606.82</v>
      </c>
      <c r="O20" s="3500">
        <v>46500</v>
      </c>
    </row>
    <row r="21" spans="1:15" ht="14.25">
      <c r="A21" s="3501">
        <v>45602.333831018521</v>
      </c>
      <c r="B21" s="3500" t="s">
        <v>3655</v>
      </c>
      <c r="C21" s="3500" t="s">
        <v>3655</v>
      </c>
      <c r="D21" s="3500" t="s">
        <v>3675</v>
      </c>
      <c r="E21" s="3500" t="s">
        <v>3655</v>
      </c>
      <c r="F21" s="3500" t="s">
        <v>3655</v>
      </c>
      <c r="G21" s="3500">
        <v>-3</v>
      </c>
      <c r="H21" s="3500" t="s">
        <v>3690</v>
      </c>
      <c r="I21" s="3500" t="s">
        <v>3677</v>
      </c>
      <c r="J21" s="3500" t="s">
        <v>3658</v>
      </c>
      <c r="K21" s="3500" t="s">
        <v>3659</v>
      </c>
      <c r="L21" s="3500">
        <v>1</v>
      </c>
      <c r="M21" s="3500">
        <v>46.43</v>
      </c>
      <c r="N21" s="3500">
        <v>15</v>
      </c>
      <c r="O21" s="3500">
        <v>3231</v>
      </c>
    </row>
    <row r="22" spans="1:15" ht="14.25">
      <c r="A22" s="3501">
        <v>45602.333831018521</v>
      </c>
      <c r="B22" s="3500" t="s">
        <v>3655</v>
      </c>
      <c r="C22" s="3500" t="s">
        <v>3655</v>
      </c>
      <c r="D22" s="3500" t="s">
        <v>3675</v>
      </c>
      <c r="E22" s="3500" t="s">
        <v>3655</v>
      </c>
      <c r="F22" s="3500" t="s">
        <v>3655</v>
      </c>
      <c r="G22" s="3500">
        <v>-2</v>
      </c>
      <c r="H22" s="3500" t="s">
        <v>3691</v>
      </c>
      <c r="I22" s="3500" t="s">
        <v>3677</v>
      </c>
      <c r="J22" s="3500" t="s">
        <v>3658</v>
      </c>
      <c r="K22" s="3500" t="s">
        <v>3659</v>
      </c>
      <c r="L22" s="3500">
        <v>1</v>
      </c>
      <c r="M22" s="3500">
        <v>46.43</v>
      </c>
      <c r="N22" s="3500">
        <v>16</v>
      </c>
      <c r="O22" s="3500">
        <v>3446</v>
      </c>
    </row>
    <row r="23" spans="1:15" ht="14.25">
      <c r="A23" s="3501">
        <v>45602.333831018521</v>
      </c>
      <c r="B23" s="3500" t="s">
        <v>3655</v>
      </c>
      <c r="C23" s="3500" t="s">
        <v>3655</v>
      </c>
      <c r="D23" s="3500" t="s">
        <v>3675</v>
      </c>
      <c r="E23" s="3500" t="s">
        <v>3655</v>
      </c>
      <c r="F23" s="3500" t="s">
        <v>3655</v>
      </c>
      <c r="G23" s="3500">
        <v>6</v>
      </c>
      <c r="H23" s="3500">
        <v>602</v>
      </c>
      <c r="I23" s="3500" t="s">
        <v>3677</v>
      </c>
      <c r="J23" s="3500" t="s">
        <v>21</v>
      </c>
      <c r="K23" s="3500" t="s">
        <v>3659</v>
      </c>
      <c r="L23" s="3500">
        <v>1</v>
      </c>
      <c r="M23" s="3500">
        <v>869.47</v>
      </c>
      <c r="N23" s="3500">
        <v>4043.04</v>
      </c>
      <c r="O23" s="3500">
        <v>46500</v>
      </c>
    </row>
    <row r="24" spans="1:15" ht="14.25">
      <c r="A24" s="3501">
        <v>45602.333831018521</v>
      </c>
      <c r="B24" s="3500" t="s">
        <v>3655</v>
      </c>
      <c r="C24" s="3500" t="s">
        <v>3655</v>
      </c>
      <c r="D24" s="3500" t="s">
        <v>3675</v>
      </c>
      <c r="E24" s="3500" t="s">
        <v>3655</v>
      </c>
      <c r="F24" s="3500" t="s">
        <v>3655</v>
      </c>
      <c r="G24" s="3500">
        <v>-3</v>
      </c>
      <c r="H24" s="3500" t="s">
        <v>3692</v>
      </c>
      <c r="I24" s="3500" t="s">
        <v>3677</v>
      </c>
      <c r="J24" s="3500" t="s">
        <v>3658</v>
      </c>
      <c r="K24" s="3500" t="s">
        <v>3659</v>
      </c>
      <c r="L24" s="3500">
        <v>1</v>
      </c>
      <c r="M24" s="3500">
        <v>46.43</v>
      </c>
      <c r="N24" s="3500">
        <v>15</v>
      </c>
      <c r="O24" s="3500">
        <v>3231</v>
      </c>
    </row>
    <row r="25" spans="1:15" ht="14.25">
      <c r="A25" s="3501">
        <v>45602.333831018521</v>
      </c>
      <c r="B25" s="3500" t="s">
        <v>3655</v>
      </c>
      <c r="C25" s="3500" t="s">
        <v>3655</v>
      </c>
      <c r="D25" s="3500" t="s">
        <v>3675</v>
      </c>
      <c r="E25" s="3500" t="s">
        <v>3655</v>
      </c>
      <c r="F25" s="3500" t="s">
        <v>3655</v>
      </c>
      <c r="G25" s="3500">
        <v>-3</v>
      </c>
      <c r="H25" s="3500" t="s">
        <v>3693</v>
      </c>
      <c r="I25" s="3500" t="s">
        <v>3677</v>
      </c>
      <c r="J25" s="3500" t="s">
        <v>3658</v>
      </c>
      <c r="K25" s="3500" t="s">
        <v>3659</v>
      </c>
      <c r="L25" s="3500">
        <v>1</v>
      </c>
      <c r="M25" s="3500">
        <v>46.43</v>
      </c>
      <c r="N25" s="3500">
        <v>15</v>
      </c>
      <c r="O25" s="3500">
        <v>3231</v>
      </c>
    </row>
    <row r="26" spans="1:15" ht="14.25">
      <c r="A26" s="3501">
        <v>45602.333831018521</v>
      </c>
      <c r="B26" s="3500" t="s">
        <v>3655</v>
      </c>
      <c r="C26" s="3500" t="s">
        <v>3655</v>
      </c>
      <c r="D26" s="3500" t="s">
        <v>3675</v>
      </c>
      <c r="E26" s="3500" t="s">
        <v>3655</v>
      </c>
      <c r="F26" s="3500" t="s">
        <v>3655</v>
      </c>
      <c r="G26" s="3500">
        <v>-2</v>
      </c>
      <c r="H26" s="3500" t="s">
        <v>3694</v>
      </c>
      <c r="I26" s="3500" t="s">
        <v>3677</v>
      </c>
      <c r="J26" s="3500" t="s">
        <v>3658</v>
      </c>
      <c r="K26" s="3500" t="s">
        <v>3659</v>
      </c>
      <c r="L26" s="3500">
        <v>1</v>
      </c>
      <c r="M26" s="3500">
        <v>46.43</v>
      </c>
      <c r="N26" s="3500">
        <v>16</v>
      </c>
      <c r="O26" s="3500">
        <v>3446</v>
      </c>
    </row>
    <row r="27" spans="1:15" ht="14.25">
      <c r="A27" s="3501">
        <v>45602.333831018521</v>
      </c>
      <c r="B27" s="3500" t="s">
        <v>3655</v>
      </c>
      <c r="C27" s="3500" t="s">
        <v>3655</v>
      </c>
      <c r="D27" s="3500" t="s">
        <v>3675</v>
      </c>
      <c r="E27" s="3500" t="s">
        <v>3655</v>
      </c>
      <c r="F27" s="3500" t="s">
        <v>3655</v>
      </c>
      <c r="G27" s="3500">
        <v>-2</v>
      </c>
      <c r="H27" s="3500" t="s">
        <v>3695</v>
      </c>
      <c r="I27" s="3500" t="s">
        <v>3677</v>
      </c>
      <c r="J27" s="3500" t="s">
        <v>3658</v>
      </c>
      <c r="K27" s="3500" t="s">
        <v>3659</v>
      </c>
      <c r="L27" s="3500">
        <v>1</v>
      </c>
      <c r="M27" s="3500">
        <v>43.73</v>
      </c>
      <c r="N27" s="3500">
        <v>16</v>
      </c>
      <c r="O27" s="3500">
        <v>3659</v>
      </c>
    </row>
    <row r="28" spans="1:15" ht="14.25">
      <c r="A28" s="3501">
        <v>45602.333831018521</v>
      </c>
      <c r="B28" s="3500" t="s">
        <v>3655</v>
      </c>
      <c r="C28" s="3500" t="s">
        <v>3655</v>
      </c>
      <c r="D28" s="3500" t="s">
        <v>3675</v>
      </c>
      <c r="E28" s="3500" t="s">
        <v>3655</v>
      </c>
      <c r="F28" s="3500" t="s">
        <v>3655</v>
      </c>
      <c r="G28" s="3500">
        <v>8</v>
      </c>
      <c r="H28" s="3500">
        <v>802</v>
      </c>
      <c r="I28" s="3500" t="s">
        <v>3677</v>
      </c>
      <c r="J28" s="3500" t="s">
        <v>21</v>
      </c>
      <c r="K28" s="3500" t="s">
        <v>3659</v>
      </c>
      <c r="L28" s="3500">
        <v>1</v>
      </c>
      <c r="M28" s="3500">
        <v>869.47</v>
      </c>
      <c r="N28" s="3500">
        <v>4043.04</v>
      </c>
      <c r="O28" s="3500">
        <v>46500</v>
      </c>
    </row>
    <row r="29" spans="1:15" ht="14.25">
      <c r="A29" s="3501">
        <v>45602.333831018521</v>
      </c>
      <c r="B29" s="3500" t="s">
        <v>3655</v>
      </c>
      <c r="C29" s="3500" t="s">
        <v>3655</v>
      </c>
      <c r="D29" s="3500" t="s">
        <v>3675</v>
      </c>
      <c r="E29" s="3500" t="s">
        <v>3655</v>
      </c>
      <c r="F29" s="3500" t="s">
        <v>3655</v>
      </c>
      <c r="G29" s="3500">
        <v>9</v>
      </c>
      <c r="H29" s="3500">
        <v>902</v>
      </c>
      <c r="I29" s="3500" t="s">
        <v>3677</v>
      </c>
      <c r="J29" s="3500" t="s">
        <v>21</v>
      </c>
      <c r="K29" s="3500" t="s">
        <v>3659</v>
      </c>
      <c r="L29" s="3500">
        <v>1</v>
      </c>
      <c r="M29" s="3500">
        <v>869.47</v>
      </c>
      <c r="N29" s="3500">
        <v>4043.04</v>
      </c>
      <c r="O29" s="3500">
        <v>46500</v>
      </c>
    </row>
    <row r="30" spans="1:15" ht="14.25">
      <c r="A30" s="3501">
        <v>45602.333831018521</v>
      </c>
      <c r="B30" s="3500" t="s">
        <v>3655</v>
      </c>
      <c r="C30" s="3500" t="s">
        <v>3655</v>
      </c>
      <c r="D30" s="3500" t="s">
        <v>3675</v>
      </c>
      <c r="E30" s="3500" t="s">
        <v>3655</v>
      </c>
      <c r="F30" s="3500" t="s">
        <v>3655</v>
      </c>
      <c r="G30" s="3500">
        <v>5</v>
      </c>
      <c r="H30" s="3500">
        <v>501</v>
      </c>
      <c r="I30" s="3500" t="s">
        <v>3677</v>
      </c>
      <c r="J30" s="3500" t="s">
        <v>21</v>
      </c>
      <c r="K30" s="3500" t="s">
        <v>3659</v>
      </c>
      <c r="L30" s="3500">
        <v>1</v>
      </c>
      <c r="M30" s="3500">
        <v>775.66</v>
      </c>
      <c r="N30" s="3500">
        <v>3606.82</v>
      </c>
      <c r="O30" s="3500">
        <v>46500</v>
      </c>
    </row>
    <row r="31" spans="1:15" ht="14.25">
      <c r="A31" s="3501">
        <v>45602.333831018521</v>
      </c>
      <c r="B31" s="3500" t="s">
        <v>3655</v>
      </c>
      <c r="C31" s="3500" t="s">
        <v>3655</v>
      </c>
      <c r="D31" s="3500" t="s">
        <v>3675</v>
      </c>
      <c r="E31" s="3500" t="s">
        <v>3655</v>
      </c>
      <c r="F31" s="3500" t="s">
        <v>3655</v>
      </c>
      <c r="G31" s="3500">
        <v>-3</v>
      </c>
      <c r="H31" s="3500" t="s">
        <v>3696</v>
      </c>
      <c r="I31" s="3500" t="s">
        <v>3677</v>
      </c>
      <c r="J31" s="3500" t="s">
        <v>3658</v>
      </c>
      <c r="K31" s="3500" t="s">
        <v>3659</v>
      </c>
      <c r="L31" s="3500">
        <v>1</v>
      </c>
      <c r="M31" s="3500">
        <v>46.43</v>
      </c>
      <c r="N31" s="3500">
        <v>15</v>
      </c>
      <c r="O31" s="3500">
        <v>3231</v>
      </c>
    </row>
    <row r="32" spans="1:15" ht="14.25">
      <c r="A32" s="3501">
        <v>45602.333831018521</v>
      </c>
      <c r="B32" s="3500" t="s">
        <v>3655</v>
      </c>
      <c r="C32" s="3500" t="s">
        <v>3655</v>
      </c>
      <c r="D32" s="3500" t="s">
        <v>3675</v>
      </c>
      <c r="E32" s="3500" t="s">
        <v>3655</v>
      </c>
      <c r="F32" s="3500" t="s">
        <v>3655</v>
      </c>
      <c r="G32" s="3500">
        <v>-2</v>
      </c>
      <c r="H32" s="3500" t="s">
        <v>3697</v>
      </c>
      <c r="I32" s="3500" t="s">
        <v>3677</v>
      </c>
      <c r="J32" s="3500" t="s">
        <v>3658</v>
      </c>
      <c r="K32" s="3500" t="s">
        <v>3659</v>
      </c>
      <c r="L32" s="3500">
        <v>1</v>
      </c>
      <c r="M32" s="3500">
        <v>46.43</v>
      </c>
      <c r="N32" s="3500">
        <v>16</v>
      </c>
      <c r="O32" s="3500">
        <v>3446</v>
      </c>
    </row>
    <row r="33" spans="1:15" ht="14.25">
      <c r="A33" s="3501">
        <v>45602.333831018521</v>
      </c>
      <c r="B33" s="3500" t="s">
        <v>3655</v>
      </c>
      <c r="C33" s="3500" t="s">
        <v>3655</v>
      </c>
      <c r="D33" s="3500" t="s">
        <v>3675</v>
      </c>
      <c r="E33" s="3500" t="s">
        <v>3655</v>
      </c>
      <c r="F33" s="3500" t="s">
        <v>3655</v>
      </c>
      <c r="G33" s="3500">
        <v>-3</v>
      </c>
      <c r="H33" s="3500" t="s">
        <v>3698</v>
      </c>
      <c r="I33" s="3500" t="s">
        <v>3677</v>
      </c>
      <c r="J33" s="3500" t="s">
        <v>3658</v>
      </c>
      <c r="K33" s="3500" t="s">
        <v>3659</v>
      </c>
      <c r="L33" s="3500">
        <v>1</v>
      </c>
      <c r="M33" s="3500">
        <v>46.43</v>
      </c>
      <c r="N33" s="3500">
        <v>15</v>
      </c>
      <c r="O33" s="3500">
        <v>3231</v>
      </c>
    </row>
    <row r="34" spans="1:15" ht="14.25">
      <c r="A34" s="3501">
        <v>45602.333831018521</v>
      </c>
      <c r="B34" s="3500" t="s">
        <v>3655</v>
      </c>
      <c r="C34" s="3500" t="s">
        <v>3655</v>
      </c>
      <c r="D34" s="3500" t="s">
        <v>3675</v>
      </c>
      <c r="E34" s="3500" t="s">
        <v>3655</v>
      </c>
      <c r="F34" s="3500" t="s">
        <v>3655</v>
      </c>
      <c r="G34" s="3500">
        <v>-3</v>
      </c>
      <c r="H34" s="3500" t="s">
        <v>3699</v>
      </c>
      <c r="I34" s="3500" t="s">
        <v>3677</v>
      </c>
      <c r="J34" s="3500" t="s">
        <v>3658</v>
      </c>
      <c r="K34" s="3500" t="s">
        <v>3659</v>
      </c>
      <c r="L34" s="3500">
        <v>1</v>
      </c>
      <c r="M34" s="3500">
        <v>46.43</v>
      </c>
      <c r="N34" s="3500">
        <v>15</v>
      </c>
      <c r="O34" s="3500">
        <v>3231</v>
      </c>
    </row>
    <row r="35" spans="1:15" ht="14.25">
      <c r="A35" s="3501">
        <v>45602.333831018521</v>
      </c>
      <c r="B35" s="3500" t="s">
        <v>3655</v>
      </c>
      <c r="C35" s="3500" t="s">
        <v>3655</v>
      </c>
      <c r="D35" s="3500" t="s">
        <v>3675</v>
      </c>
      <c r="E35" s="3500" t="s">
        <v>3655</v>
      </c>
      <c r="F35" s="3500" t="s">
        <v>3655</v>
      </c>
      <c r="G35" s="3500">
        <v>-3</v>
      </c>
      <c r="H35" s="3500" t="s">
        <v>3700</v>
      </c>
      <c r="I35" s="3500" t="s">
        <v>3677</v>
      </c>
      <c r="J35" s="3500" t="s">
        <v>3658</v>
      </c>
      <c r="K35" s="3500" t="s">
        <v>3659</v>
      </c>
      <c r="L35" s="3500">
        <v>1</v>
      </c>
      <c r="M35" s="3500">
        <v>46.43</v>
      </c>
      <c r="N35" s="3500">
        <v>15</v>
      </c>
      <c r="O35" s="3500">
        <v>3231</v>
      </c>
    </row>
    <row r="36" spans="1:15" ht="14.25">
      <c r="A36" s="3501">
        <v>45602.333831018521</v>
      </c>
      <c r="B36" s="3500" t="s">
        <v>3655</v>
      </c>
      <c r="C36" s="3500" t="s">
        <v>3655</v>
      </c>
      <c r="D36" s="3500" t="s">
        <v>3675</v>
      </c>
      <c r="E36" s="3500" t="s">
        <v>3655</v>
      </c>
      <c r="F36" s="3500" t="s">
        <v>3655</v>
      </c>
      <c r="G36" s="3500">
        <v>-3</v>
      </c>
      <c r="H36" s="3500" t="s">
        <v>3701</v>
      </c>
      <c r="I36" s="3500" t="s">
        <v>3677</v>
      </c>
      <c r="J36" s="3500" t="s">
        <v>3658</v>
      </c>
      <c r="K36" s="3500" t="s">
        <v>3659</v>
      </c>
      <c r="L36" s="3500">
        <v>1</v>
      </c>
      <c r="M36" s="3500">
        <v>46.43</v>
      </c>
      <c r="N36" s="3500">
        <v>15</v>
      </c>
      <c r="O36" s="3500">
        <v>3231</v>
      </c>
    </row>
    <row r="37" spans="1:15" ht="14.25">
      <c r="A37" s="3501">
        <v>45602.333831018521</v>
      </c>
      <c r="B37" s="3500" t="s">
        <v>3655</v>
      </c>
      <c r="C37" s="3500" t="s">
        <v>3655</v>
      </c>
      <c r="D37" s="3500" t="s">
        <v>3675</v>
      </c>
      <c r="E37" s="3500" t="s">
        <v>3655</v>
      </c>
      <c r="F37" s="3500" t="s">
        <v>3655</v>
      </c>
      <c r="G37" s="3500">
        <v>-3</v>
      </c>
      <c r="H37" s="3500" t="s">
        <v>3702</v>
      </c>
      <c r="I37" s="3500" t="s">
        <v>3677</v>
      </c>
      <c r="J37" s="3500" t="s">
        <v>3658</v>
      </c>
      <c r="K37" s="3500" t="s">
        <v>3659</v>
      </c>
      <c r="L37" s="3500">
        <v>1</v>
      </c>
      <c r="M37" s="3500">
        <v>46.43</v>
      </c>
      <c r="N37" s="3500">
        <v>15</v>
      </c>
      <c r="O37" s="3500">
        <v>3231</v>
      </c>
    </row>
    <row r="38" spans="1:15" ht="14.25">
      <c r="A38" s="3501">
        <v>45602.333831018521</v>
      </c>
      <c r="B38" s="3500" t="s">
        <v>3655</v>
      </c>
      <c r="C38" s="3500" t="s">
        <v>3655</v>
      </c>
      <c r="D38" s="3500" t="s">
        <v>3675</v>
      </c>
      <c r="E38" s="3500" t="s">
        <v>3655</v>
      </c>
      <c r="F38" s="3500" t="s">
        <v>3655</v>
      </c>
      <c r="G38" s="3500">
        <v>9</v>
      </c>
      <c r="H38" s="3500">
        <v>901</v>
      </c>
      <c r="I38" s="3500" t="s">
        <v>3677</v>
      </c>
      <c r="J38" s="3500" t="s">
        <v>21</v>
      </c>
      <c r="K38" s="3500" t="s">
        <v>3659</v>
      </c>
      <c r="L38" s="3500">
        <v>1</v>
      </c>
      <c r="M38" s="3500">
        <v>775.66</v>
      </c>
      <c r="N38" s="3500">
        <v>3606.82</v>
      </c>
      <c r="O38" s="3500">
        <v>46500</v>
      </c>
    </row>
    <row r="39" spans="1:15" ht="14.25">
      <c r="A39" s="3501">
        <v>45602.333831018521</v>
      </c>
      <c r="B39" s="3500" t="s">
        <v>3655</v>
      </c>
      <c r="C39" s="3500" t="s">
        <v>3655</v>
      </c>
      <c r="D39" s="3500" t="s">
        <v>3675</v>
      </c>
      <c r="E39" s="3500" t="s">
        <v>3655</v>
      </c>
      <c r="F39" s="3500" t="s">
        <v>3655</v>
      </c>
      <c r="G39" s="3500">
        <v>-2</v>
      </c>
      <c r="H39" s="3500" t="s">
        <v>3703</v>
      </c>
      <c r="I39" s="3500" t="s">
        <v>3677</v>
      </c>
      <c r="J39" s="3500" t="s">
        <v>3658</v>
      </c>
      <c r="K39" s="3500" t="s">
        <v>3659</v>
      </c>
      <c r="L39" s="3500">
        <v>1</v>
      </c>
      <c r="M39" s="3500">
        <v>46.43</v>
      </c>
      <c r="N39" s="3500">
        <v>16</v>
      </c>
      <c r="O39" s="3500">
        <v>3446</v>
      </c>
    </row>
    <row r="40" spans="1:15" ht="14.25">
      <c r="A40" s="3501">
        <v>45602.333831018521</v>
      </c>
      <c r="B40" s="3500" t="s">
        <v>3655</v>
      </c>
      <c r="C40" s="3500" t="s">
        <v>3655</v>
      </c>
      <c r="D40" s="3500" t="s">
        <v>3675</v>
      </c>
      <c r="E40" s="3500" t="s">
        <v>3655</v>
      </c>
      <c r="F40" s="3500" t="s">
        <v>3655</v>
      </c>
      <c r="G40" s="3500">
        <v>-2</v>
      </c>
      <c r="H40" s="3500" t="s">
        <v>3704</v>
      </c>
      <c r="I40" s="3500" t="s">
        <v>3677</v>
      </c>
      <c r="J40" s="3500" t="s">
        <v>3658</v>
      </c>
      <c r="K40" s="3500" t="s">
        <v>3659</v>
      </c>
      <c r="L40" s="3500">
        <v>1</v>
      </c>
      <c r="M40" s="3500">
        <v>46.43</v>
      </c>
      <c r="N40" s="3500">
        <v>16</v>
      </c>
      <c r="O40" s="3500">
        <v>3446</v>
      </c>
    </row>
    <row r="41" spans="1:15" ht="14.25">
      <c r="A41" s="3501">
        <v>45602.333831018521</v>
      </c>
      <c r="B41" s="3500" t="s">
        <v>3655</v>
      </c>
      <c r="C41" s="3500" t="s">
        <v>3655</v>
      </c>
      <c r="D41" s="3500" t="s">
        <v>3675</v>
      </c>
      <c r="E41" s="3500" t="s">
        <v>3655</v>
      </c>
      <c r="F41" s="3500" t="s">
        <v>3655</v>
      </c>
      <c r="G41" s="3500">
        <v>-3</v>
      </c>
      <c r="H41" s="3500" t="s">
        <v>3705</v>
      </c>
      <c r="I41" s="3500" t="s">
        <v>3677</v>
      </c>
      <c r="J41" s="3500" t="s">
        <v>3658</v>
      </c>
      <c r="K41" s="3500" t="s">
        <v>3659</v>
      </c>
      <c r="L41" s="3500">
        <v>1</v>
      </c>
      <c r="M41" s="3500">
        <v>46.43</v>
      </c>
      <c r="N41" s="3500">
        <v>15</v>
      </c>
      <c r="O41" s="3500">
        <v>3231</v>
      </c>
    </row>
    <row r="42" spans="1:15" ht="14.25">
      <c r="A42" s="3501">
        <v>45602.333831018521</v>
      </c>
      <c r="B42" s="3500" t="s">
        <v>3655</v>
      </c>
      <c r="C42" s="3500" t="s">
        <v>3655</v>
      </c>
      <c r="D42" s="3500" t="s">
        <v>3675</v>
      </c>
      <c r="E42" s="3500" t="s">
        <v>3655</v>
      </c>
      <c r="F42" s="3500" t="s">
        <v>3655</v>
      </c>
      <c r="G42" s="3500">
        <v>-3</v>
      </c>
      <c r="H42" s="3500" t="s">
        <v>3706</v>
      </c>
      <c r="I42" s="3500" t="s">
        <v>3677</v>
      </c>
      <c r="J42" s="3500" t="s">
        <v>3658</v>
      </c>
      <c r="K42" s="3500" t="s">
        <v>3659</v>
      </c>
      <c r="L42" s="3500">
        <v>1</v>
      </c>
      <c r="M42" s="3500">
        <v>46.43</v>
      </c>
      <c r="N42" s="3500">
        <v>15</v>
      </c>
      <c r="O42" s="3500">
        <v>3231</v>
      </c>
    </row>
    <row r="43" spans="1:15" ht="14.25">
      <c r="A43" s="3501">
        <v>45602.333831018521</v>
      </c>
      <c r="B43" s="3500" t="s">
        <v>3655</v>
      </c>
      <c r="C43" s="3500" t="s">
        <v>3655</v>
      </c>
      <c r="D43" s="3500" t="s">
        <v>3675</v>
      </c>
      <c r="E43" s="3500" t="s">
        <v>3655</v>
      </c>
      <c r="F43" s="3500" t="s">
        <v>3655</v>
      </c>
      <c r="G43" s="3500">
        <v>-3</v>
      </c>
      <c r="H43" s="3500" t="s">
        <v>3707</v>
      </c>
      <c r="I43" s="3500" t="s">
        <v>3677</v>
      </c>
      <c r="J43" s="3500" t="s">
        <v>3658</v>
      </c>
      <c r="K43" s="3500" t="s">
        <v>3659</v>
      </c>
      <c r="L43" s="3500">
        <v>1</v>
      </c>
      <c r="M43" s="3500">
        <v>46.43</v>
      </c>
      <c r="N43" s="3500">
        <v>16</v>
      </c>
      <c r="O43" s="3500">
        <v>3446</v>
      </c>
    </row>
    <row r="44" spans="1:15" ht="14.25">
      <c r="A44" s="3501">
        <v>45602.333831018521</v>
      </c>
      <c r="B44" s="3500" t="s">
        <v>3655</v>
      </c>
      <c r="C44" s="3500" t="s">
        <v>3655</v>
      </c>
      <c r="D44" s="3500" t="s">
        <v>3675</v>
      </c>
      <c r="E44" s="3500" t="s">
        <v>3655</v>
      </c>
      <c r="F44" s="3500" t="s">
        <v>3655</v>
      </c>
      <c r="G44" s="3500">
        <v>-2</v>
      </c>
      <c r="H44" s="3500" t="s">
        <v>3708</v>
      </c>
      <c r="I44" s="3500" t="s">
        <v>3677</v>
      </c>
      <c r="J44" s="3500" t="s">
        <v>3658</v>
      </c>
      <c r="K44" s="3500" t="s">
        <v>3659</v>
      </c>
      <c r="L44" s="3500">
        <v>1</v>
      </c>
      <c r="M44" s="3500">
        <v>46.43</v>
      </c>
      <c r="N44" s="3500">
        <v>16</v>
      </c>
      <c r="O44" s="3500">
        <v>3446</v>
      </c>
    </row>
    <row r="45" spans="1:15" ht="14.25">
      <c r="A45" s="3501">
        <v>45602.333831018521</v>
      </c>
      <c r="B45" s="3500" t="s">
        <v>3655</v>
      </c>
      <c r="C45" s="3500" t="s">
        <v>3655</v>
      </c>
      <c r="D45" s="3500" t="s">
        <v>3675</v>
      </c>
      <c r="E45" s="3500" t="s">
        <v>3655</v>
      </c>
      <c r="F45" s="3500" t="s">
        <v>3655</v>
      </c>
      <c r="G45" s="3500">
        <v>3</v>
      </c>
      <c r="H45" s="3500">
        <v>302</v>
      </c>
      <c r="I45" s="3500" t="s">
        <v>3677</v>
      </c>
      <c r="J45" s="3500" t="s">
        <v>21</v>
      </c>
      <c r="K45" s="3500" t="s">
        <v>3659</v>
      </c>
      <c r="L45" s="3500">
        <v>1</v>
      </c>
      <c r="M45" s="3500">
        <v>869.47</v>
      </c>
      <c r="N45" s="3500">
        <v>4043.04</v>
      </c>
      <c r="O45" s="3500">
        <v>46500</v>
      </c>
    </row>
    <row r="46" spans="1:15" ht="14.25">
      <c r="A46" s="3501">
        <v>45602.333831018521</v>
      </c>
      <c r="B46" s="3500" t="s">
        <v>3655</v>
      </c>
      <c r="C46" s="3500" t="s">
        <v>3655</v>
      </c>
      <c r="D46" s="3500" t="s">
        <v>3675</v>
      </c>
      <c r="E46" s="3500" t="s">
        <v>3655</v>
      </c>
      <c r="F46" s="3500" t="s">
        <v>3655</v>
      </c>
      <c r="G46" s="3500">
        <v>-1</v>
      </c>
      <c r="H46" s="3500">
        <v>-102</v>
      </c>
      <c r="I46" s="3500" t="s">
        <v>3677</v>
      </c>
      <c r="J46" s="3500" t="s">
        <v>673</v>
      </c>
      <c r="K46" s="3500" t="s">
        <v>3659</v>
      </c>
      <c r="L46" s="3500">
        <v>1</v>
      </c>
      <c r="M46" s="3500">
        <v>22.23</v>
      </c>
      <c r="N46" s="3500">
        <v>33.35</v>
      </c>
      <c r="O46" s="3500">
        <v>15000</v>
      </c>
    </row>
    <row r="47" spans="1:15" ht="14.25">
      <c r="A47" s="3501">
        <v>45602.333831018521</v>
      </c>
      <c r="B47" s="3500" t="s">
        <v>3655</v>
      </c>
      <c r="C47" s="3500" t="s">
        <v>3655</v>
      </c>
      <c r="D47" s="3500" t="s">
        <v>3675</v>
      </c>
      <c r="E47" s="3500" t="s">
        <v>3655</v>
      </c>
      <c r="F47" s="3500" t="s">
        <v>3655</v>
      </c>
      <c r="G47" s="3500">
        <v>-3</v>
      </c>
      <c r="H47" s="3500" t="s">
        <v>3709</v>
      </c>
      <c r="I47" s="3500" t="s">
        <v>3677</v>
      </c>
      <c r="J47" s="3500" t="s">
        <v>3658</v>
      </c>
      <c r="K47" s="3500" t="s">
        <v>3659</v>
      </c>
      <c r="L47" s="3500">
        <v>1</v>
      </c>
      <c r="M47" s="3500">
        <v>46.43</v>
      </c>
      <c r="N47" s="3500">
        <v>15</v>
      </c>
      <c r="O47" s="3500">
        <v>3231</v>
      </c>
    </row>
    <row r="48" spans="1:15" ht="14.25">
      <c r="A48" s="3501">
        <v>45602.333831018521</v>
      </c>
      <c r="B48" s="3500" t="s">
        <v>3655</v>
      </c>
      <c r="C48" s="3500" t="s">
        <v>3655</v>
      </c>
      <c r="D48" s="3500" t="s">
        <v>3675</v>
      </c>
      <c r="E48" s="3500" t="s">
        <v>3655</v>
      </c>
      <c r="F48" s="3500" t="s">
        <v>3655</v>
      </c>
      <c r="G48" s="3500">
        <v>-3</v>
      </c>
      <c r="H48" s="3500" t="s">
        <v>3710</v>
      </c>
      <c r="I48" s="3500" t="s">
        <v>3677</v>
      </c>
      <c r="J48" s="3500" t="s">
        <v>3658</v>
      </c>
      <c r="K48" s="3500" t="s">
        <v>3659</v>
      </c>
      <c r="L48" s="3500">
        <v>1</v>
      </c>
      <c r="M48" s="3500">
        <v>46.43</v>
      </c>
      <c r="N48" s="3500">
        <v>15</v>
      </c>
      <c r="O48" s="3500">
        <v>3231</v>
      </c>
    </row>
    <row r="49" spans="1:15" ht="14.25">
      <c r="A49" s="3501">
        <v>45602.333831018521</v>
      </c>
      <c r="B49" s="3500" t="s">
        <v>3655</v>
      </c>
      <c r="C49" s="3500" t="s">
        <v>3655</v>
      </c>
      <c r="D49" s="3500" t="s">
        <v>3675</v>
      </c>
      <c r="E49" s="3500" t="s">
        <v>3655</v>
      </c>
      <c r="F49" s="3500" t="s">
        <v>3655</v>
      </c>
      <c r="G49" s="3500">
        <v>-3</v>
      </c>
      <c r="H49" s="3500" t="s">
        <v>3711</v>
      </c>
      <c r="I49" s="3500" t="s">
        <v>3677</v>
      </c>
      <c r="J49" s="3500" t="s">
        <v>3658</v>
      </c>
      <c r="K49" s="3500" t="s">
        <v>3659</v>
      </c>
      <c r="L49" s="3500">
        <v>1</v>
      </c>
      <c r="M49" s="3500">
        <v>46.43</v>
      </c>
      <c r="N49" s="3500">
        <v>15</v>
      </c>
      <c r="O49" s="3500">
        <v>3231</v>
      </c>
    </row>
    <row r="50" spans="1:15" ht="14.25">
      <c r="A50" s="3501">
        <v>45602.333831018521</v>
      </c>
      <c r="B50" s="3500" t="s">
        <v>3655</v>
      </c>
      <c r="C50" s="3500" t="s">
        <v>3655</v>
      </c>
      <c r="D50" s="3500" t="s">
        <v>3675</v>
      </c>
      <c r="E50" s="3500" t="s">
        <v>3655</v>
      </c>
      <c r="F50" s="3500" t="s">
        <v>3655</v>
      </c>
      <c r="G50" s="3500">
        <v>3</v>
      </c>
      <c r="H50" s="3500">
        <v>301</v>
      </c>
      <c r="I50" s="3500" t="s">
        <v>3677</v>
      </c>
      <c r="J50" s="3500" t="s">
        <v>21</v>
      </c>
      <c r="K50" s="3500" t="s">
        <v>3659</v>
      </c>
      <c r="L50" s="3500">
        <v>1</v>
      </c>
      <c r="M50" s="3500">
        <v>775.66</v>
      </c>
      <c r="N50" s="3500">
        <v>3606.82</v>
      </c>
      <c r="O50" s="3500">
        <v>46500</v>
      </c>
    </row>
    <row r="51" spans="1:15" ht="14.25">
      <c r="A51" s="3501">
        <v>45602.333831018521</v>
      </c>
      <c r="B51" s="3500" t="s">
        <v>3655</v>
      </c>
      <c r="C51" s="3500" t="s">
        <v>3655</v>
      </c>
      <c r="D51" s="3500" t="s">
        <v>3675</v>
      </c>
      <c r="E51" s="3500" t="s">
        <v>3655</v>
      </c>
      <c r="F51" s="3500" t="s">
        <v>3655</v>
      </c>
      <c r="G51" s="3500">
        <v>-3</v>
      </c>
      <c r="H51" s="3500" t="s">
        <v>3712</v>
      </c>
      <c r="I51" s="3500" t="s">
        <v>3677</v>
      </c>
      <c r="J51" s="3500" t="s">
        <v>3658</v>
      </c>
      <c r="K51" s="3500" t="s">
        <v>3659</v>
      </c>
      <c r="L51" s="3500">
        <v>1</v>
      </c>
      <c r="M51" s="3500">
        <v>46.43</v>
      </c>
      <c r="N51" s="3500">
        <v>15</v>
      </c>
      <c r="O51" s="3500">
        <v>3231</v>
      </c>
    </row>
    <row r="52" spans="1:15" ht="14.25">
      <c r="A52" s="3501">
        <v>45602.333831018521</v>
      </c>
      <c r="B52" s="3500" t="s">
        <v>3655</v>
      </c>
      <c r="C52" s="3500" t="s">
        <v>3655</v>
      </c>
      <c r="D52" s="3500" t="s">
        <v>3675</v>
      </c>
      <c r="E52" s="3500" t="s">
        <v>3655</v>
      </c>
      <c r="F52" s="3500" t="s">
        <v>3655</v>
      </c>
      <c r="G52" s="3500">
        <v>4</v>
      </c>
      <c r="H52" s="3500">
        <v>402</v>
      </c>
      <c r="I52" s="3500" t="s">
        <v>3677</v>
      </c>
      <c r="J52" s="3500" t="s">
        <v>21</v>
      </c>
      <c r="K52" s="3500" t="s">
        <v>3659</v>
      </c>
      <c r="L52" s="3500">
        <v>1</v>
      </c>
      <c r="M52" s="3500">
        <v>869.47</v>
      </c>
      <c r="N52" s="3500">
        <v>4043.04</v>
      </c>
      <c r="O52" s="3500">
        <v>46500</v>
      </c>
    </row>
    <row r="53" spans="1:15" ht="14.25">
      <c r="A53" s="3501">
        <v>45602.333831018521</v>
      </c>
      <c r="B53" s="3500" t="s">
        <v>3655</v>
      </c>
      <c r="C53" s="3500" t="s">
        <v>3655</v>
      </c>
      <c r="D53" s="3500" t="s">
        <v>3675</v>
      </c>
      <c r="E53" s="3500" t="s">
        <v>3655</v>
      </c>
      <c r="F53" s="3500" t="s">
        <v>3655</v>
      </c>
      <c r="G53" s="3500">
        <v>8</v>
      </c>
      <c r="H53" s="3500">
        <v>801</v>
      </c>
      <c r="I53" s="3500" t="s">
        <v>3677</v>
      </c>
      <c r="J53" s="3500" t="s">
        <v>21</v>
      </c>
      <c r="K53" s="3500" t="s">
        <v>3659</v>
      </c>
      <c r="L53" s="3500">
        <v>1</v>
      </c>
      <c r="M53" s="3500">
        <v>775.66</v>
      </c>
      <c r="N53" s="3500">
        <v>3606.82</v>
      </c>
      <c r="O53" s="3500">
        <v>46500</v>
      </c>
    </row>
    <row r="54" spans="1:15" ht="14.25">
      <c r="A54" s="3501">
        <v>45602.333831018521</v>
      </c>
      <c r="B54" s="3500" t="s">
        <v>3655</v>
      </c>
      <c r="C54" s="3500" t="s">
        <v>3655</v>
      </c>
      <c r="D54" s="3500" t="s">
        <v>3675</v>
      </c>
      <c r="E54" s="3500" t="s">
        <v>3655</v>
      </c>
      <c r="F54" s="3500" t="s">
        <v>3655</v>
      </c>
      <c r="G54" s="3500">
        <v>-3</v>
      </c>
      <c r="H54" s="3500" t="s">
        <v>3713</v>
      </c>
      <c r="I54" s="3500" t="s">
        <v>3677</v>
      </c>
      <c r="J54" s="3500" t="s">
        <v>3658</v>
      </c>
      <c r="K54" s="3500" t="s">
        <v>3659</v>
      </c>
      <c r="L54" s="3500">
        <v>1</v>
      </c>
      <c r="M54" s="3500">
        <v>46.43</v>
      </c>
      <c r="N54" s="3500">
        <v>15</v>
      </c>
      <c r="O54" s="3500">
        <v>3231</v>
      </c>
    </row>
    <row r="55" spans="1:15" ht="14.25">
      <c r="A55" s="3501">
        <v>45602.333831018521</v>
      </c>
      <c r="B55" s="3500" t="s">
        <v>3655</v>
      </c>
      <c r="C55" s="3500" t="s">
        <v>3655</v>
      </c>
      <c r="D55" s="3500" t="s">
        <v>3675</v>
      </c>
      <c r="E55" s="3500" t="s">
        <v>3655</v>
      </c>
      <c r="F55" s="3500" t="s">
        <v>3655</v>
      </c>
      <c r="G55" s="3500">
        <v>-2</v>
      </c>
      <c r="H55" s="3500" t="s">
        <v>3714</v>
      </c>
      <c r="I55" s="3500" t="s">
        <v>3677</v>
      </c>
      <c r="J55" s="3500" t="s">
        <v>3658</v>
      </c>
      <c r="K55" s="3500" t="s">
        <v>3659</v>
      </c>
      <c r="L55" s="3500">
        <v>1</v>
      </c>
      <c r="M55" s="3500">
        <v>46.43</v>
      </c>
      <c r="N55" s="3500">
        <v>16</v>
      </c>
      <c r="O55" s="3500">
        <v>3446</v>
      </c>
    </row>
    <row r="56" spans="1:15" ht="14.25">
      <c r="A56" s="3501">
        <v>45602.333831018521</v>
      </c>
      <c r="B56" s="3500" t="s">
        <v>3655</v>
      </c>
      <c r="C56" s="3500" t="s">
        <v>3655</v>
      </c>
      <c r="D56" s="3500" t="s">
        <v>3675</v>
      </c>
      <c r="E56" s="3500" t="s">
        <v>3655</v>
      </c>
      <c r="F56" s="3500" t="s">
        <v>3655</v>
      </c>
      <c r="G56" s="3500">
        <v>-3</v>
      </c>
      <c r="H56" s="3500" t="s">
        <v>3715</v>
      </c>
      <c r="I56" s="3500" t="s">
        <v>3677</v>
      </c>
      <c r="J56" s="3500" t="s">
        <v>3658</v>
      </c>
      <c r="K56" s="3500" t="s">
        <v>3659</v>
      </c>
      <c r="L56" s="3500">
        <v>1</v>
      </c>
      <c r="M56" s="3500">
        <v>46.43</v>
      </c>
      <c r="N56" s="3500">
        <v>16</v>
      </c>
      <c r="O56" s="3500">
        <v>3446</v>
      </c>
    </row>
    <row r="57" spans="1:15" ht="14.25">
      <c r="A57" s="3501">
        <v>45602.333831018521</v>
      </c>
      <c r="B57" s="3500" t="s">
        <v>3655</v>
      </c>
      <c r="C57" s="3500" t="s">
        <v>3655</v>
      </c>
      <c r="D57" s="3500" t="s">
        <v>3675</v>
      </c>
      <c r="E57" s="3500" t="s">
        <v>3655</v>
      </c>
      <c r="F57" s="3500" t="s">
        <v>3655</v>
      </c>
      <c r="G57" s="3500">
        <v>-3</v>
      </c>
      <c r="H57" s="3500" t="s">
        <v>3716</v>
      </c>
      <c r="I57" s="3500" t="s">
        <v>3677</v>
      </c>
      <c r="J57" s="3500" t="s">
        <v>3658</v>
      </c>
      <c r="K57" s="3500" t="s">
        <v>3659</v>
      </c>
      <c r="L57" s="3500">
        <v>1</v>
      </c>
      <c r="M57" s="3500">
        <v>46.43</v>
      </c>
      <c r="N57" s="3500">
        <v>15</v>
      </c>
      <c r="O57" s="3500">
        <v>3231</v>
      </c>
    </row>
    <row r="58" spans="1:15" ht="14.25">
      <c r="A58" s="3501">
        <v>45602.333831018521</v>
      </c>
      <c r="B58" s="3500" t="s">
        <v>3655</v>
      </c>
      <c r="C58" s="3500" t="s">
        <v>3655</v>
      </c>
      <c r="D58" s="3500" t="s">
        <v>3675</v>
      </c>
      <c r="E58" s="3500" t="s">
        <v>3655</v>
      </c>
      <c r="F58" s="3500" t="s">
        <v>3655</v>
      </c>
      <c r="G58" s="3500">
        <v>11</v>
      </c>
      <c r="H58" s="3500">
        <v>1102</v>
      </c>
      <c r="I58" s="3500" t="s">
        <v>3677</v>
      </c>
      <c r="J58" s="3500" t="s">
        <v>21</v>
      </c>
      <c r="K58" s="3500" t="s">
        <v>3659</v>
      </c>
      <c r="L58" s="3500">
        <v>1</v>
      </c>
      <c r="M58" s="3500">
        <v>869.47</v>
      </c>
      <c r="N58" s="3500">
        <v>4043.04</v>
      </c>
      <c r="O58" s="3500">
        <v>46500</v>
      </c>
    </row>
    <row r="59" spans="1:15" ht="14.25">
      <c r="A59" s="3501">
        <v>45602.333831018521</v>
      </c>
      <c r="B59" s="3500" t="s">
        <v>3655</v>
      </c>
      <c r="C59" s="3500" t="s">
        <v>3655</v>
      </c>
      <c r="D59" s="3500" t="s">
        <v>3675</v>
      </c>
      <c r="E59" s="3500" t="s">
        <v>3655</v>
      </c>
      <c r="F59" s="3500" t="s">
        <v>3655</v>
      </c>
      <c r="G59" s="3500">
        <v>-2</v>
      </c>
      <c r="H59" s="3500" t="s">
        <v>3717</v>
      </c>
      <c r="I59" s="3500" t="s">
        <v>3677</v>
      </c>
      <c r="J59" s="3500" t="s">
        <v>3658</v>
      </c>
      <c r="K59" s="3500" t="s">
        <v>3659</v>
      </c>
      <c r="L59" s="3500">
        <v>1</v>
      </c>
      <c r="M59" s="3500">
        <v>46.43</v>
      </c>
      <c r="N59" s="3500">
        <v>16</v>
      </c>
      <c r="O59" s="3500">
        <v>3446</v>
      </c>
    </row>
    <row r="60" spans="1:15" ht="14.25">
      <c r="A60" s="3501">
        <v>45602.333831018521</v>
      </c>
      <c r="B60" s="3500" t="s">
        <v>3655</v>
      </c>
      <c r="C60" s="3500" t="s">
        <v>3655</v>
      </c>
      <c r="D60" s="3500" t="s">
        <v>3675</v>
      </c>
      <c r="E60" s="3500" t="s">
        <v>3655</v>
      </c>
      <c r="F60" s="3500" t="s">
        <v>3655</v>
      </c>
      <c r="G60" s="3500">
        <v>-2</v>
      </c>
      <c r="H60" s="3500" t="s">
        <v>3718</v>
      </c>
      <c r="I60" s="3500" t="s">
        <v>3677</v>
      </c>
      <c r="J60" s="3500" t="s">
        <v>3658</v>
      </c>
      <c r="K60" s="3500" t="s">
        <v>3659</v>
      </c>
      <c r="L60" s="3500">
        <v>1</v>
      </c>
      <c r="M60" s="3500">
        <v>46.43</v>
      </c>
      <c r="N60" s="3500">
        <v>14.91</v>
      </c>
      <c r="O60" s="3500">
        <v>3210</v>
      </c>
    </row>
    <row r="61" spans="1:15" ht="14.25">
      <c r="A61" s="3501">
        <v>45602.333831018521</v>
      </c>
      <c r="B61" s="3500" t="s">
        <v>3655</v>
      </c>
      <c r="C61" s="3500" t="s">
        <v>3655</v>
      </c>
      <c r="D61" s="3500" t="s">
        <v>3675</v>
      </c>
      <c r="E61" s="3500" t="s">
        <v>3655</v>
      </c>
      <c r="F61" s="3500" t="s">
        <v>3655</v>
      </c>
      <c r="G61" s="3500">
        <v>-3</v>
      </c>
      <c r="H61" s="3500" t="s">
        <v>3719</v>
      </c>
      <c r="I61" s="3500" t="s">
        <v>3677</v>
      </c>
      <c r="J61" s="3500" t="s">
        <v>3658</v>
      </c>
      <c r="K61" s="3500" t="s">
        <v>3659</v>
      </c>
      <c r="L61" s="3500">
        <v>1</v>
      </c>
      <c r="M61" s="3500">
        <v>46.43</v>
      </c>
      <c r="N61" s="3500">
        <v>15</v>
      </c>
      <c r="O61" s="3500">
        <v>3231</v>
      </c>
    </row>
    <row r="62" spans="1:15" ht="14.25">
      <c r="A62" s="3501">
        <v>45602.333831018521</v>
      </c>
      <c r="B62" s="3500" t="s">
        <v>3655</v>
      </c>
      <c r="C62" s="3500" t="s">
        <v>3655</v>
      </c>
      <c r="D62" s="3500" t="s">
        <v>3675</v>
      </c>
      <c r="E62" s="3500" t="s">
        <v>3655</v>
      </c>
      <c r="F62" s="3500" t="s">
        <v>3655</v>
      </c>
      <c r="G62" s="3500">
        <v>-2</v>
      </c>
      <c r="H62" s="3500" t="s">
        <v>3720</v>
      </c>
      <c r="I62" s="3500" t="s">
        <v>3677</v>
      </c>
      <c r="J62" s="3500" t="s">
        <v>3658</v>
      </c>
      <c r="K62" s="3500" t="s">
        <v>3659</v>
      </c>
      <c r="L62" s="3500">
        <v>1</v>
      </c>
      <c r="M62" s="3500">
        <v>46.43</v>
      </c>
      <c r="N62" s="3500">
        <v>16</v>
      </c>
      <c r="O62" s="3500">
        <v>3446</v>
      </c>
    </row>
    <row r="63" spans="1:15" ht="14.25">
      <c r="A63" s="3501">
        <v>45602.333831018521</v>
      </c>
      <c r="B63" s="3500" t="s">
        <v>3655</v>
      </c>
      <c r="C63" s="3500" t="s">
        <v>3655</v>
      </c>
      <c r="D63" s="3500" t="s">
        <v>3675</v>
      </c>
      <c r="E63" s="3500" t="s">
        <v>3655</v>
      </c>
      <c r="F63" s="3500" t="s">
        <v>3655</v>
      </c>
      <c r="G63" s="3500">
        <v>10</v>
      </c>
      <c r="H63" s="3500">
        <v>1002</v>
      </c>
      <c r="I63" s="3500" t="s">
        <v>3677</v>
      </c>
      <c r="J63" s="3500" t="s">
        <v>21</v>
      </c>
      <c r="K63" s="3500" t="s">
        <v>3659</v>
      </c>
      <c r="L63" s="3500">
        <v>1</v>
      </c>
      <c r="M63" s="3500">
        <v>869.47</v>
      </c>
      <c r="N63" s="3500">
        <v>4043.04</v>
      </c>
      <c r="O63" s="3500">
        <v>46500</v>
      </c>
    </row>
    <row r="64" spans="1:15" ht="14.25">
      <c r="A64" s="3501">
        <v>45602.333831018521</v>
      </c>
      <c r="B64" s="3500" t="s">
        <v>3655</v>
      </c>
      <c r="C64" s="3500" t="s">
        <v>3655</v>
      </c>
      <c r="D64" s="3500" t="s">
        <v>3675</v>
      </c>
      <c r="E64" s="3500" t="s">
        <v>3655</v>
      </c>
      <c r="F64" s="3500" t="s">
        <v>3655</v>
      </c>
      <c r="G64" s="3500">
        <v>-2</v>
      </c>
      <c r="H64" s="3500" t="s">
        <v>3721</v>
      </c>
      <c r="I64" s="3500" t="s">
        <v>3677</v>
      </c>
      <c r="J64" s="3500" t="s">
        <v>3658</v>
      </c>
      <c r="K64" s="3500" t="s">
        <v>3659</v>
      </c>
      <c r="L64" s="3500">
        <v>1</v>
      </c>
      <c r="M64" s="3500">
        <v>46.43</v>
      </c>
      <c r="N64" s="3500">
        <v>16</v>
      </c>
      <c r="O64" s="3500">
        <v>3446</v>
      </c>
    </row>
    <row r="65" spans="1:15" ht="14.25">
      <c r="A65" s="3501">
        <v>45602.333831018521</v>
      </c>
      <c r="B65" s="3500" t="s">
        <v>3655</v>
      </c>
      <c r="C65" s="3500" t="s">
        <v>3655</v>
      </c>
      <c r="D65" s="3500" t="s">
        <v>3675</v>
      </c>
      <c r="E65" s="3500" t="s">
        <v>3655</v>
      </c>
      <c r="F65" s="3500" t="s">
        <v>3655</v>
      </c>
      <c r="G65" s="3500">
        <v>12</v>
      </c>
      <c r="H65" s="3500">
        <v>1201</v>
      </c>
      <c r="I65" s="3500" t="s">
        <v>3677</v>
      </c>
      <c r="J65" s="3500" t="s">
        <v>21</v>
      </c>
      <c r="K65" s="3500" t="s">
        <v>3659</v>
      </c>
      <c r="L65" s="3500">
        <v>1</v>
      </c>
      <c r="M65" s="3500">
        <v>1176.73</v>
      </c>
      <c r="N65" s="3500">
        <v>5471.79</v>
      </c>
      <c r="O65" s="3500">
        <v>46500</v>
      </c>
    </row>
    <row r="66" spans="1:15" ht="14.25">
      <c r="A66" s="3501">
        <v>45602.333831018521</v>
      </c>
      <c r="B66" s="3500" t="s">
        <v>3655</v>
      </c>
      <c r="C66" s="3500" t="s">
        <v>3655</v>
      </c>
      <c r="D66" s="3500" t="s">
        <v>3675</v>
      </c>
      <c r="E66" s="3500" t="s">
        <v>3655</v>
      </c>
      <c r="F66" s="3500" t="s">
        <v>3655</v>
      </c>
      <c r="G66" s="3500">
        <v>-2</v>
      </c>
      <c r="H66" s="3500" t="s">
        <v>3722</v>
      </c>
      <c r="I66" s="3500" t="s">
        <v>3677</v>
      </c>
      <c r="J66" s="3500" t="s">
        <v>3658</v>
      </c>
      <c r="K66" s="3500" t="s">
        <v>3659</v>
      </c>
      <c r="L66" s="3500">
        <v>1</v>
      </c>
      <c r="M66" s="3500">
        <v>46.43</v>
      </c>
      <c r="N66" s="3500">
        <v>16</v>
      </c>
      <c r="O66" s="3500">
        <v>3446</v>
      </c>
    </row>
    <row r="67" spans="1:15" ht="14.25">
      <c r="A67" s="3501">
        <v>45602.333831018521</v>
      </c>
      <c r="B67" s="3500" t="s">
        <v>3655</v>
      </c>
      <c r="C67" s="3500" t="s">
        <v>3655</v>
      </c>
      <c r="D67" s="3500" t="s">
        <v>3675</v>
      </c>
      <c r="E67" s="3500" t="s">
        <v>3655</v>
      </c>
      <c r="F67" s="3500" t="s">
        <v>3655</v>
      </c>
      <c r="G67" s="3500">
        <v>-2</v>
      </c>
      <c r="H67" s="3500" t="s">
        <v>3723</v>
      </c>
      <c r="I67" s="3500" t="s">
        <v>3677</v>
      </c>
      <c r="J67" s="3500" t="s">
        <v>3658</v>
      </c>
      <c r="K67" s="3500" t="s">
        <v>3659</v>
      </c>
      <c r="L67" s="3500">
        <v>1</v>
      </c>
      <c r="M67" s="3500">
        <v>46.43</v>
      </c>
      <c r="N67" s="3500">
        <v>16</v>
      </c>
      <c r="O67" s="3500">
        <v>3446</v>
      </c>
    </row>
    <row r="68" spans="1:15" ht="14.25">
      <c r="A68" s="3501">
        <v>45602.333831018521</v>
      </c>
      <c r="B68" s="3500" t="s">
        <v>3655</v>
      </c>
      <c r="C68" s="3500" t="s">
        <v>3655</v>
      </c>
      <c r="D68" s="3500" t="s">
        <v>3675</v>
      </c>
      <c r="E68" s="3500" t="s">
        <v>3655</v>
      </c>
      <c r="F68" s="3500" t="s">
        <v>3655</v>
      </c>
      <c r="G68" s="3500">
        <v>-1</v>
      </c>
      <c r="H68" s="3500">
        <v>-101</v>
      </c>
      <c r="I68" s="3500" t="s">
        <v>3677</v>
      </c>
      <c r="J68" s="3500" t="s">
        <v>673</v>
      </c>
      <c r="K68" s="3500" t="s">
        <v>3659</v>
      </c>
      <c r="L68" s="3500">
        <v>1</v>
      </c>
      <c r="M68" s="3500">
        <v>1604.25</v>
      </c>
      <c r="N68" s="3500">
        <v>2406.38</v>
      </c>
      <c r="O68" s="3500">
        <v>15000</v>
      </c>
    </row>
    <row r="69" spans="1:15" ht="14.25">
      <c r="A69" s="3501">
        <v>45602.333831018521</v>
      </c>
      <c r="B69" s="3500" t="s">
        <v>3655</v>
      </c>
      <c r="C69" s="3500" t="s">
        <v>3655</v>
      </c>
      <c r="D69" s="3500" t="s">
        <v>3675</v>
      </c>
      <c r="E69" s="3500" t="s">
        <v>3655</v>
      </c>
      <c r="F69" s="3500" t="s">
        <v>3655</v>
      </c>
      <c r="G69" s="3500">
        <v>6</v>
      </c>
      <c r="H69" s="3500">
        <v>601</v>
      </c>
      <c r="I69" s="3500" t="s">
        <v>3677</v>
      </c>
      <c r="J69" s="3500" t="s">
        <v>21</v>
      </c>
      <c r="K69" s="3500" t="s">
        <v>3659</v>
      </c>
      <c r="L69" s="3500">
        <v>1</v>
      </c>
      <c r="M69" s="3500">
        <v>775.66</v>
      </c>
      <c r="N69" s="3500">
        <v>3606.82</v>
      </c>
      <c r="O69" s="3500">
        <v>46500</v>
      </c>
    </row>
    <row r="70" spans="1:15" ht="14.25">
      <c r="A70" s="3501">
        <v>45602.333831018521</v>
      </c>
      <c r="B70" s="3500" t="s">
        <v>3655</v>
      </c>
      <c r="C70" s="3500" t="s">
        <v>3655</v>
      </c>
      <c r="D70" s="3500" t="s">
        <v>3675</v>
      </c>
      <c r="E70" s="3500" t="s">
        <v>3655</v>
      </c>
      <c r="F70" s="3500" t="s">
        <v>3655</v>
      </c>
      <c r="G70" s="3500">
        <v>2</v>
      </c>
      <c r="H70" s="3500">
        <v>201</v>
      </c>
      <c r="I70" s="3500" t="s">
        <v>3677</v>
      </c>
      <c r="J70" s="3500" t="s">
        <v>21</v>
      </c>
      <c r="K70" s="3500" t="s">
        <v>3659</v>
      </c>
      <c r="L70" s="3500">
        <v>1</v>
      </c>
      <c r="M70" s="3500">
        <v>894.6</v>
      </c>
      <c r="N70" s="3500">
        <v>4159.8900000000003</v>
      </c>
      <c r="O70" s="3500">
        <v>46500</v>
      </c>
    </row>
    <row r="71" spans="1:15" ht="14.25">
      <c r="A71" s="3501">
        <v>45602.333831018521</v>
      </c>
      <c r="B71" s="3500" t="s">
        <v>3655</v>
      </c>
      <c r="C71" s="3500" t="s">
        <v>3655</v>
      </c>
      <c r="D71" s="3500" t="s">
        <v>3675</v>
      </c>
      <c r="E71" s="3500" t="s">
        <v>3655</v>
      </c>
      <c r="F71" s="3500" t="s">
        <v>3655</v>
      </c>
      <c r="G71" s="3500">
        <v>-3</v>
      </c>
      <c r="H71" s="3500" t="s">
        <v>3724</v>
      </c>
      <c r="I71" s="3500" t="s">
        <v>3677</v>
      </c>
      <c r="J71" s="3500" t="s">
        <v>3658</v>
      </c>
      <c r="K71" s="3500" t="s">
        <v>3659</v>
      </c>
      <c r="L71" s="3500">
        <v>1</v>
      </c>
      <c r="M71" s="3500">
        <v>46.43</v>
      </c>
      <c r="N71" s="3500">
        <v>15</v>
      </c>
      <c r="O71" s="3500">
        <v>3231</v>
      </c>
    </row>
    <row r="72" spans="1:15" ht="14.25">
      <c r="A72" s="3501">
        <v>45602.333831018521</v>
      </c>
      <c r="B72" s="3500" t="s">
        <v>3655</v>
      </c>
      <c r="C72" s="3500" t="s">
        <v>3655</v>
      </c>
      <c r="D72" s="3500" t="s">
        <v>3675</v>
      </c>
      <c r="E72" s="3500" t="s">
        <v>3655</v>
      </c>
      <c r="F72" s="3500" t="s">
        <v>3655</v>
      </c>
      <c r="G72" s="3500">
        <v>-2</v>
      </c>
      <c r="H72" s="3500" t="s">
        <v>3725</v>
      </c>
      <c r="I72" s="3500" t="s">
        <v>3677</v>
      </c>
      <c r="J72" s="3500" t="s">
        <v>3658</v>
      </c>
      <c r="K72" s="3500" t="s">
        <v>3659</v>
      </c>
      <c r="L72" s="3500">
        <v>1</v>
      </c>
      <c r="M72" s="3500">
        <v>46.43</v>
      </c>
      <c r="N72" s="3500">
        <v>16</v>
      </c>
      <c r="O72" s="3500">
        <v>3446</v>
      </c>
    </row>
    <row r="73" spans="1:15" ht="14.25">
      <c r="A73" s="3501">
        <v>45602.333831018521</v>
      </c>
      <c r="B73" s="3500" t="s">
        <v>3655</v>
      </c>
      <c r="C73" s="3500" t="s">
        <v>3655</v>
      </c>
      <c r="D73" s="3500" t="s">
        <v>3675</v>
      </c>
      <c r="E73" s="3500" t="s">
        <v>3655</v>
      </c>
      <c r="F73" s="3500" t="s">
        <v>3655</v>
      </c>
      <c r="G73" s="3500">
        <v>-2</v>
      </c>
      <c r="H73" s="3500" t="s">
        <v>3726</v>
      </c>
      <c r="I73" s="3500" t="s">
        <v>3677</v>
      </c>
      <c r="J73" s="3500" t="s">
        <v>3658</v>
      </c>
      <c r="K73" s="3500" t="s">
        <v>3659</v>
      </c>
      <c r="L73" s="3500">
        <v>1</v>
      </c>
      <c r="M73" s="3500">
        <v>46.43</v>
      </c>
      <c r="N73" s="3500">
        <v>16</v>
      </c>
      <c r="O73" s="3500">
        <v>3446</v>
      </c>
    </row>
    <row r="74" spans="1:15" ht="14.25">
      <c r="A74" s="3501">
        <v>45602.333831018521</v>
      </c>
      <c r="B74" s="3500" t="s">
        <v>3655</v>
      </c>
      <c r="C74" s="3500" t="s">
        <v>3655</v>
      </c>
      <c r="D74" s="3500" t="s">
        <v>3675</v>
      </c>
      <c r="E74" s="3500" t="s">
        <v>3655</v>
      </c>
      <c r="F74" s="3500" t="s">
        <v>3655</v>
      </c>
      <c r="G74" s="3500">
        <v>4</v>
      </c>
      <c r="H74" s="3500">
        <v>401</v>
      </c>
      <c r="I74" s="3500" t="s">
        <v>3677</v>
      </c>
      <c r="J74" s="3500" t="s">
        <v>21</v>
      </c>
      <c r="K74" s="3500" t="s">
        <v>3659</v>
      </c>
      <c r="L74" s="3500">
        <v>1</v>
      </c>
      <c r="M74" s="3500">
        <v>775.66</v>
      </c>
      <c r="N74" s="3500">
        <v>3606.82</v>
      </c>
      <c r="O74" s="3500">
        <v>46500</v>
      </c>
    </row>
    <row r="75" spans="1:15" ht="14.25">
      <c r="A75" s="3501">
        <v>45602.333831018521</v>
      </c>
      <c r="B75" s="3500" t="s">
        <v>3655</v>
      </c>
      <c r="C75" s="3500" t="s">
        <v>3655</v>
      </c>
      <c r="D75" s="3500" t="s">
        <v>3675</v>
      </c>
      <c r="E75" s="3500" t="s">
        <v>3655</v>
      </c>
      <c r="F75" s="3500" t="s">
        <v>3655</v>
      </c>
      <c r="G75" s="3500">
        <v>-3</v>
      </c>
      <c r="H75" s="3500" t="s">
        <v>3727</v>
      </c>
      <c r="I75" s="3500" t="s">
        <v>3677</v>
      </c>
      <c r="J75" s="3500" t="s">
        <v>3658</v>
      </c>
      <c r="K75" s="3500" t="s">
        <v>3659</v>
      </c>
      <c r="L75" s="3500">
        <v>1</v>
      </c>
      <c r="M75" s="3500">
        <v>46.43</v>
      </c>
      <c r="N75" s="3500">
        <v>15</v>
      </c>
      <c r="O75" s="3500">
        <v>3231</v>
      </c>
    </row>
    <row r="76" spans="1:15" ht="14.25">
      <c r="A76" s="3501">
        <v>45602.333831018521</v>
      </c>
      <c r="B76" s="3500" t="s">
        <v>3655</v>
      </c>
      <c r="C76" s="3500" t="s">
        <v>3655</v>
      </c>
      <c r="D76" s="3500" t="s">
        <v>3675</v>
      </c>
      <c r="E76" s="3500" t="s">
        <v>3655</v>
      </c>
      <c r="F76" s="3500" t="s">
        <v>3655</v>
      </c>
      <c r="G76" s="3500">
        <v>-3</v>
      </c>
      <c r="H76" s="3500" t="s">
        <v>3728</v>
      </c>
      <c r="I76" s="3500" t="s">
        <v>3677</v>
      </c>
      <c r="J76" s="3500" t="s">
        <v>3658</v>
      </c>
      <c r="K76" s="3500" t="s">
        <v>3659</v>
      </c>
      <c r="L76" s="3500">
        <v>1</v>
      </c>
      <c r="M76" s="3500">
        <v>46.43</v>
      </c>
      <c r="N76" s="3500">
        <v>15</v>
      </c>
      <c r="O76" s="3500">
        <v>3231</v>
      </c>
    </row>
    <row r="77" spans="1:15" ht="14.25">
      <c r="A77" s="3501">
        <v>45602.333831018521</v>
      </c>
      <c r="B77" s="3500" t="s">
        <v>3655</v>
      </c>
      <c r="C77" s="3500" t="s">
        <v>3655</v>
      </c>
      <c r="D77" s="3500" t="s">
        <v>3675</v>
      </c>
      <c r="E77" s="3500" t="s">
        <v>3655</v>
      </c>
      <c r="F77" s="3500" t="s">
        <v>3655</v>
      </c>
      <c r="G77" s="3500">
        <v>-3</v>
      </c>
      <c r="H77" s="3500" t="s">
        <v>3729</v>
      </c>
      <c r="I77" s="3500" t="s">
        <v>3677</v>
      </c>
      <c r="J77" s="3500" t="s">
        <v>3658</v>
      </c>
      <c r="K77" s="3500" t="s">
        <v>3659</v>
      </c>
      <c r="L77" s="3500">
        <v>1</v>
      </c>
      <c r="M77" s="3500">
        <v>46.43</v>
      </c>
      <c r="N77" s="3500">
        <v>15</v>
      </c>
      <c r="O77" s="3500">
        <v>3231</v>
      </c>
    </row>
    <row r="78" spans="1:15" ht="14.25">
      <c r="A78" s="3501">
        <v>45602.333831018521</v>
      </c>
      <c r="B78" s="3500" t="s">
        <v>3655</v>
      </c>
      <c r="C78" s="3500" t="s">
        <v>3655</v>
      </c>
      <c r="D78" s="3500" t="s">
        <v>3675</v>
      </c>
      <c r="E78" s="3500" t="s">
        <v>3655</v>
      </c>
      <c r="F78" s="3500" t="s">
        <v>3655</v>
      </c>
      <c r="G78" s="3500">
        <v>-3</v>
      </c>
      <c r="H78" s="3500" t="s">
        <v>3730</v>
      </c>
      <c r="I78" s="3500" t="s">
        <v>3677</v>
      </c>
      <c r="J78" s="3500" t="s">
        <v>3658</v>
      </c>
      <c r="K78" s="3500" t="s">
        <v>3659</v>
      </c>
      <c r="L78" s="3500">
        <v>1</v>
      </c>
      <c r="M78" s="3500">
        <v>46.43</v>
      </c>
      <c r="N78" s="3500">
        <v>16</v>
      </c>
      <c r="O78" s="3500">
        <v>3446</v>
      </c>
    </row>
    <row r="79" spans="1:15" ht="14.25">
      <c r="A79" s="3501">
        <v>45602.333831018521</v>
      </c>
      <c r="B79" s="3500" t="s">
        <v>3655</v>
      </c>
      <c r="C79" s="3500" t="s">
        <v>3655</v>
      </c>
      <c r="D79" s="3500" t="s">
        <v>3675</v>
      </c>
      <c r="E79" s="3500" t="s">
        <v>3655</v>
      </c>
      <c r="F79" s="3500" t="s">
        <v>3655</v>
      </c>
      <c r="G79" s="3500">
        <v>-2</v>
      </c>
      <c r="H79" s="3500" t="s">
        <v>3731</v>
      </c>
      <c r="I79" s="3500" t="s">
        <v>3677</v>
      </c>
      <c r="J79" s="3500" t="s">
        <v>3658</v>
      </c>
      <c r="K79" s="3500" t="s">
        <v>3659</v>
      </c>
      <c r="L79" s="3500">
        <v>1</v>
      </c>
      <c r="M79" s="3500">
        <v>46.43</v>
      </c>
      <c r="N79" s="3500">
        <v>16</v>
      </c>
      <c r="O79" s="3500">
        <v>3446</v>
      </c>
    </row>
    <row r="80" spans="1:15" ht="14.25">
      <c r="A80" s="3501">
        <v>45602.333831018521</v>
      </c>
      <c r="B80" s="3500" t="s">
        <v>3655</v>
      </c>
      <c r="C80" s="3500" t="s">
        <v>3655</v>
      </c>
      <c r="D80" s="3500" t="s">
        <v>3675</v>
      </c>
      <c r="E80" s="3500" t="s">
        <v>3655</v>
      </c>
      <c r="F80" s="3500" t="s">
        <v>3655</v>
      </c>
      <c r="G80" s="3500">
        <v>10</v>
      </c>
      <c r="H80" s="3500">
        <v>1001</v>
      </c>
      <c r="I80" s="3500" t="s">
        <v>3677</v>
      </c>
      <c r="J80" s="3500" t="s">
        <v>21</v>
      </c>
      <c r="K80" s="3500" t="s">
        <v>3659</v>
      </c>
      <c r="L80" s="3500">
        <v>1</v>
      </c>
      <c r="M80" s="3500">
        <v>775.66</v>
      </c>
      <c r="N80" s="3500">
        <v>3606.82</v>
      </c>
      <c r="O80" s="3500">
        <v>46500</v>
      </c>
    </row>
    <row r="81" spans="1:15" ht="14.25">
      <c r="A81" s="3501">
        <v>45602.333831018521</v>
      </c>
      <c r="B81" s="3500" t="s">
        <v>3655</v>
      </c>
      <c r="C81" s="3500" t="s">
        <v>3655</v>
      </c>
      <c r="D81" s="3500" t="s">
        <v>3675</v>
      </c>
      <c r="E81" s="3500" t="s">
        <v>3655</v>
      </c>
      <c r="F81" s="3500" t="s">
        <v>3655</v>
      </c>
      <c r="G81" s="3500">
        <v>-3</v>
      </c>
      <c r="H81" s="3500" t="s">
        <v>3732</v>
      </c>
      <c r="I81" s="3500" t="s">
        <v>3677</v>
      </c>
      <c r="J81" s="3500" t="s">
        <v>3658</v>
      </c>
      <c r="K81" s="3500" t="s">
        <v>3659</v>
      </c>
      <c r="L81" s="3500">
        <v>1</v>
      </c>
      <c r="M81" s="3500">
        <v>46.43</v>
      </c>
      <c r="N81" s="3500">
        <v>15</v>
      </c>
      <c r="O81" s="3500">
        <v>3231</v>
      </c>
    </row>
    <row r="82" spans="1:15" ht="14.25">
      <c r="A82" s="3501">
        <v>45602.333831018521</v>
      </c>
      <c r="B82" s="3500" t="s">
        <v>3655</v>
      </c>
      <c r="C82" s="3500" t="s">
        <v>3655</v>
      </c>
      <c r="D82" s="3500" t="s">
        <v>3675</v>
      </c>
      <c r="E82" s="3500" t="s">
        <v>3655</v>
      </c>
      <c r="F82" s="3500" t="s">
        <v>3655</v>
      </c>
      <c r="G82" s="3500">
        <v>-3</v>
      </c>
      <c r="H82" s="3500" t="s">
        <v>3733</v>
      </c>
      <c r="I82" s="3500" t="s">
        <v>3677</v>
      </c>
      <c r="J82" s="3500" t="s">
        <v>3658</v>
      </c>
      <c r="K82" s="3500" t="s">
        <v>3659</v>
      </c>
      <c r="L82" s="3500">
        <v>1</v>
      </c>
      <c r="M82" s="3500">
        <v>46.43</v>
      </c>
      <c r="N82" s="3500">
        <v>15</v>
      </c>
      <c r="O82" s="3500">
        <v>3231</v>
      </c>
    </row>
    <row r="83" spans="1:15" ht="14.25">
      <c r="A83" s="3501">
        <v>45602.333831018521</v>
      </c>
      <c r="B83" s="3500" t="s">
        <v>3655</v>
      </c>
      <c r="C83" s="3500" t="s">
        <v>3655</v>
      </c>
      <c r="D83" s="3500" t="s">
        <v>3675</v>
      </c>
      <c r="E83" s="3500" t="s">
        <v>3655</v>
      </c>
      <c r="F83" s="3500" t="s">
        <v>3655</v>
      </c>
      <c r="G83" s="3500">
        <v>-2</v>
      </c>
      <c r="H83" s="3500" t="s">
        <v>3734</v>
      </c>
      <c r="I83" s="3500" t="s">
        <v>3677</v>
      </c>
      <c r="J83" s="3500" t="s">
        <v>3658</v>
      </c>
      <c r="K83" s="3500" t="s">
        <v>3659</v>
      </c>
      <c r="L83" s="3500">
        <v>1</v>
      </c>
      <c r="M83" s="3500">
        <v>46.43</v>
      </c>
      <c r="N83" s="3500">
        <v>16</v>
      </c>
      <c r="O83" s="3500">
        <v>3446</v>
      </c>
    </row>
    <row r="84" spans="1:15" ht="14.25">
      <c r="A84" s="3501">
        <v>45602.333831018521</v>
      </c>
      <c r="B84" s="3500" t="s">
        <v>3655</v>
      </c>
      <c r="C84" s="3500" t="s">
        <v>3655</v>
      </c>
      <c r="D84" s="3500" t="s">
        <v>3675</v>
      </c>
      <c r="E84" s="3500" t="s">
        <v>3655</v>
      </c>
      <c r="F84" s="3500" t="s">
        <v>3655</v>
      </c>
      <c r="G84" s="3500">
        <v>-3</v>
      </c>
      <c r="H84" s="3500" t="s">
        <v>3735</v>
      </c>
      <c r="I84" s="3500" t="s">
        <v>3677</v>
      </c>
      <c r="J84" s="3500" t="s">
        <v>3658</v>
      </c>
      <c r="K84" s="3500" t="s">
        <v>3659</v>
      </c>
      <c r="L84" s="3500">
        <v>1</v>
      </c>
      <c r="M84" s="3500">
        <v>46.43</v>
      </c>
      <c r="N84" s="3500">
        <v>15</v>
      </c>
      <c r="O84" s="3500">
        <v>3231</v>
      </c>
    </row>
    <row r="85" spans="1:15" ht="14.25">
      <c r="A85" s="3501">
        <v>45602.333831018521</v>
      </c>
      <c r="B85" s="3500" t="s">
        <v>3655</v>
      </c>
      <c r="C85" s="3500" t="s">
        <v>3655</v>
      </c>
      <c r="D85" s="3500" t="s">
        <v>3675</v>
      </c>
      <c r="E85" s="3500" t="s">
        <v>3655</v>
      </c>
      <c r="F85" s="3500" t="s">
        <v>3655</v>
      </c>
      <c r="G85" s="3500">
        <v>-3</v>
      </c>
      <c r="H85" s="3500" t="s">
        <v>3736</v>
      </c>
      <c r="I85" s="3500" t="s">
        <v>3677</v>
      </c>
      <c r="J85" s="3500" t="s">
        <v>3658</v>
      </c>
      <c r="K85" s="3500" t="s">
        <v>3659</v>
      </c>
      <c r="L85" s="3500">
        <v>1</v>
      </c>
      <c r="M85" s="3500">
        <v>46.43</v>
      </c>
      <c r="N85" s="3500">
        <v>15</v>
      </c>
      <c r="O85" s="3500">
        <v>3231</v>
      </c>
    </row>
    <row r="86" spans="1:15" ht="14.25">
      <c r="A86" s="3501">
        <v>45602.333831018521</v>
      </c>
      <c r="B86" s="3500" t="s">
        <v>3655</v>
      </c>
      <c r="C86" s="3500" t="s">
        <v>3655</v>
      </c>
      <c r="D86" s="3500" t="s">
        <v>3675</v>
      </c>
      <c r="E86" s="3500" t="s">
        <v>3655</v>
      </c>
      <c r="F86" s="3500" t="s">
        <v>3655</v>
      </c>
      <c r="G86" s="3500">
        <v>-3</v>
      </c>
      <c r="H86" s="3500" t="s">
        <v>3737</v>
      </c>
      <c r="I86" s="3500" t="s">
        <v>3677</v>
      </c>
      <c r="J86" s="3500" t="s">
        <v>3658</v>
      </c>
      <c r="K86" s="3500" t="s">
        <v>3659</v>
      </c>
      <c r="L86" s="3500">
        <v>1</v>
      </c>
      <c r="M86" s="3500">
        <v>46.43</v>
      </c>
      <c r="N86" s="3500">
        <v>15</v>
      </c>
      <c r="O86" s="3500">
        <v>3231</v>
      </c>
    </row>
    <row r="87" spans="1:15" ht="14.25">
      <c r="A87" s="3501">
        <v>45602.333831018521</v>
      </c>
      <c r="B87" s="3500" t="s">
        <v>3655</v>
      </c>
      <c r="C87" s="3500" t="s">
        <v>3655</v>
      </c>
      <c r="D87" s="3500" t="s">
        <v>3675</v>
      </c>
      <c r="E87" s="3500" t="s">
        <v>3655</v>
      </c>
      <c r="F87" s="3500" t="s">
        <v>3655</v>
      </c>
      <c r="G87" s="3500">
        <v>-3</v>
      </c>
      <c r="H87" s="3500" t="s">
        <v>3738</v>
      </c>
      <c r="I87" s="3500" t="s">
        <v>3677</v>
      </c>
      <c r="J87" s="3500" t="s">
        <v>3658</v>
      </c>
      <c r="K87" s="3500" t="s">
        <v>3659</v>
      </c>
      <c r="L87" s="3500">
        <v>1</v>
      </c>
      <c r="M87" s="3500">
        <v>46.43</v>
      </c>
      <c r="N87" s="3500">
        <v>15</v>
      </c>
      <c r="O87" s="3500">
        <v>3231</v>
      </c>
    </row>
    <row r="88" spans="1:15" ht="14.25">
      <c r="A88" s="3501">
        <v>45602.333831018521</v>
      </c>
      <c r="B88" s="3500" t="s">
        <v>3655</v>
      </c>
      <c r="C88" s="3500" t="s">
        <v>3655</v>
      </c>
      <c r="D88" s="3500" t="s">
        <v>3675</v>
      </c>
      <c r="E88" s="3500" t="s">
        <v>3655</v>
      </c>
      <c r="F88" s="3500" t="s">
        <v>3655</v>
      </c>
      <c r="G88" s="3500">
        <v>-2</v>
      </c>
      <c r="H88" s="3500" t="s">
        <v>3739</v>
      </c>
      <c r="I88" s="3500" t="s">
        <v>3677</v>
      </c>
      <c r="J88" s="3500" t="s">
        <v>3658</v>
      </c>
      <c r="K88" s="3500" t="s">
        <v>3659</v>
      </c>
      <c r="L88" s="3500">
        <v>1</v>
      </c>
      <c r="M88" s="3500">
        <v>46.43</v>
      </c>
      <c r="N88" s="3500">
        <v>16</v>
      </c>
      <c r="O88" s="3500">
        <v>3446</v>
      </c>
    </row>
    <row r="89" spans="1:15" ht="14.25">
      <c r="A89" s="3501">
        <v>45602.333831018521</v>
      </c>
      <c r="B89" s="3500" t="s">
        <v>3655</v>
      </c>
      <c r="C89" s="3500" t="s">
        <v>3655</v>
      </c>
      <c r="D89" s="3500" t="s">
        <v>3675</v>
      </c>
      <c r="E89" s="3500" t="s">
        <v>3655</v>
      </c>
      <c r="F89" s="3500" t="s">
        <v>3655</v>
      </c>
      <c r="G89" s="3500">
        <v>-3</v>
      </c>
      <c r="H89" s="3500" t="s">
        <v>3740</v>
      </c>
      <c r="I89" s="3500" t="s">
        <v>3677</v>
      </c>
      <c r="J89" s="3500" t="s">
        <v>3658</v>
      </c>
      <c r="K89" s="3500" t="s">
        <v>3659</v>
      </c>
      <c r="L89" s="3500">
        <v>1</v>
      </c>
      <c r="M89" s="3500">
        <v>45.52</v>
      </c>
      <c r="N89" s="3500">
        <v>15</v>
      </c>
      <c r="O89" s="3500">
        <v>3295</v>
      </c>
    </row>
    <row r="90" spans="1:15" ht="14.25">
      <c r="A90" s="3501">
        <v>45602.333831018521</v>
      </c>
      <c r="B90" s="3500" t="s">
        <v>3655</v>
      </c>
      <c r="C90" s="3500" t="s">
        <v>3655</v>
      </c>
      <c r="D90" s="3500" t="s">
        <v>3675</v>
      </c>
      <c r="E90" s="3500" t="s">
        <v>3655</v>
      </c>
      <c r="F90" s="3500" t="s">
        <v>3655</v>
      </c>
      <c r="G90" s="3500">
        <v>-3</v>
      </c>
      <c r="H90" s="3500" t="s">
        <v>3741</v>
      </c>
      <c r="I90" s="3500" t="s">
        <v>3677</v>
      </c>
      <c r="J90" s="3500" t="s">
        <v>3658</v>
      </c>
      <c r="K90" s="3500" t="s">
        <v>3659</v>
      </c>
      <c r="L90" s="3500">
        <v>1</v>
      </c>
      <c r="M90" s="3500">
        <v>46.43</v>
      </c>
      <c r="N90" s="3500">
        <v>15</v>
      </c>
      <c r="O90" s="3500">
        <v>3231</v>
      </c>
    </row>
    <row r="91" spans="1:15" ht="14.25">
      <c r="A91" s="3501">
        <v>45602.333831018521</v>
      </c>
      <c r="B91" s="3500" t="s">
        <v>3655</v>
      </c>
      <c r="C91" s="3500" t="s">
        <v>3655</v>
      </c>
      <c r="D91" s="3500" t="s">
        <v>3675</v>
      </c>
      <c r="E91" s="3500" t="s">
        <v>3655</v>
      </c>
      <c r="F91" s="3500" t="s">
        <v>3655</v>
      </c>
      <c r="G91" s="3500">
        <v>-2</v>
      </c>
      <c r="H91" s="3500" t="s">
        <v>3742</v>
      </c>
      <c r="I91" s="3500" t="s">
        <v>3677</v>
      </c>
      <c r="J91" s="3500" t="s">
        <v>3658</v>
      </c>
      <c r="K91" s="3500" t="s">
        <v>3659</v>
      </c>
      <c r="L91" s="3500">
        <v>1</v>
      </c>
      <c r="M91" s="3500">
        <v>46.43</v>
      </c>
      <c r="N91" s="3500">
        <v>16</v>
      </c>
      <c r="O91" s="3500">
        <v>3446</v>
      </c>
    </row>
    <row r="92" spans="1:15" ht="14.25">
      <c r="A92" s="3501">
        <v>45602.333831018521</v>
      </c>
      <c r="B92" s="3500" t="s">
        <v>3655</v>
      </c>
      <c r="C92" s="3500" t="s">
        <v>3655</v>
      </c>
      <c r="D92" s="3500" t="s">
        <v>3675</v>
      </c>
      <c r="E92" s="3500" t="s">
        <v>3655</v>
      </c>
      <c r="F92" s="3500" t="s">
        <v>3655</v>
      </c>
      <c r="G92" s="3500">
        <v>-3</v>
      </c>
      <c r="H92" s="3500" t="s">
        <v>3743</v>
      </c>
      <c r="I92" s="3500" t="s">
        <v>3677</v>
      </c>
      <c r="J92" s="3500" t="s">
        <v>3658</v>
      </c>
      <c r="K92" s="3500" t="s">
        <v>3659</v>
      </c>
      <c r="L92" s="3500">
        <v>1</v>
      </c>
      <c r="M92" s="3500">
        <v>46.43</v>
      </c>
      <c r="N92" s="3500">
        <v>15</v>
      </c>
      <c r="O92" s="3500">
        <v>3231</v>
      </c>
    </row>
    <row r="93" spans="1:15" ht="14.25">
      <c r="A93" s="3501">
        <v>45602.333831018521</v>
      </c>
      <c r="B93" s="3500" t="s">
        <v>3655</v>
      </c>
      <c r="C93" s="3500" t="s">
        <v>3655</v>
      </c>
      <c r="D93" s="3500" t="s">
        <v>3675</v>
      </c>
      <c r="E93" s="3500" t="s">
        <v>3655</v>
      </c>
      <c r="F93" s="3500" t="s">
        <v>3655</v>
      </c>
      <c r="G93" s="3500">
        <v>-2</v>
      </c>
      <c r="H93" s="3500" t="s">
        <v>3744</v>
      </c>
      <c r="I93" s="3500" t="s">
        <v>3677</v>
      </c>
      <c r="J93" s="3500" t="s">
        <v>3658</v>
      </c>
      <c r="K93" s="3500" t="s">
        <v>3659</v>
      </c>
      <c r="L93" s="3500">
        <v>1</v>
      </c>
      <c r="M93" s="3500">
        <v>46.43</v>
      </c>
      <c r="N93" s="3500">
        <v>16</v>
      </c>
      <c r="O93" s="3500">
        <v>3446</v>
      </c>
    </row>
    <row r="94" spans="1:15" ht="14.25">
      <c r="A94" s="3501">
        <v>45602.333831018521</v>
      </c>
      <c r="B94" s="3500" t="s">
        <v>3655</v>
      </c>
      <c r="C94" s="3500" t="s">
        <v>3655</v>
      </c>
      <c r="D94" s="3500" t="s">
        <v>3675</v>
      </c>
      <c r="E94" s="3500" t="s">
        <v>3655</v>
      </c>
      <c r="F94" s="3500" t="s">
        <v>3655</v>
      </c>
      <c r="G94" s="3500">
        <v>-2</v>
      </c>
      <c r="H94" s="3500" t="s">
        <v>3745</v>
      </c>
      <c r="I94" s="3500" t="s">
        <v>3677</v>
      </c>
      <c r="J94" s="3500" t="s">
        <v>3658</v>
      </c>
      <c r="K94" s="3500" t="s">
        <v>3659</v>
      </c>
      <c r="L94" s="3500">
        <v>1</v>
      </c>
      <c r="M94" s="3500">
        <v>46.43</v>
      </c>
      <c r="N94" s="3500">
        <v>16</v>
      </c>
      <c r="O94" s="3500">
        <v>3446</v>
      </c>
    </row>
    <row r="95" spans="1:15" ht="14.25">
      <c r="A95" s="3501">
        <v>45602.333831018521</v>
      </c>
      <c r="B95" s="3500" t="s">
        <v>3655</v>
      </c>
      <c r="C95" s="3500" t="s">
        <v>3655</v>
      </c>
      <c r="D95" s="3500" t="s">
        <v>3675</v>
      </c>
      <c r="E95" s="3500" t="s">
        <v>3655</v>
      </c>
      <c r="F95" s="3500" t="s">
        <v>3655</v>
      </c>
      <c r="G95" s="3500">
        <v>-2</v>
      </c>
      <c r="H95" s="3500" t="s">
        <v>3746</v>
      </c>
      <c r="I95" s="3500" t="s">
        <v>3677</v>
      </c>
      <c r="J95" s="3500" t="s">
        <v>3658</v>
      </c>
      <c r="K95" s="3500" t="s">
        <v>3659</v>
      </c>
      <c r="L95" s="3500">
        <v>1</v>
      </c>
      <c r="M95" s="3500">
        <v>46.43</v>
      </c>
      <c r="N95" s="3500">
        <v>16</v>
      </c>
      <c r="O95" s="3500">
        <v>3446</v>
      </c>
    </row>
    <row r="96" spans="1:15" ht="14.25">
      <c r="M96">
        <f>SUM(M2:M95)</f>
        <v>21802.470000000008</v>
      </c>
      <c r="N96">
        <f>SUM(N2:N95)</f>
        <v>82065.260000000024</v>
      </c>
      <c r="O96" s="3186">
        <f>ROUND(N96/M96*10000,0)</f>
        <v>37640</v>
      </c>
    </row>
    <row r="97" spans="12:13" ht="14.25">
      <c r="L97" s="3186" t="s">
        <v>3663</v>
      </c>
      <c r="M97" s="3186">
        <f>M9+M12+M15+M20+M23+M28+M29+M30+M38+M45+M50+M52+M53+M58+M63+M65+M69+M70+M74+M80</f>
        <v>16877.499999999996</v>
      </c>
    </row>
    <row r="98" spans="12:13" ht="14.25">
      <c r="L98" s="3186" t="s">
        <v>3664</v>
      </c>
      <c r="M98" s="3186">
        <f>M96-M97</f>
        <v>4924.9700000000121</v>
      </c>
    </row>
    <row r="99" spans="12:13" ht="14.25">
      <c r="L99" s="3186" t="s">
        <v>3665</v>
      </c>
      <c r="M99" s="3188">
        <f>M98/M96</f>
        <v>0.22589046103491991</v>
      </c>
    </row>
  </sheetData>
  <mergeCells count="1425">
    <mergeCell ref="A95"/>
    <mergeCell ref="B95"/>
    <mergeCell ref="C95"/>
    <mergeCell ref="D95"/>
    <mergeCell ref="E95"/>
    <mergeCell ref="F95"/>
    <mergeCell ref="G95"/>
    <mergeCell ref="H95"/>
    <mergeCell ref="I95"/>
    <mergeCell ref="J95"/>
    <mergeCell ref="K95"/>
    <mergeCell ref="L95"/>
    <mergeCell ref="M95"/>
    <mergeCell ref="N95"/>
    <mergeCell ref="O95"/>
    <mergeCell ref="A93"/>
    <mergeCell ref="B93"/>
    <mergeCell ref="C93"/>
    <mergeCell ref="D93"/>
    <mergeCell ref="E93"/>
    <mergeCell ref="F93"/>
    <mergeCell ref="G93"/>
    <mergeCell ref="H93"/>
    <mergeCell ref="I93"/>
    <mergeCell ref="J93"/>
    <mergeCell ref="K93"/>
    <mergeCell ref="L93"/>
    <mergeCell ref="M93"/>
    <mergeCell ref="N93"/>
    <mergeCell ref="O93"/>
    <mergeCell ref="A94"/>
    <mergeCell ref="B94"/>
    <mergeCell ref="C94"/>
    <mergeCell ref="D94"/>
    <mergeCell ref="E94"/>
    <mergeCell ref="F94"/>
    <mergeCell ref="G94"/>
    <mergeCell ref="H94"/>
    <mergeCell ref="I94"/>
    <mergeCell ref="J94"/>
    <mergeCell ref="K94"/>
    <mergeCell ref="L94"/>
    <mergeCell ref="M94"/>
    <mergeCell ref="N94"/>
    <mergeCell ref="O94"/>
    <mergeCell ref="A91"/>
    <mergeCell ref="B91"/>
    <mergeCell ref="C91"/>
    <mergeCell ref="D91"/>
    <mergeCell ref="E91"/>
    <mergeCell ref="F91"/>
    <mergeCell ref="G91"/>
    <mergeCell ref="H91"/>
    <mergeCell ref="I91"/>
    <mergeCell ref="J91"/>
    <mergeCell ref="K91"/>
    <mergeCell ref="L91"/>
    <mergeCell ref="M91"/>
    <mergeCell ref="N91"/>
    <mergeCell ref="O91"/>
    <mergeCell ref="A92"/>
    <mergeCell ref="B92"/>
    <mergeCell ref="C92"/>
    <mergeCell ref="D92"/>
    <mergeCell ref="E92"/>
    <mergeCell ref="F92"/>
    <mergeCell ref="G92"/>
    <mergeCell ref="H92"/>
    <mergeCell ref="I92"/>
    <mergeCell ref="J92"/>
    <mergeCell ref="K92"/>
    <mergeCell ref="L92"/>
    <mergeCell ref="M92"/>
    <mergeCell ref="N92"/>
    <mergeCell ref="O92"/>
    <mergeCell ref="A89"/>
    <mergeCell ref="B89"/>
    <mergeCell ref="C89"/>
    <mergeCell ref="D89"/>
    <mergeCell ref="E89"/>
    <mergeCell ref="F89"/>
    <mergeCell ref="G89"/>
    <mergeCell ref="H89"/>
    <mergeCell ref="I89"/>
    <mergeCell ref="J89"/>
    <mergeCell ref="K89"/>
    <mergeCell ref="L89"/>
    <mergeCell ref="M89"/>
    <mergeCell ref="N89"/>
    <mergeCell ref="O89"/>
    <mergeCell ref="A90"/>
    <mergeCell ref="B90"/>
    <mergeCell ref="C90"/>
    <mergeCell ref="D90"/>
    <mergeCell ref="E90"/>
    <mergeCell ref="F90"/>
    <mergeCell ref="G90"/>
    <mergeCell ref="H90"/>
    <mergeCell ref="I90"/>
    <mergeCell ref="J90"/>
    <mergeCell ref="K90"/>
    <mergeCell ref="L90"/>
    <mergeCell ref="M90"/>
    <mergeCell ref="N90"/>
    <mergeCell ref="O90"/>
    <mergeCell ref="A87"/>
    <mergeCell ref="B87"/>
    <mergeCell ref="C87"/>
    <mergeCell ref="D87"/>
    <mergeCell ref="E87"/>
    <mergeCell ref="F87"/>
    <mergeCell ref="G87"/>
    <mergeCell ref="H87"/>
    <mergeCell ref="I87"/>
    <mergeCell ref="J87"/>
    <mergeCell ref="K87"/>
    <mergeCell ref="L87"/>
    <mergeCell ref="M87"/>
    <mergeCell ref="N87"/>
    <mergeCell ref="O87"/>
    <mergeCell ref="A88"/>
    <mergeCell ref="B88"/>
    <mergeCell ref="C88"/>
    <mergeCell ref="D88"/>
    <mergeCell ref="E88"/>
    <mergeCell ref="F88"/>
    <mergeCell ref="G88"/>
    <mergeCell ref="H88"/>
    <mergeCell ref="I88"/>
    <mergeCell ref="J88"/>
    <mergeCell ref="K88"/>
    <mergeCell ref="L88"/>
    <mergeCell ref="M88"/>
    <mergeCell ref="N88"/>
    <mergeCell ref="O88"/>
    <mergeCell ref="A85"/>
    <mergeCell ref="B85"/>
    <mergeCell ref="C85"/>
    <mergeCell ref="D85"/>
    <mergeCell ref="E85"/>
    <mergeCell ref="F85"/>
    <mergeCell ref="G85"/>
    <mergeCell ref="H85"/>
    <mergeCell ref="I85"/>
    <mergeCell ref="J85"/>
    <mergeCell ref="K85"/>
    <mergeCell ref="L85"/>
    <mergeCell ref="M85"/>
    <mergeCell ref="N85"/>
    <mergeCell ref="O85"/>
    <mergeCell ref="A86"/>
    <mergeCell ref="B86"/>
    <mergeCell ref="C86"/>
    <mergeCell ref="D86"/>
    <mergeCell ref="E86"/>
    <mergeCell ref="F86"/>
    <mergeCell ref="G86"/>
    <mergeCell ref="H86"/>
    <mergeCell ref="I86"/>
    <mergeCell ref="J86"/>
    <mergeCell ref="K86"/>
    <mergeCell ref="L86"/>
    <mergeCell ref="M86"/>
    <mergeCell ref="N86"/>
    <mergeCell ref="O86"/>
    <mergeCell ref="A83"/>
    <mergeCell ref="B83"/>
    <mergeCell ref="C83"/>
    <mergeCell ref="D83"/>
    <mergeCell ref="E83"/>
    <mergeCell ref="F83"/>
    <mergeCell ref="G83"/>
    <mergeCell ref="H83"/>
    <mergeCell ref="I83"/>
    <mergeCell ref="J83"/>
    <mergeCell ref="K83"/>
    <mergeCell ref="L83"/>
    <mergeCell ref="M83"/>
    <mergeCell ref="N83"/>
    <mergeCell ref="O83"/>
    <mergeCell ref="A84"/>
    <mergeCell ref="B84"/>
    <mergeCell ref="C84"/>
    <mergeCell ref="D84"/>
    <mergeCell ref="E84"/>
    <mergeCell ref="F84"/>
    <mergeCell ref="G84"/>
    <mergeCell ref="H84"/>
    <mergeCell ref="I84"/>
    <mergeCell ref="J84"/>
    <mergeCell ref="K84"/>
    <mergeCell ref="L84"/>
    <mergeCell ref="M84"/>
    <mergeCell ref="N84"/>
    <mergeCell ref="O84"/>
    <mergeCell ref="A81"/>
    <mergeCell ref="B81"/>
    <mergeCell ref="C81"/>
    <mergeCell ref="D81"/>
    <mergeCell ref="E81"/>
    <mergeCell ref="F81"/>
    <mergeCell ref="G81"/>
    <mergeCell ref="H81"/>
    <mergeCell ref="I81"/>
    <mergeCell ref="J81"/>
    <mergeCell ref="K81"/>
    <mergeCell ref="L81"/>
    <mergeCell ref="M81"/>
    <mergeCell ref="N81"/>
    <mergeCell ref="O81"/>
    <mergeCell ref="A82"/>
    <mergeCell ref="B82"/>
    <mergeCell ref="C82"/>
    <mergeCell ref="D82"/>
    <mergeCell ref="E82"/>
    <mergeCell ref="F82"/>
    <mergeCell ref="G82"/>
    <mergeCell ref="H82"/>
    <mergeCell ref="I82"/>
    <mergeCell ref="J82"/>
    <mergeCell ref="K82"/>
    <mergeCell ref="L82"/>
    <mergeCell ref="M82"/>
    <mergeCell ref="N82"/>
    <mergeCell ref="O82"/>
    <mergeCell ref="A79"/>
    <mergeCell ref="B79"/>
    <mergeCell ref="C79"/>
    <mergeCell ref="D79"/>
    <mergeCell ref="E79"/>
    <mergeCell ref="F79"/>
    <mergeCell ref="G79"/>
    <mergeCell ref="H79"/>
    <mergeCell ref="I79"/>
    <mergeCell ref="J79"/>
    <mergeCell ref="K79"/>
    <mergeCell ref="L79"/>
    <mergeCell ref="M79"/>
    <mergeCell ref="N79"/>
    <mergeCell ref="O79"/>
    <mergeCell ref="A80"/>
    <mergeCell ref="B80"/>
    <mergeCell ref="C80"/>
    <mergeCell ref="D80"/>
    <mergeCell ref="E80"/>
    <mergeCell ref="F80"/>
    <mergeCell ref="G80"/>
    <mergeCell ref="H80"/>
    <mergeCell ref="I80"/>
    <mergeCell ref="J80"/>
    <mergeCell ref="K80"/>
    <mergeCell ref="L80"/>
    <mergeCell ref="M80"/>
    <mergeCell ref="N80"/>
    <mergeCell ref="O80"/>
    <mergeCell ref="A77"/>
    <mergeCell ref="B77"/>
    <mergeCell ref="C77"/>
    <mergeCell ref="D77"/>
    <mergeCell ref="E77"/>
    <mergeCell ref="F77"/>
    <mergeCell ref="G77"/>
    <mergeCell ref="H77"/>
    <mergeCell ref="I77"/>
    <mergeCell ref="J77"/>
    <mergeCell ref="K77"/>
    <mergeCell ref="L77"/>
    <mergeCell ref="M77"/>
    <mergeCell ref="N77"/>
    <mergeCell ref="O77"/>
    <mergeCell ref="A78"/>
    <mergeCell ref="B78"/>
    <mergeCell ref="C78"/>
    <mergeCell ref="D78"/>
    <mergeCell ref="E78"/>
    <mergeCell ref="F78"/>
    <mergeCell ref="G78"/>
    <mergeCell ref="H78"/>
    <mergeCell ref="I78"/>
    <mergeCell ref="J78"/>
    <mergeCell ref="K78"/>
    <mergeCell ref="L78"/>
    <mergeCell ref="M78"/>
    <mergeCell ref="N78"/>
    <mergeCell ref="O78"/>
    <mergeCell ref="A75"/>
    <mergeCell ref="B75"/>
    <mergeCell ref="C75"/>
    <mergeCell ref="D75"/>
    <mergeCell ref="E75"/>
    <mergeCell ref="F75"/>
    <mergeCell ref="G75"/>
    <mergeCell ref="H75"/>
    <mergeCell ref="I75"/>
    <mergeCell ref="J75"/>
    <mergeCell ref="K75"/>
    <mergeCell ref="L75"/>
    <mergeCell ref="M75"/>
    <mergeCell ref="N75"/>
    <mergeCell ref="O75"/>
    <mergeCell ref="A76"/>
    <mergeCell ref="B76"/>
    <mergeCell ref="C76"/>
    <mergeCell ref="D76"/>
    <mergeCell ref="E76"/>
    <mergeCell ref="F76"/>
    <mergeCell ref="G76"/>
    <mergeCell ref="H76"/>
    <mergeCell ref="I76"/>
    <mergeCell ref="J76"/>
    <mergeCell ref="K76"/>
    <mergeCell ref="L76"/>
    <mergeCell ref="M76"/>
    <mergeCell ref="N76"/>
    <mergeCell ref="O76"/>
    <mergeCell ref="A73"/>
    <mergeCell ref="B73"/>
    <mergeCell ref="C73"/>
    <mergeCell ref="D73"/>
    <mergeCell ref="E73"/>
    <mergeCell ref="F73"/>
    <mergeCell ref="G73"/>
    <mergeCell ref="H73"/>
    <mergeCell ref="I73"/>
    <mergeCell ref="J73"/>
    <mergeCell ref="K73"/>
    <mergeCell ref="L73"/>
    <mergeCell ref="M73"/>
    <mergeCell ref="N73"/>
    <mergeCell ref="O73"/>
    <mergeCell ref="A74"/>
    <mergeCell ref="B74"/>
    <mergeCell ref="C74"/>
    <mergeCell ref="D74"/>
    <mergeCell ref="E74"/>
    <mergeCell ref="F74"/>
    <mergeCell ref="G74"/>
    <mergeCell ref="H74"/>
    <mergeCell ref="I74"/>
    <mergeCell ref="J74"/>
    <mergeCell ref="K74"/>
    <mergeCell ref="L74"/>
    <mergeCell ref="M74"/>
    <mergeCell ref="N74"/>
    <mergeCell ref="O74"/>
    <mergeCell ref="A71"/>
    <mergeCell ref="B71"/>
    <mergeCell ref="C71"/>
    <mergeCell ref="D71"/>
    <mergeCell ref="E71"/>
    <mergeCell ref="F71"/>
    <mergeCell ref="G71"/>
    <mergeCell ref="H71"/>
    <mergeCell ref="I71"/>
    <mergeCell ref="J71"/>
    <mergeCell ref="K71"/>
    <mergeCell ref="L71"/>
    <mergeCell ref="M71"/>
    <mergeCell ref="N71"/>
    <mergeCell ref="O71"/>
    <mergeCell ref="A72"/>
    <mergeCell ref="B72"/>
    <mergeCell ref="C72"/>
    <mergeCell ref="D72"/>
    <mergeCell ref="E72"/>
    <mergeCell ref="F72"/>
    <mergeCell ref="G72"/>
    <mergeCell ref="H72"/>
    <mergeCell ref="I72"/>
    <mergeCell ref="J72"/>
    <mergeCell ref="K72"/>
    <mergeCell ref="L72"/>
    <mergeCell ref="M72"/>
    <mergeCell ref="N72"/>
    <mergeCell ref="O72"/>
    <mergeCell ref="A69"/>
    <mergeCell ref="B69"/>
    <mergeCell ref="C69"/>
    <mergeCell ref="D69"/>
    <mergeCell ref="E69"/>
    <mergeCell ref="F69"/>
    <mergeCell ref="G69"/>
    <mergeCell ref="H69"/>
    <mergeCell ref="I69"/>
    <mergeCell ref="J69"/>
    <mergeCell ref="K69"/>
    <mergeCell ref="L69"/>
    <mergeCell ref="M69"/>
    <mergeCell ref="N69"/>
    <mergeCell ref="O69"/>
    <mergeCell ref="A70"/>
    <mergeCell ref="B70"/>
    <mergeCell ref="C70"/>
    <mergeCell ref="D70"/>
    <mergeCell ref="E70"/>
    <mergeCell ref="F70"/>
    <mergeCell ref="G70"/>
    <mergeCell ref="H70"/>
    <mergeCell ref="I70"/>
    <mergeCell ref="J70"/>
    <mergeCell ref="K70"/>
    <mergeCell ref="L70"/>
    <mergeCell ref="M70"/>
    <mergeCell ref="N70"/>
    <mergeCell ref="O70"/>
    <mergeCell ref="A67"/>
    <mergeCell ref="B67"/>
    <mergeCell ref="C67"/>
    <mergeCell ref="D67"/>
    <mergeCell ref="E67"/>
    <mergeCell ref="F67"/>
    <mergeCell ref="G67"/>
    <mergeCell ref="H67"/>
    <mergeCell ref="I67"/>
    <mergeCell ref="J67"/>
    <mergeCell ref="K67"/>
    <mergeCell ref="L67"/>
    <mergeCell ref="M67"/>
    <mergeCell ref="N67"/>
    <mergeCell ref="O67"/>
    <mergeCell ref="A68"/>
    <mergeCell ref="B68"/>
    <mergeCell ref="C68"/>
    <mergeCell ref="D68"/>
    <mergeCell ref="E68"/>
    <mergeCell ref="F68"/>
    <mergeCell ref="G68"/>
    <mergeCell ref="H68"/>
    <mergeCell ref="I68"/>
    <mergeCell ref="J68"/>
    <mergeCell ref="K68"/>
    <mergeCell ref="L68"/>
    <mergeCell ref="M68"/>
    <mergeCell ref="N68"/>
    <mergeCell ref="O68"/>
    <mergeCell ref="A65"/>
    <mergeCell ref="B65"/>
    <mergeCell ref="C65"/>
    <mergeCell ref="D65"/>
    <mergeCell ref="E65"/>
    <mergeCell ref="F65"/>
    <mergeCell ref="G65"/>
    <mergeCell ref="H65"/>
    <mergeCell ref="I65"/>
    <mergeCell ref="J65"/>
    <mergeCell ref="K65"/>
    <mergeCell ref="L65"/>
    <mergeCell ref="M65"/>
    <mergeCell ref="N65"/>
    <mergeCell ref="O65"/>
    <mergeCell ref="A66"/>
    <mergeCell ref="B66"/>
    <mergeCell ref="C66"/>
    <mergeCell ref="D66"/>
    <mergeCell ref="E66"/>
    <mergeCell ref="F66"/>
    <mergeCell ref="G66"/>
    <mergeCell ref="H66"/>
    <mergeCell ref="I66"/>
    <mergeCell ref="J66"/>
    <mergeCell ref="K66"/>
    <mergeCell ref="L66"/>
    <mergeCell ref="M66"/>
    <mergeCell ref="N66"/>
    <mergeCell ref="O66"/>
    <mergeCell ref="A63"/>
    <mergeCell ref="B63"/>
    <mergeCell ref="C63"/>
    <mergeCell ref="D63"/>
    <mergeCell ref="E63"/>
    <mergeCell ref="F63"/>
    <mergeCell ref="G63"/>
    <mergeCell ref="H63"/>
    <mergeCell ref="I63"/>
    <mergeCell ref="J63"/>
    <mergeCell ref="K63"/>
    <mergeCell ref="L63"/>
    <mergeCell ref="M63"/>
    <mergeCell ref="N63"/>
    <mergeCell ref="O63"/>
    <mergeCell ref="A64"/>
    <mergeCell ref="B64"/>
    <mergeCell ref="C64"/>
    <mergeCell ref="D64"/>
    <mergeCell ref="E64"/>
    <mergeCell ref="F64"/>
    <mergeCell ref="G64"/>
    <mergeCell ref="H64"/>
    <mergeCell ref="I64"/>
    <mergeCell ref="J64"/>
    <mergeCell ref="K64"/>
    <mergeCell ref="L64"/>
    <mergeCell ref="M64"/>
    <mergeCell ref="N64"/>
    <mergeCell ref="O64"/>
    <mergeCell ref="A61"/>
    <mergeCell ref="B61"/>
    <mergeCell ref="C61"/>
    <mergeCell ref="D61"/>
    <mergeCell ref="E61"/>
    <mergeCell ref="F61"/>
    <mergeCell ref="G61"/>
    <mergeCell ref="H61"/>
    <mergeCell ref="I61"/>
    <mergeCell ref="J61"/>
    <mergeCell ref="K61"/>
    <mergeCell ref="L61"/>
    <mergeCell ref="M61"/>
    <mergeCell ref="N61"/>
    <mergeCell ref="O61"/>
    <mergeCell ref="A62"/>
    <mergeCell ref="B62"/>
    <mergeCell ref="C62"/>
    <mergeCell ref="D62"/>
    <mergeCell ref="E62"/>
    <mergeCell ref="F62"/>
    <mergeCell ref="G62"/>
    <mergeCell ref="H62"/>
    <mergeCell ref="I62"/>
    <mergeCell ref="J62"/>
    <mergeCell ref="K62"/>
    <mergeCell ref="L62"/>
    <mergeCell ref="M62"/>
    <mergeCell ref="N62"/>
    <mergeCell ref="O62"/>
    <mergeCell ref="A59"/>
    <mergeCell ref="B59"/>
    <mergeCell ref="C59"/>
    <mergeCell ref="D59"/>
    <mergeCell ref="E59"/>
    <mergeCell ref="F59"/>
    <mergeCell ref="G59"/>
    <mergeCell ref="H59"/>
    <mergeCell ref="I59"/>
    <mergeCell ref="J59"/>
    <mergeCell ref="K59"/>
    <mergeCell ref="L59"/>
    <mergeCell ref="M59"/>
    <mergeCell ref="N59"/>
    <mergeCell ref="O59"/>
    <mergeCell ref="A60"/>
    <mergeCell ref="B60"/>
    <mergeCell ref="C60"/>
    <mergeCell ref="D60"/>
    <mergeCell ref="E60"/>
    <mergeCell ref="F60"/>
    <mergeCell ref="G60"/>
    <mergeCell ref="H60"/>
    <mergeCell ref="I60"/>
    <mergeCell ref="J60"/>
    <mergeCell ref="K60"/>
    <mergeCell ref="L60"/>
    <mergeCell ref="M60"/>
    <mergeCell ref="N60"/>
    <mergeCell ref="O60"/>
    <mergeCell ref="A57"/>
    <mergeCell ref="B57"/>
    <mergeCell ref="C57"/>
    <mergeCell ref="D57"/>
    <mergeCell ref="E57"/>
    <mergeCell ref="F57"/>
    <mergeCell ref="G57"/>
    <mergeCell ref="H57"/>
    <mergeCell ref="I57"/>
    <mergeCell ref="J57"/>
    <mergeCell ref="K57"/>
    <mergeCell ref="L57"/>
    <mergeCell ref="M57"/>
    <mergeCell ref="N57"/>
    <mergeCell ref="O57"/>
    <mergeCell ref="A58"/>
    <mergeCell ref="B58"/>
    <mergeCell ref="C58"/>
    <mergeCell ref="D58"/>
    <mergeCell ref="E58"/>
    <mergeCell ref="F58"/>
    <mergeCell ref="G58"/>
    <mergeCell ref="H58"/>
    <mergeCell ref="I58"/>
    <mergeCell ref="J58"/>
    <mergeCell ref="K58"/>
    <mergeCell ref="L58"/>
    <mergeCell ref="M58"/>
    <mergeCell ref="N58"/>
    <mergeCell ref="O58"/>
    <mergeCell ref="A55"/>
    <mergeCell ref="B55"/>
    <mergeCell ref="C55"/>
    <mergeCell ref="D55"/>
    <mergeCell ref="E55"/>
    <mergeCell ref="F55"/>
    <mergeCell ref="G55"/>
    <mergeCell ref="H55"/>
    <mergeCell ref="I55"/>
    <mergeCell ref="J55"/>
    <mergeCell ref="K55"/>
    <mergeCell ref="L55"/>
    <mergeCell ref="M55"/>
    <mergeCell ref="N55"/>
    <mergeCell ref="O55"/>
    <mergeCell ref="A56"/>
    <mergeCell ref="B56"/>
    <mergeCell ref="C56"/>
    <mergeCell ref="D56"/>
    <mergeCell ref="E56"/>
    <mergeCell ref="F56"/>
    <mergeCell ref="G56"/>
    <mergeCell ref="H56"/>
    <mergeCell ref="I56"/>
    <mergeCell ref="J56"/>
    <mergeCell ref="K56"/>
    <mergeCell ref="L56"/>
    <mergeCell ref="M56"/>
    <mergeCell ref="N56"/>
    <mergeCell ref="O56"/>
    <mergeCell ref="A53"/>
    <mergeCell ref="B53"/>
    <mergeCell ref="C53"/>
    <mergeCell ref="D53"/>
    <mergeCell ref="E53"/>
    <mergeCell ref="F53"/>
    <mergeCell ref="G53"/>
    <mergeCell ref="H53"/>
    <mergeCell ref="I53"/>
    <mergeCell ref="J53"/>
    <mergeCell ref="K53"/>
    <mergeCell ref="L53"/>
    <mergeCell ref="M53"/>
    <mergeCell ref="N53"/>
    <mergeCell ref="O53"/>
    <mergeCell ref="A54"/>
    <mergeCell ref="B54"/>
    <mergeCell ref="C54"/>
    <mergeCell ref="D54"/>
    <mergeCell ref="E54"/>
    <mergeCell ref="F54"/>
    <mergeCell ref="G54"/>
    <mergeCell ref="H54"/>
    <mergeCell ref="I54"/>
    <mergeCell ref="J54"/>
    <mergeCell ref="K54"/>
    <mergeCell ref="L54"/>
    <mergeCell ref="M54"/>
    <mergeCell ref="N54"/>
    <mergeCell ref="O54"/>
    <mergeCell ref="A51"/>
    <mergeCell ref="B51"/>
    <mergeCell ref="C51"/>
    <mergeCell ref="D51"/>
    <mergeCell ref="E51"/>
    <mergeCell ref="F51"/>
    <mergeCell ref="G51"/>
    <mergeCell ref="H51"/>
    <mergeCell ref="I51"/>
    <mergeCell ref="J51"/>
    <mergeCell ref="K51"/>
    <mergeCell ref="L51"/>
    <mergeCell ref="M51"/>
    <mergeCell ref="N51"/>
    <mergeCell ref="O51"/>
    <mergeCell ref="A52"/>
    <mergeCell ref="B52"/>
    <mergeCell ref="C52"/>
    <mergeCell ref="D52"/>
    <mergeCell ref="E52"/>
    <mergeCell ref="F52"/>
    <mergeCell ref="G52"/>
    <mergeCell ref="H52"/>
    <mergeCell ref="I52"/>
    <mergeCell ref="J52"/>
    <mergeCell ref="K52"/>
    <mergeCell ref="L52"/>
    <mergeCell ref="M52"/>
    <mergeCell ref="N52"/>
    <mergeCell ref="O52"/>
    <mergeCell ref="A49"/>
    <mergeCell ref="B49"/>
    <mergeCell ref="C49"/>
    <mergeCell ref="D49"/>
    <mergeCell ref="E49"/>
    <mergeCell ref="F49"/>
    <mergeCell ref="G49"/>
    <mergeCell ref="H49"/>
    <mergeCell ref="I49"/>
    <mergeCell ref="J49"/>
    <mergeCell ref="K49"/>
    <mergeCell ref="L49"/>
    <mergeCell ref="M49"/>
    <mergeCell ref="N49"/>
    <mergeCell ref="O49"/>
    <mergeCell ref="A50"/>
    <mergeCell ref="B50"/>
    <mergeCell ref="C50"/>
    <mergeCell ref="D50"/>
    <mergeCell ref="E50"/>
    <mergeCell ref="F50"/>
    <mergeCell ref="G50"/>
    <mergeCell ref="H50"/>
    <mergeCell ref="I50"/>
    <mergeCell ref="J50"/>
    <mergeCell ref="K50"/>
    <mergeCell ref="L50"/>
    <mergeCell ref="M50"/>
    <mergeCell ref="N50"/>
    <mergeCell ref="O50"/>
    <mergeCell ref="A47"/>
    <mergeCell ref="B47"/>
    <mergeCell ref="C47"/>
    <mergeCell ref="D47"/>
    <mergeCell ref="E47"/>
    <mergeCell ref="F47"/>
    <mergeCell ref="G47"/>
    <mergeCell ref="H47"/>
    <mergeCell ref="I47"/>
    <mergeCell ref="J47"/>
    <mergeCell ref="K47"/>
    <mergeCell ref="L47"/>
    <mergeCell ref="M47"/>
    <mergeCell ref="N47"/>
    <mergeCell ref="O47"/>
    <mergeCell ref="A48"/>
    <mergeCell ref="B48"/>
    <mergeCell ref="C48"/>
    <mergeCell ref="D48"/>
    <mergeCell ref="E48"/>
    <mergeCell ref="F48"/>
    <mergeCell ref="G48"/>
    <mergeCell ref="H48"/>
    <mergeCell ref="I48"/>
    <mergeCell ref="J48"/>
    <mergeCell ref="K48"/>
    <mergeCell ref="L48"/>
    <mergeCell ref="M48"/>
    <mergeCell ref="N48"/>
    <mergeCell ref="O48"/>
    <mergeCell ref="A45"/>
    <mergeCell ref="B45"/>
    <mergeCell ref="C45"/>
    <mergeCell ref="D45"/>
    <mergeCell ref="E45"/>
    <mergeCell ref="F45"/>
    <mergeCell ref="G45"/>
    <mergeCell ref="H45"/>
    <mergeCell ref="I45"/>
    <mergeCell ref="J45"/>
    <mergeCell ref="K45"/>
    <mergeCell ref="L45"/>
    <mergeCell ref="M45"/>
    <mergeCell ref="N45"/>
    <mergeCell ref="O45"/>
    <mergeCell ref="A46"/>
    <mergeCell ref="B46"/>
    <mergeCell ref="C46"/>
    <mergeCell ref="D46"/>
    <mergeCell ref="E46"/>
    <mergeCell ref="F46"/>
    <mergeCell ref="G46"/>
    <mergeCell ref="H46"/>
    <mergeCell ref="I46"/>
    <mergeCell ref="J46"/>
    <mergeCell ref="K46"/>
    <mergeCell ref="L46"/>
    <mergeCell ref="M46"/>
    <mergeCell ref="N46"/>
    <mergeCell ref="O46"/>
    <mergeCell ref="A43"/>
    <mergeCell ref="B43"/>
    <mergeCell ref="C43"/>
    <mergeCell ref="D43"/>
    <mergeCell ref="E43"/>
    <mergeCell ref="F43"/>
    <mergeCell ref="G43"/>
    <mergeCell ref="H43"/>
    <mergeCell ref="I43"/>
    <mergeCell ref="J43"/>
    <mergeCell ref="K43"/>
    <mergeCell ref="L43"/>
    <mergeCell ref="M43"/>
    <mergeCell ref="N43"/>
    <mergeCell ref="O43"/>
    <mergeCell ref="A44"/>
    <mergeCell ref="B44"/>
    <mergeCell ref="C44"/>
    <mergeCell ref="D44"/>
    <mergeCell ref="E44"/>
    <mergeCell ref="F44"/>
    <mergeCell ref="G44"/>
    <mergeCell ref="H44"/>
    <mergeCell ref="I44"/>
    <mergeCell ref="J44"/>
    <mergeCell ref="K44"/>
    <mergeCell ref="L44"/>
    <mergeCell ref="M44"/>
    <mergeCell ref="N44"/>
    <mergeCell ref="O44"/>
    <mergeCell ref="A41"/>
    <mergeCell ref="B41"/>
    <mergeCell ref="C41"/>
    <mergeCell ref="D41"/>
    <mergeCell ref="E41"/>
    <mergeCell ref="F41"/>
    <mergeCell ref="G41"/>
    <mergeCell ref="H41"/>
    <mergeCell ref="I41"/>
    <mergeCell ref="J41"/>
    <mergeCell ref="K41"/>
    <mergeCell ref="L41"/>
    <mergeCell ref="M41"/>
    <mergeCell ref="N41"/>
    <mergeCell ref="O41"/>
    <mergeCell ref="A42"/>
    <mergeCell ref="B42"/>
    <mergeCell ref="C42"/>
    <mergeCell ref="D42"/>
    <mergeCell ref="E42"/>
    <mergeCell ref="F42"/>
    <mergeCell ref="G42"/>
    <mergeCell ref="H42"/>
    <mergeCell ref="I42"/>
    <mergeCell ref="J42"/>
    <mergeCell ref="K42"/>
    <mergeCell ref="L42"/>
    <mergeCell ref="M42"/>
    <mergeCell ref="N42"/>
    <mergeCell ref="O42"/>
    <mergeCell ref="A39"/>
    <mergeCell ref="B39"/>
    <mergeCell ref="C39"/>
    <mergeCell ref="D39"/>
    <mergeCell ref="E39"/>
    <mergeCell ref="F39"/>
    <mergeCell ref="G39"/>
    <mergeCell ref="H39"/>
    <mergeCell ref="I39"/>
    <mergeCell ref="J39"/>
    <mergeCell ref="K39"/>
    <mergeCell ref="L39"/>
    <mergeCell ref="M39"/>
    <mergeCell ref="N39"/>
    <mergeCell ref="O39"/>
    <mergeCell ref="A40"/>
    <mergeCell ref="B40"/>
    <mergeCell ref="C40"/>
    <mergeCell ref="D40"/>
    <mergeCell ref="E40"/>
    <mergeCell ref="F40"/>
    <mergeCell ref="G40"/>
    <mergeCell ref="H40"/>
    <mergeCell ref="I40"/>
    <mergeCell ref="J40"/>
    <mergeCell ref="K40"/>
    <mergeCell ref="L40"/>
    <mergeCell ref="M40"/>
    <mergeCell ref="N40"/>
    <mergeCell ref="O40"/>
    <mergeCell ref="A37"/>
    <mergeCell ref="B37"/>
    <mergeCell ref="C37"/>
    <mergeCell ref="D37"/>
    <mergeCell ref="E37"/>
    <mergeCell ref="F37"/>
    <mergeCell ref="G37"/>
    <mergeCell ref="H37"/>
    <mergeCell ref="I37"/>
    <mergeCell ref="J37"/>
    <mergeCell ref="K37"/>
    <mergeCell ref="L37"/>
    <mergeCell ref="M37"/>
    <mergeCell ref="N37"/>
    <mergeCell ref="O37"/>
    <mergeCell ref="A38"/>
    <mergeCell ref="B38"/>
    <mergeCell ref="C38"/>
    <mergeCell ref="D38"/>
    <mergeCell ref="E38"/>
    <mergeCell ref="F38"/>
    <mergeCell ref="G38"/>
    <mergeCell ref="H38"/>
    <mergeCell ref="I38"/>
    <mergeCell ref="J38"/>
    <mergeCell ref="K38"/>
    <mergeCell ref="L38"/>
    <mergeCell ref="M38"/>
    <mergeCell ref="N38"/>
    <mergeCell ref="O38"/>
    <mergeCell ref="A35"/>
    <mergeCell ref="B35"/>
    <mergeCell ref="C35"/>
    <mergeCell ref="D35"/>
    <mergeCell ref="E35"/>
    <mergeCell ref="F35"/>
    <mergeCell ref="G35"/>
    <mergeCell ref="H35"/>
    <mergeCell ref="I35"/>
    <mergeCell ref="J35"/>
    <mergeCell ref="K35"/>
    <mergeCell ref="L35"/>
    <mergeCell ref="M35"/>
    <mergeCell ref="N35"/>
    <mergeCell ref="O35"/>
    <mergeCell ref="A36"/>
    <mergeCell ref="B36"/>
    <mergeCell ref="C36"/>
    <mergeCell ref="D36"/>
    <mergeCell ref="E36"/>
    <mergeCell ref="F36"/>
    <mergeCell ref="G36"/>
    <mergeCell ref="H36"/>
    <mergeCell ref="I36"/>
    <mergeCell ref="J36"/>
    <mergeCell ref="K36"/>
    <mergeCell ref="L36"/>
    <mergeCell ref="M36"/>
    <mergeCell ref="N36"/>
    <mergeCell ref="O36"/>
    <mergeCell ref="A33"/>
    <mergeCell ref="B33"/>
    <mergeCell ref="C33"/>
    <mergeCell ref="D33"/>
    <mergeCell ref="E33"/>
    <mergeCell ref="F33"/>
    <mergeCell ref="G33"/>
    <mergeCell ref="H33"/>
    <mergeCell ref="I33"/>
    <mergeCell ref="J33"/>
    <mergeCell ref="K33"/>
    <mergeCell ref="L33"/>
    <mergeCell ref="M33"/>
    <mergeCell ref="N33"/>
    <mergeCell ref="O33"/>
    <mergeCell ref="A34"/>
    <mergeCell ref="B34"/>
    <mergeCell ref="C34"/>
    <mergeCell ref="D34"/>
    <mergeCell ref="E34"/>
    <mergeCell ref="F34"/>
    <mergeCell ref="G34"/>
    <mergeCell ref="H34"/>
    <mergeCell ref="I34"/>
    <mergeCell ref="J34"/>
    <mergeCell ref="K34"/>
    <mergeCell ref="L34"/>
    <mergeCell ref="M34"/>
    <mergeCell ref="N34"/>
    <mergeCell ref="O34"/>
    <mergeCell ref="A31"/>
    <mergeCell ref="B31"/>
    <mergeCell ref="C31"/>
    <mergeCell ref="D31"/>
    <mergeCell ref="E31"/>
    <mergeCell ref="F31"/>
    <mergeCell ref="G31"/>
    <mergeCell ref="H31"/>
    <mergeCell ref="I31"/>
    <mergeCell ref="J31"/>
    <mergeCell ref="K31"/>
    <mergeCell ref="L31"/>
    <mergeCell ref="M31"/>
    <mergeCell ref="N31"/>
    <mergeCell ref="O31"/>
    <mergeCell ref="A32"/>
    <mergeCell ref="B32"/>
    <mergeCell ref="C32"/>
    <mergeCell ref="D32"/>
    <mergeCell ref="E32"/>
    <mergeCell ref="F32"/>
    <mergeCell ref="G32"/>
    <mergeCell ref="H32"/>
    <mergeCell ref="I32"/>
    <mergeCell ref="J32"/>
    <mergeCell ref="K32"/>
    <mergeCell ref="L32"/>
    <mergeCell ref="M32"/>
    <mergeCell ref="N32"/>
    <mergeCell ref="O32"/>
    <mergeCell ref="A29"/>
    <mergeCell ref="B29"/>
    <mergeCell ref="C29"/>
    <mergeCell ref="D29"/>
    <mergeCell ref="E29"/>
    <mergeCell ref="F29"/>
    <mergeCell ref="G29"/>
    <mergeCell ref="H29"/>
    <mergeCell ref="I29"/>
    <mergeCell ref="J29"/>
    <mergeCell ref="K29"/>
    <mergeCell ref="L29"/>
    <mergeCell ref="M29"/>
    <mergeCell ref="N29"/>
    <mergeCell ref="O29"/>
    <mergeCell ref="A30"/>
    <mergeCell ref="B30"/>
    <mergeCell ref="C30"/>
    <mergeCell ref="D30"/>
    <mergeCell ref="E30"/>
    <mergeCell ref="F30"/>
    <mergeCell ref="G30"/>
    <mergeCell ref="H30"/>
    <mergeCell ref="I30"/>
    <mergeCell ref="J30"/>
    <mergeCell ref="K30"/>
    <mergeCell ref="L30"/>
    <mergeCell ref="M30"/>
    <mergeCell ref="N30"/>
    <mergeCell ref="O30"/>
    <mergeCell ref="A27"/>
    <mergeCell ref="B27"/>
    <mergeCell ref="C27"/>
    <mergeCell ref="D27"/>
    <mergeCell ref="E27"/>
    <mergeCell ref="F27"/>
    <mergeCell ref="G27"/>
    <mergeCell ref="H27"/>
    <mergeCell ref="I27"/>
    <mergeCell ref="J27"/>
    <mergeCell ref="K27"/>
    <mergeCell ref="L27"/>
    <mergeCell ref="M27"/>
    <mergeCell ref="N27"/>
    <mergeCell ref="O27"/>
    <mergeCell ref="A28"/>
    <mergeCell ref="B28"/>
    <mergeCell ref="C28"/>
    <mergeCell ref="D28"/>
    <mergeCell ref="E28"/>
    <mergeCell ref="F28"/>
    <mergeCell ref="G28"/>
    <mergeCell ref="H28"/>
    <mergeCell ref="I28"/>
    <mergeCell ref="J28"/>
    <mergeCell ref="K28"/>
    <mergeCell ref="L28"/>
    <mergeCell ref="M28"/>
    <mergeCell ref="N28"/>
    <mergeCell ref="O28"/>
    <mergeCell ref="A25"/>
    <mergeCell ref="B25"/>
    <mergeCell ref="C25"/>
    <mergeCell ref="D25"/>
    <mergeCell ref="E25"/>
    <mergeCell ref="F25"/>
    <mergeCell ref="G25"/>
    <mergeCell ref="H25"/>
    <mergeCell ref="I25"/>
    <mergeCell ref="J25"/>
    <mergeCell ref="K25"/>
    <mergeCell ref="L25"/>
    <mergeCell ref="M25"/>
    <mergeCell ref="N25"/>
    <mergeCell ref="O25"/>
    <mergeCell ref="A26"/>
    <mergeCell ref="B26"/>
    <mergeCell ref="C26"/>
    <mergeCell ref="D26"/>
    <mergeCell ref="E26"/>
    <mergeCell ref="F26"/>
    <mergeCell ref="G26"/>
    <mergeCell ref="H26"/>
    <mergeCell ref="I26"/>
    <mergeCell ref="J26"/>
    <mergeCell ref="K26"/>
    <mergeCell ref="L26"/>
    <mergeCell ref="M26"/>
    <mergeCell ref="N26"/>
    <mergeCell ref="O26"/>
    <mergeCell ref="A23"/>
    <mergeCell ref="B23"/>
    <mergeCell ref="C23"/>
    <mergeCell ref="D23"/>
    <mergeCell ref="E23"/>
    <mergeCell ref="F23"/>
    <mergeCell ref="G23"/>
    <mergeCell ref="H23"/>
    <mergeCell ref="I23"/>
    <mergeCell ref="J23"/>
    <mergeCell ref="K23"/>
    <mergeCell ref="L23"/>
    <mergeCell ref="M23"/>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A21"/>
    <mergeCell ref="B21"/>
    <mergeCell ref="C21"/>
    <mergeCell ref="D21"/>
    <mergeCell ref="E21"/>
    <mergeCell ref="F21"/>
    <mergeCell ref="G21"/>
    <mergeCell ref="H21"/>
    <mergeCell ref="I21"/>
    <mergeCell ref="J21"/>
    <mergeCell ref="K21"/>
    <mergeCell ref="L21"/>
    <mergeCell ref="M21"/>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A19"/>
    <mergeCell ref="B19"/>
    <mergeCell ref="C19"/>
    <mergeCell ref="D19"/>
    <mergeCell ref="E19"/>
    <mergeCell ref="F19"/>
    <mergeCell ref="G19"/>
    <mergeCell ref="H19"/>
    <mergeCell ref="I19"/>
    <mergeCell ref="J19"/>
    <mergeCell ref="K19"/>
    <mergeCell ref="L19"/>
    <mergeCell ref="M19"/>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A17"/>
    <mergeCell ref="B17"/>
    <mergeCell ref="C17"/>
    <mergeCell ref="D17"/>
    <mergeCell ref="E17"/>
    <mergeCell ref="F17"/>
    <mergeCell ref="G17"/>
    <mergeCell ref="H17"/>
    <mergeCell ref="I17"/>
    <mergeCell ref="J17"/>
    <mergeCell ref="K17"/>
    <mergeCell ref="L17"/>
    <mergeCell ref="M17"/>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A15"/>
    <mergeCell ref="B15"/>
    <mergeCell ref="C15"/>
    <mergeCell ref="D15"/>
    <mergeCell ref="E15"/>
    <mergeCell ref="F15"/>
    <mergeCell ref="G15"/>
    <mergeCell ref="H15"/>
    <mergeCell ref="I15"/>
    <mergeCell ref="J15"/>
    <mergeCell ref="K15"/>
    <mergeCell ref="L15"/>
    <mergeCell ref="M15"/>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A13"/>
    <mergeCell ref="B13"/>
    <mergeCell ref="C13"/>
    <mergeCell ref="D13"/>
    <mergeCell ref="E13"/>
    <mergeCell ref="F13"/>
    <mergeCell ref="G13"/>
    <mergeCell ref="H13"/>
    <mergeCell ref="I13"/>
    <mergeCell ref="J13"/>
    <mergeCell ref="K13"/>
    <mergeCell ref="L13"/>
    <mergeCell ref="M13"/>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A11"/>
    <mergeCell ref="B11"/>
    <mergeCell ref="C11"/>
    <mergeCell ref="D11"/>
    <mergeCell ref="E11"/>
    <mergeCell ref="F11"/>
    <mergeCell ref="G11"/>
    <mergeCell ref="H11"/>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9"/>
    <mergeCell ref="B9"/>
    <mergeCell ref="C9"/>
    <mergeCell ref="D9"/>
    <mergeCell ref="E9"/>
    <mergeCell ref="F9"/>
    <mergeCell ref="G9"/>
    <mergeCell ref="H9"/>
    <mergeCell ref="I9"/>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7"/>
    <mergeCell ref="B7"/>
    <mergeCell ref="C7"/>
    <mergeCell ref="D7"/>
    <mergeCell ref="E7"/>
    <mergeCell ref="F7"/>
    <mergeCell ref="G7"/>
    <mergeCell ref="H7"/>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5"/>
    <mergeCell ref="B5"/>
    <mergeCell ref="C5"/>
    <mergeCell ref="D5"/>
    <mergeCell ref="E5"/>
    <mergeCell ref="F5"/>
    <mergeCell ref="G5"/>
    <mergeCell ref="H5"/>
    <mergeCell ref="I5"/>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3"/>
    <mergeCell ref="B3"/>
    <mergeCell ref="C3"/>
    <mergeCell ref="D3"/>
    <mergeCell ref="E3"/>
    <mergeCell ref="F3"/>
    <mergeCell ref="G3"/>
    <mergeCell ref="H3"/>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1"/>
    <mergeCell ref="B1"/>
    <mergeCell ref="C1"/>
    <mergeCell ref="D1"/>
    <mergeCell ref="E1"/>
    <mergeCell ref="F1"/>
    <mergeCell ref="G1"/>
    <mergeCell ref="H1"/>
    <mergeCell ref="I1"/>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s>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DCB0-752D-40AC-9F28-CC9242F3428B}">
  <dimension ref="A1:K126"/>
  <sheetViews>
    <sheetView workbookViewId="0">
      <selection activeCell="A19" sqref="A19"/>
    </sheetView>
  </sheetViews>
  <sheetFormatPr defaultRowHeight="14.25"/>
  <cols>
    <col min="1" max="1" width="11.625" style="3186" bestFit="1" customWidth="1"/>
    <col min="2" max="2" width="7.5" style="3186" bestFit="1" customWidth="1"/>
    <col min="3" max="3" width="5.5" style="3186" bestFit="1" customWidth="1"/>
    <col min="4" max="4" width="9.5" style="3186" bestFit="1" customWidth="1"/>
    <col min="5" max="5" width="13.875" style="3186" bestFit="1" customWidth="1"/>
    <col min="6" max="6" width="16.125" style="3186" bestFit="1" customWidth="1"/>
    <col min="7" max="7" width="17.25" style="3186" bestFit="1" customWidth="1"/>
    <col min="8" max="8" width="20" style="3186" customWidth="1"/>
    <col min="9" max="9" width="13.875" style="3186" bestFit="1" customWidth="1"/>
    <col min="10" max="10" width="16.125" style="3186" bestFit="1" customWidth="1"/>
    <col min="11" max="11" width="17.25" style="3186" bestFit="1" customWidth="1"/>
    <col min="12" max="16384" width="9" style="3186"/>
  </cols>
  <sheetData>
    <row r="1" spans="1:11">
      <c r="A1" s="3500" t="s">
        <v>3640</v>
      </c>
      <c r="B1" s="3500" t="s">
        <v>3643</v>
      </c>
      <c r="C1" s="3500" t="s">
        <v>3646</v>
      </c>
      <c r="D1" s="3500" t="s">
        <v>3647</v>
      </c>
      <c r="E1" s="3500" t="s">
        <v>3648</v>
      </c>
      <c r="F1" s="3500" t="s">
        <v>3649</v>
      </c>
      <c r="G1" s="3500" t="s">
        <v>3650</v>
      </c>
      <c r="H1" s="3500" t="s">
        <v>3651</v>
      </c>
      <c r="I1" s="3500" t="s">
        <v>3652</v>
      </c>
      <c r="J1" s="3500" t="s">
        <v>3653</v>
      </c>
      <c r="K1" s="3500" t="s">
        <v>3654</v>
      </c>
    </row>
    <row r="2" spans="1:11">
      <c r="A2" s="3501">
        <v>45133.333831018521</v>
      </c>
      <c r="B2" s="3500" t="s">
        <v>3660</v>
      </c>
      <c r="C2" s="3500">
        <v>-2</v>
      </c>
      <c r="D2" s="3500">
        <v>-2126</v>
      </c>
      <c r="E2" s="3500" t="s">
        <v>3657</v>
      </c>
      <c r="F2" s="3500" t="s">
        <v>3658</v>
      </c>
      <c r="G2" s="3500" t="s">
        <v>3659</v>
      </c>
      <c r="H2" s="3500">
        <v>1</v>
      </c>
      <c r="I2" s="3500">
        <v>31.28</v>
      </c>
      <c r="J2" s="3500">
        <v>30</v>
      </c>
      <c r="K2" s="3500">
        <v>9591</v>
      </c>
    </row>
    <row r="3" spans="1:11">
      <c r="A3" s="3501">
        <v>45133.333831018521</v>
      </c>
      <c r="B3" s="3500" t="s">
        <v>3660</v>
      </c>
      <c r="C3" s="3500">
        <v>-2</v>
      </c>
      <c r="D3" s="3500">
        <v>-2122</v>
      </c>
      <c r="E3" s="3500" t="s">
        <v>3657</v>
      </c>
      <c r="F3" s="3500" t="s">
        <v>3658</v>
      </c>
      <c r="G3" s="3500" t="s">
        <v>3659</v>
      </c>
      <c r="H3" s="3500">
        <v>1</v>
      </c>
      <c r="I3" s="3500">
        <v>31.28</v>
      </c>
      <c r="J3" s="3500">
        <v>30</v>
      </c>
      <c r="K3" s="3500">
        <v>9591</v>
      </c>
    </row>
    <row r="4" spans="1:11">
      <c r="A4" s="3501">
        <v>45133.333831018521</v>
      </c>
      <c r="B4" s="3500" t="s">
        <v>3660</v>
      </c>
      <c r="C4" s="3500">
        <v>-2</v>
      </c>
      <c r="D4" s="3500">
        <v>-2121</v>
      </c>
      <c r="E4" s="3500" t="s">
        <v>3657</v>
      </c>
      <c r="F4" s="3500" t="s">
        <v>3658</v>
      </c>
      <c r="G4" s="3500" t="s">
        <v>3659</v>
      </c>
      <c r="H4" s="3500">
        <v>1</v>
      </c>
      <c r="I4" s="3500">
        <v>31.28</v>
      </c>
      <c r="J4" s="3500">
        <v>30</v>
      </c>
      <c r="K4" s="3500">
        <v>9591</v>
      </c>
    </row>
    <row r="5" spans="1:11">
      <c r="A5" s="3501">
        <v>45133.333831018521</v>
      </c>
      <c r="B5" s="3500" t="s">
        <v>3660</v>
      </c>
      <c r="C5" s="3500">
        <v>-2</v>
      </c>
      <c r="D5" s="3500">
        <v>-2108</v>
      </c>
      <c r="E5" s="3500" t="s">
        <v>3657</v>
      </c>
      <c r="F5" s="3500" t="s">
        <v>3658</v>
      </c>
      <c r="G5" s="3500" t="s">
        <v>3659</v>
      </c>
      <c r="H5" s="3500">
        <v>1</v>
      </c>
      <c r="I5" s="3500">
        <v>31.28</v>
      </c>
      <c r="J5" s="3500">
        <v>30</v>
      </c>
      <c r="K5" s="3500">
        <v>9591</v>
      </c>
    </row>
    <row r="6" spans="1:11">
      <c r="A6" s="3501">
        <v>45133.333831018521</v>
      </c>
      <c r="B6" s="3500" t="s">
        <v>3661</v>
      </c>
      <c r="C6" s="3500">
        <v>12</v>
      </c>
      <c r="D6" s="3500">
        <v>1202</v>
      </c>
      <c r="E6" s="3500" t="s">
        <v>3662</v>
      </c>
      <c r="F6" s="3500" t="s">
        <v>21</v>
      </c>
      <c r="G6" s="3500" t="s">
        <v>3659</v>
      </c>
      <c r="H6" s="3500">
        <v>1</v>
      </c>
      <c r="I6" s="3500">
        <v>939.23</v>
      </c>
      <c r="J6" s="3500">
        <v>4320.46</v>
      </c>
      <c r="K6" s="3500">
        <v>46000</v>
      </c>
    </row>
    <row r="7" spans="1:11">
      <c r="A7" s="3501">
        <v>45133.333831018521</v>
      </c>
      <c r="B7" s="3500" t="s">
        <v>3660</v>
      </c>
      <c r="C7" s="3500">
        <v>-2</v>
      </c>
      <c r="D7" s="3500">
        <v>-2118</v>
      </c>
      <c r="E7" s="3500" t="s">
        <v>3657</v>
      </c>
      <c r="F7" s="3500" t="s">
        <v>3658</v>
      </c>
      <c r="G7" s="3500" t="s">
        <v>3659</v>
      </c>
      <c r="H7" s="3500">
        <v>1</v>
      </c>
      <c r="I7" s="3500">
        <v>31.28</v>
      </c>
      <c r="J7" s="3500">
        <v>30</v>
      </c>
      <c r="K7" s="3500">
        <v>9591</v>
      </c>
    </row>
    <row r="8" spans="1:11">
      <c r="A8" s="3501">
        <v>45133.333831018521</v>
      </c>
      <c r="B8" s="3500" t="s">
        <v>3661</v>
      </c>
      <c r="C8" s="3500">
        <v>11</v>
      </c>
      <c r="D8" s="3500">
        <v>1102</v>
      </c>
      <c r="E8" s="3500" t="s">
        <v>3662</v>
      </c>
      <c r="F8" s="3500" t="s">
        <v>21</v>
      </c>
      <c r="G8" s="3500" t="s">
        <v>3659</v>
      </c>
      <c r="H8" s="3500">
        <v>1</v>
      </c>
      <c r="I8" s="3500">
        <v>939.23</v>
      </c>
      <c r="J8" s="3500">
        <v>4320.46</v>
      </c>
      <c r="K8" s="3500">
        <v>46000</v>
      </c>
    </row>
    <row r="9" spans="1:11">
      <c r="A9" s="3501">
        <v>45133.333831018521</v>
      </c>
      <c r="B9" s="3500" t="s">
        <v>3660</v>
      </c>
      <c r="C9" s="3500">
        <v>-2</v>
      </c>
      <c r="D9" s="3500">
        <v>-2110</v>
      </c>
      <c r="E9" s="3500" t="s">
        <v>3657</v>
      </c>
      <c r="F9" s="3500" t="s">
        <v>3658</v>
      </c>
      <c r="G9" s="3500" t="s">
        <v>3659</v>
      </c>
      <c r="H9" s="3500">
        <v>1</v>
      </c>
      <c r="I9" s="3500">
        <v>31.28</v>
      </c>
      <c r="J9" s="3500">
        <v>30</v>
      </c>
      <c r="K9" s="3500">
        <v>9591</v>
      </c>
    </row>
    <row r="10" spans="1:11">
      <c r="A10" s="3501">
        <v>45133.333831018521</v>
      </c>
      <c r="B10" s="3500" t="s">
        <v>3660</v>
      </c>
      <c r="C10" s="3500">
        <v>-2</v>
      </c>
      <c r="D10" s="3500">
        <v>-2111</v>
      </c>
      <c r="E10" s="3500" t="s">
        <v>3657</v>
      </c>
      <c r="F10" s="3500" t="s">
        <v>3658</v>
      </c>
      <c r="G10" s="3500" t="s">
        <v>3659</v>
      </c>
      <c r="H10" s="3500">
        <v>1</v>
      </c>
      <c r="I10" s="3500">
        <v>31.28</v>
      </c>
      <c r="J10" s="3500">
        <v>30</v>
      </c>
      <c r="K10" s="3500">
        <v>9591</v>
      </c>
    </row>
    <row r="11" spans="1:11">
      <c r="A11" s="3501">
        <v>45133.333831018521</v>
      </c>
      <c r="B11" s="3500" t="s">
        <v>3661</v>
      </c>
      <c r="C11" s="3500">
        <v>11</v>
      </c>
      <c r="D11" s="3500">
        <v>1101</v>
      </c>
      <c r="E11" s="3500" t="s">
        <v>3662</v>
      </c>
      <c r="F11" s="3500" t="s">
        <v>21</v>
      </c>
      <c r="G11" s="3500" t="s">
        <v>3659</v>
      </c>
      <c r="H11" s="3500">
        <v>1</v>
      </c>
      <c r="I11" s="3500">
        <v>957.3</v>
      </c>
      <c r="J11" s="3500">
        <v>4403.58</v>
      </c>
      <c r="K11" s="3500">
        <v>46000</v>
      </c>
    </row>
    <row r="12" spans="1:11">
      <c r="A12" s="3501">
        <v>45133.333831018521</v>
      </c>
      <c r="B12" s="3500" t="s">
        <v>3660</v>
      </c>
      <c r="C12" s="3500">
        <v>-1</v>
      </c>
      <c r="D12" s="3500">
        <v>-101</v>
      </c>
      <c r="E12" s="3500" t="s">
        <v>3657</v>
      </c>
      <c r="F12" s="3500" t="s">
        <v>673</v>
      </c>
      <c r="G12" s="3500" t="s">
        <v>3659</v>
      </c>
      <c r="H12" s="3500">
        <v>1</v>
      </c>
      <c r="I12" s="3500">
        <v>700.14</v>
      </c>
      <c r="J12" s="3500">
        <v>1260.25</v>
      </c>
      <c r="K12" s="3500">
        <v>18000</v>
      </c>
    </row>
    <row r="13" spans="1:11">
      <c r="A13" s="3501">
        <v>45133.333831018521</v>
      </c>
      <c r="B13" s="3500" t="s">
        <v>3660</v>
      </c>
      <c r="C13" s="3500">
        <v>-2</v>
      </c>
      <c r="D13" s="3500">
        <v>-2120</v>
      </c>
      <c r="E13" s="3500" t="s">
        <v>3657</v>
      </c>
      <c r="F13" s="3500" t="s">
        <v>3658</v>
      </c>
      <c r="G13" s="3500" t="s">
        <v>3659</v>
      </c>
      <c r="H13" s="3500">
        <v>1</v>
      </c>
      <c r="I13" s="3500">
        <v>31.28</v>
      </c>
      <c r="J13" s="3500">
        <v>30</v>
      </c>
      <c r="K13" s="3500">
        <v>9591</v>
      </c>
    </row>
    <row r="14" spans="1:11">
      <c r="A14" s="3501">
        <v>45133.333831018521</v>
      </c>
      <c r="B14" s="3500" t="s">
        <v>3660</v>
      </c>
      <c r="C14" s="3500">
        <v>-2</v>
      </c>
      <c r="D14" s="3500">
        <v>-2119</v>
      </c>
      <c r="E14" s="3500" t="s">
        <v>3657</v>
      </c>
      <c r="F14" s="3500" t="s">
        <v>3658</v>
      </c>
      <c r="G14" s="3500" t="s">
        <v>3659</v>
      </c>
      <c r="H14" s="3500">
        <v>1</v>
      </c>
      <c r="I14" s="3500">
        <v>31.28</v>
      </c>
      <c r="J14" s="3500">
        <v>30</v>
      </c>
      <c r="K14" s="3500">
        <v>9591</v>
      </c>
    </row>
    <row r="15" spans="1:11">
      <c r="A15" s="3501">
        <v>45133.333831018521</v>
      </c>
      <c r="B15" s="3500" t="s">
        <v>3660</v>
      </c>
      <c r="C15" s="3500">
        <v>-2</v>
      </c>
      <c r="D15" s="3500">
        <v>-2123</v>
      </c>
      <c r="E15" s="3500" t="s">
        <v>3657</v>
      </c>
      <c r="F15" s="3500" t="s">
        <v>3658</v>
      </c>
      <c r="G15" s="3500" t="s">
        <v>3659</v>
      </c>
      <c r="H15" s="3500">
        <v>1</v>
      </c>
      <c r="I15" s="3500">
        <v>31.28</v>
      </c>
      <c r="J15" s="3500">
        <v>30</v>
      </c>
      <c r="K15" s="3500">
        <v>9591</v>
      </c>
    </row>
    <row r="16" spans="1:11">
      <c r="A16" s="3501">
        <v>45133.333831018521</v>
      </c>
      <c r="B16" s="3500" t="s">
        <v>3661</v>
      </c>
      <c r="C16" s="3500">
        <v>12</v>
      </c>
      <c r="D16" s="3500">
        <v>1201</v>
      </c>
      <c r="E16" s="3500" t="s">
        <v>3662</v>
      </c>
      <c r="F16" s="3500" t="s">
        <v>21</v>
      </c>
      <c r="G16" s="3500" t="s">
        <v>3659</v>
      </c>
      <c r="H16" s="3500">
        <v>1</v>
      </c>
      <c r="I16" s="3500">
        <v>957.3</v>
      </c>
      <c r="J16" s="3500">
        <v>4403.58</v>
      </c>
      <c r="K16" s="3500">
        <v>46000</v>
      </c>
    </row>
    <row r="17" spans="1:11">
      <c r="A17" s="3501">
        <v>45133.333831018521</v>
      </c>
      <c r="B17" s="3500" t="s">
        <v>3660</v>
      </c>
      <c r="C17" s="3500">
        <v>-2</v>
      </c>
      <c r="D17" s="3500">
        <v>-2109</v>
      </c>
      <c r="E17" s="3500" t="s">
        <v>3657</v>
      </c>
      <c r="F17" s="3500" t="s">
        <v>3658</v>
      </c>
      <c r="G17" s="3500" t="s">
        <v>3659</v>
      </c>
      <c r="H17" s="3500">
        <v>1</v>
      </c>
      <c r="I17" s="3500">
        <v>31.28</v>
      </c>
      <c r="J17" s="3500">
        <v>30</v>
      </c>
      <c r="K17" s="3500">
        <v>9591</v>
      </c>
    </row>
    <row r="18" spans="1:11">
      <c r="A18" s="3501">
        <v>45133.333831018521</v>
      </c>
      <c r="B18" s="3500" t="s">
        <v>3660</v>
      </c>
      <c r="C18" s="3500">
        <v>-2</v>
      </c>
      <c r="D18" s="3500">
        <v>-2100</v>
      </c>
      <c r="E18" s="3500" t="s">
        <v>3657</v>
      </c>
      <c r="F18" s="3500" t="s">
        <v>3658</v>
      </c>
      <c r="G18" s="3500" t="s">
        <v>3659</v>
      </c>
      <c r="H18" s="3500">
        <v>1</v>
      </c>
      <c r="I18" s="3500">
        <v>31.28</v>
      </c>
      <c r="J18" s="3500">
        <v>30</v>
      </c>
      <c r="K18" s="3500">
        <v>9591</v>
      </c>
    </row>
    <row r="19" spans="1:11">
      <c r="A19" s="3501">
        <v>45133.333831018521</v>
      </c>
      <c r="B19" s="3500" t="s">
        <v>3660</v>
      </c>
      <c r="C19" s="3500">
        <v>-2</v>
      </c>
      <c r="D19" s="3500">
        <v>-2103</v>
      </c>
      <c r="E19" s="3500" t="s">
        <v>3657</v>
      </c>
      <c r="F19" s="3500" t="s">
        <v>3658</v>
      </c>
      <c r="G19" s="3500" t="s">
        <v>3659</v>
      </c>
      <c r="H19" s="3500">
        <v>1</v>
      </c>
      <c r="I19" s="3500">
        <v>31.28</v>
      </c>
      <c r="J19" s="3500">
        <v>30</v>
      </c>
      <c r="K19" s="3500">
        <v>9591</v>
      </c>
    </row>
    <row r="20" spans="1:11">
      <c r="A20" s="3501">
        <v>45133.333831018521</v>
      </c>
      <c r="B20" s="3500" t="s">
        <v>3656</v>
      </c>
      <c r="C20" s="3500">
        <v>-2</v>
      </c>
      <c r="D20" s="3500">
        <v>-2082</v>
      </c>
      <c r="E20" s="3500" t="s">
        <v>3657</v>
      </c>
      <c r="F20" s="3500" t="s">
        <v>3658</v>
      </c>
      <c r="G20" s="3500" t="s">
        <v>3659</v>
      </c>
      <c r="H20" s="3500">
        <v>1</v>
      </c>
      <c r="I20" s="3500">
        <v>32.1</v>
      </c>
      <c r="J20" s="3500">
        <v>30</v>
      </c>
      <c r="K20" s="3500">
        <v>9346</v>
      </c>
    </row>
    <row r="21" spans="1:11">
      <c r="A21" s="3501">
        <v>45133.333831018521</v>
      </c>
      <c r="B21" s="3500" t="s">
        <v>3660</v>
      </c>
      <c r="C21" s="3500">
        <v>-2</v>
      </c>
      <c r="D21" s="3500">
        <v>-2124</v>
      </c>
      <c r="E21" s="3500" t="s">
        <v>3657</v>
      </c>
      <c r="F21" s="3500" t="s">
        <v>3658</v>
      </c>
      <c r="G21" s="3500" t="s">
        <v>3659</v>
      </c>
      <c r="H21" s="3500">
        <v>1</v>
      </c>
      <c r="I21" s="3500">
        <v>31.28</v>
      </c>
      <c r="J21" s="3500">
        <v>30</v>
      </c>
      <c r="K21" s="3500">
        <v>9591</v>
      </c>
    </row>
    <row r="22" spans="1:11">
      <c r="A22" s="3501">
        <v>45133.333831018521</v>
      </c>
      <c r="B22" s="3500" t="s">
        <v>3660</v>
      </c>
      <c r="C22" s="3500">
        <v>-2</v>
      </c>
      <c r="D22" s="3500">
        <v>-2102</v>
      </c>
      <c r="E22" s="3500" t="s">
        <v>3657</v>
      </c>
      <c r="F22" s="3500" t="s">
        <v>3658</v>
      </c>
      <c r="G22" s="3500" t="s">
        <v>3659</v>
      </c>
      <c r="H22" s="3500">
        <v>1</v>
      </c>
      <c r="I22" s="3500">
        <v>31.28</v>
      </c>
      <c r="J22" s="3500">
        <v>30</v>
      </c>
      <c r="K22" s="3500">
        <v>9591</v>
      </c>
    </row>
    <row r="23" spans="1:11">
      <c r="A23" s="3501">
        <v>45133.333831018521</v>
      </c>
      <c r="B23" s="3500" t="s">
        <v>3660</v>
      </c>
      <c r="C23" s="3500">
        <v>-2</v>
      </c>
      <c r="D23" s="3500">
        <v>-2125</v>
      </c>
      <c r="E23" s="3500" t="s">
        <v>3657</v>
      </c>
      <c r="F23" s="3500" t="s">
        <v>3658</v>
      </c>
      <c r="G23" s="3500" t="s">
        <v>3659</v>
      </c>
      <c r="H23" s="3500">
        <v>1</v>
      </c>
      <c r="I23" s="3500">
        <v>31.28</v>
      </c>
      <c r="J23" s="3500">
        <v>30</v>
      </c>
      <c r="K23" s="3500">
        <v>9591</v>
      </c>
    </row>
    <row r="24" spans="1:11">
      <c r="A24" s="3187"/>
      <c r="I24" s="3186">
        <f>SUM(I2:I23)</f>
        <v>5025.78</v>
      </c>
      <c r="J24" s="3186">
        <f>SUM(J2:J23)</f>
        <v>19218.330000000002</v>
      </c>
      <c r="K24" s="3186">
        <f>ROUND(J24/I24*10000,0)</f>
        <v>38239</v>
      </c>
    </row>
    <row r="25" spans="1:11">
      <c r="A25" s="3187"/>
      <c r="H25" s="3186" t="s">
        <v>3663</v>
      </c>
      <c r="I25" s="3186">
        <f>I6+I8+I11+I12+I16</f>
        <v>4493.2</v>
      </c>
    </row>
    <row r="26" spans="1:11">
      <c r="A26" s="3187"/>
      <c r="H26" s="3186" t="s">
        <v>3664</v>
      </c>
      <c r="I26" s="3186">
        <f>I24-I25</f>
        <v>532.57999999999993</v>
      </c>
    </row>
    <row r="27" spans="1:11">
      <c r="A27" s="3187"/>
      <c r="H27" s="3186" t="s">
        <v>3665</v>
      </c>
      <c r="I27" s="3188">
        <f>I26/I24</f>
        <v>0.10596962063600077</v>
      </c>
    </row>
    <row r="28" spans="1:11">
      <c r="A28" s="3187"/>
    </row>
    <row r="29" spans="1:11">
      <c r="A29" s="3187"/>
    </row>
    <row r="30" spans="1:11">
      <c r="A30" s="3187"/>
    </row>
    <row r="31" spans="1:11">
      <c r="A31" s="3187"/>
    </row>
    <row r="32" spans="1:11">
      <c r="A32" s="3187"/>
    </row>
    <row r="33" spans="1:1">
      <c r="A33" s="3187"/>
    </row>
    <row r="34" spans="1:1">
      <c r="A34" s="3187"/>
    </row>
    <row r="35" spans="1:1">
      <c r="A35" s="3187"/>
    </row>
    <row r="36" spans="1:1">
      <c r="A36" s="3187"/>
    </row>
    <row r="37" spans="1:1">
      <c r="A37" s="3187"/>
    </row>
    <row r="38" spans="1:1">
      <c r="A38" s="3187"/>
    </row>
    <row r="39" spans="1:1">
      <c r="A39" s="3187"/>
    </row>
    <row r="40" spans="1:1">
      <c r="A40" s="3187"/>
    </row>
    <row r="41" spans="1:1">
      <c r="A41" s="3187"/>
    </row>
    <row r="42" spans="1:1">
      <c r="A42" s="3187"/>
    </row>
    <row r="43" spans="1:1">
      <c r="A43" s="3187"/>
    </row>
    <row r="44" spans="1:1">
      <c r="A44" s="3187"/>
    </row>
    <row r="45" spans="1:1">
      <c r="A45" s="3187"/>
    </row>
    <row r="46" spans="1:1">
      <c r="A46" s="3187"/>
    </row>
    <row r="47" spans="1:1">
      <c r="A47" s="3187"/>
    </row>
    <row r="48" spans="1:1">
      <c r="A48" s="3187"/>
    </row>
    <row r="49" spans="1:1">
      <c r="A49" s="3187"/>
    </row>
    <row r="50" spans="1:1">
      <c r="A50" s="3187"/>
    </row>
    <row r="51" spans="1:1">
      <c r="A51" s="3187"/>
    </row>
    <row r="52" spans="1:1">
      <c r="A52" s="3187"/>
    </row>
    <row r="53" spans="1:1">
      <c r="A53" s="3187"/>
    </row>
    <row r="54" spans="1:1">
      <c r="A54" s="3187"/>
    </row>
    <row r="55" spans="1:1">
      <c r="A55" s="3187"/>
    </row>
    <row r="56" spans="1:1">
      <c r="A56" s="3187"/>
    </row>
    <row r="57" spans="1:1">
      <c r="A57" s="3187"/>
    </row>
    <row r="58" spans="1:1">
      <c r="A58" s="3187"/>
    </row>
    <row r="59" spans="1:1">
      <c r="A59" s="3187"/>
    </row>
    <row r="60" spans="1:1">
      <c r="A60" s="3187"/>
    </row>
    <row r="61" spans="1:1">
      <c r="A61" s="3187"/>
    </row>
    <row r="62" spans="1:1">
      <c r="A62" s="3187"/>
    </row>
    <row r="63" spans="1:1">
      <c r="A63" s="3187"/>
    </row>
    <row r="64" spans="1:1">
      <c r="A64" s="3187"/>
    </row>
    <row r="65" spans="1:1">
      <c r="A65" s="3187"/>
    </row>
    <row r="66" spans="1:1">
      <c r="A66" s="3187"/>
    </row>
    <row r="67" spans="1:1">
      <c r="A67" s="3187"/>
    </row>
    <row r="68" spans="1:1">
      <c r="A68" s="3187"/>
    </row>
    <row r="69" spans="1:1">
      <c r="A69" s="3187"/>
    </row>
    <row r="70" spans="1:1">
      <c r="A70" s="3187"/>
    </row>
    <row r="71" spans="1:1">
      <c r="A71" s="3187"/>
    </row>
    <row r="72" spans="1:1">
      <c r="A72" s="3187"/>
    </row>
    <row r="73" spans="1:1">
      <c r="A73" s="3187"/>
    </row>
    <row r="74" spans="1:1">
      <c r="A74" s="3187"/>
    </row>
    <row r="75" spans="1:1">
      <c r="A75" s="3187"/>
    </row>
    <row r="76" spans="1:1">
      <c r="A76" s="3187"/>
    </row>
    <row r="77" spans="1:1">
      <c r="A77" s="3187"/>
    </row>
    <row r="78" spans="1:1">
      <c r="A78" s="3187"/>
    </row>
    <row r="79" spans="1:1">
      <c r="A79" s="3187"/>
    </row>
    <row r="80" spans="1:1">
      <c r="A80" s="3187"/>
    </row>
    <row r="81" spans="1:1">
      <c r="A81" s="3187"/>
    </row>
    <row r="82" spans="1:1">
      <c r="A82" s="3187"/>
    </row>
    <row r="83" spans="1:1">
      <c r="A83" s="3187"/>
    </row>
    <row r="84" spans="1:1">
      <c r="A84" s="3187"/>
    </row>
    <row r="85" spans="1:1">
      <c r="A85" s="3187"/>
    </row>
    <row r="86" spans="1:1">
      <c r="A86" s="3187"/>
    </row>
    <row r="87" spans="1:1">
      <c r="A87" s="3187"/>
    </row>
    <row r="88" spans="1:1">
      <c r="A88" s="3187"/>
    </row>
    <row r="89" spans="1:1">
      <c r="A89" s="3187"/>
    </row>
    <row r="90" spans="1:1">
      <c r="A90" s="3187"/>
    </row>
    <row r="91" spans="1:1">
      <c r="A91" s="3187"/>
    </row>
    <row r="92" spans="1:1">
      <c r="A92" s="3187"/>
    </row>
    <row r="93" spans="1:1">
      <c r="A93" s="3187"/>
    </row>
    <row r="94" spans="1:1">
      <c r="A94" s="3187"/>
    </row>
    <row r="95" spans="1:1">
      <c r="A95" s="3187"/>
    </row>
    <row r="96" spans="1:1">
      <c r="A96" s="3187"/>
    </row>
    <row r="97" spans="1:1">
      <c r="A97" s="3187"/>
    </row>
    <row r="98" spans="1:1">
      <c r="A98" s="3187"/>
    </row>
    <row r="99" spans="1:1">
      <c r="A99" s="3187"/>
    </row>
    <row r="100" spans="1:1">
      <c r="A100" s="3187"/>
    </row>
    <row r="101" spans="1:1">
      <c r="A101" s="3187"/>
    </row>
    <row r="102" spans="1:1">
      <c r="A102" s="3187"/>
    </row>
    <row r="103" spans="1:1">
      <c r="A103" s="3187"/>
    </row>
    <row r="104" spans="1:1">
      <c r="A104" s="3187"/>
    </row>
    <row r="105" spans="1:1">
      <c r="A105" s="3187"/>
    </row>
    <row r="106" spans="1:1">
      <c r="A106" s="3187"/>
    </row>
    <row r="107" spans="1:1">
      <c r="A107" s="3187"/>
    </row>
    <row r="108" spans="1:1">
      <c r="A108" s="3187"/>
    </row>
    <row r="109" spans="1:1">
      <c r="A109" s="3187"/>
    </row>
    <row r="110" spans="1:1">
      <c r="A110" s="3187"/>
    </row>
    <row r="111" spans="1:1">
      <c r="A111" s="3187"/>
    </row>
    <row r="112" spans="1:1">
      <c r="A112" s="3187"/>
    </row>
    <row r="113" spans="1:1">
      <c r="A113" s="3187"/>
    </row>
    <row r="114" spans="1:1">
      <c r="A114" s="3187"/>
    </row>
    <row r="115" spans="1:1">
      <c r="A115" s="3187"/>
    </row>
    <row r="116" spans="1:1">
      <c r="A116" s="3187"/>
    </row>
    <row r="117" spans="1:1">
      <c r="A117" s="3187"/>
    </row>
    <row r="118" spans="1:1">
      <c r="A118" s="3187"/>
    </row>
    <row r="119" spans="1:1">
      <c r="A119" s="3187"/>
    </row>
    <row r="120" spans="1:1">
      <c r="A120" s="3187"/>
    </row>
    <row r="121" spans="1:1">
      <c r="A121" s="3187"/>
    </row>
    <row r="122" spans="1:1">
      <c r="A122" s="3187"/>
    </row>
    <row r="123" spans="1:1">
      <c r="A123" s="3187"/>
    </row>
    <row r="124" spans="1:1">
      <c r="A124" s="3187"/>
    </row>
    <row r="125" spans="1:1">
      <c r="A125" s="3187"/>
    </row>
    <row r="126" spans="1:1">
      <c r="A126" s="3187"/>
    </row>
  </sheetData>
  <mergeCells count="253">
    <mergeCell ref="F23"/>
    <mergeCell ref="G23"/>
    <mergeCell ref="H23"/>
    <mergeCell ref="I23"/>
    <mergeCell ref="J23"/>
    <mergeCell ref="K23"/>
    <mergeCell ref="A23"/>
    <mergeCell ref="B23"/>
    <mergeCell ref="C23"/>
    <mergeCell ref="D23"/>
    <mergeCell ref="E23"/>
    <mergeCell ref="I21"/>
    <mergeCell ref="J21"/>
    <mergeCell ref="K21"/>
    <mergeCell ref="A22"/>
    <mergeCell ref="B22"/>
    <mergeCell ref="C22"/>
    <mergeCell ref="D22"/>
    <mergeCell ref="E22"/>
    <mergeCell ref="F22"/>
    <mergeCell ref="G22"/>
    <mergeCell ref="H22"/>
    <mergeCell ref="I22"/>
    <mergeCell ref="J22"/>
    <mergeCell ref="K22"/>
    <mergeCell ref="A21"/>
    <mergeCell ref="B21"/>
    <mergeCell ref="C21"/>
    <mergeCell ref="D21"/>
    <mergeCell ref="E21"/>
    <mergeCell ref="F19"/>
    <mergeCell ref="G19"/>
    <mergeCell ref="H19"/>
    <mergeCell ref="C19"/>
    <mergeCell ref="D19"/>
    <mergeCell ref="E19"/>
    <mergeCell ref="F21"/>
    <mergeCell ref="G21"/>
    <mergeCell ref="H21"/>
    <mergeCell ref="I19"/>
    <mergeCell ref="J19"/>
    <mergeCell ref="K19"/>
    <mergeCell ref="A20"/>
    <mergeCell ref="B20"/>
    <mergeCell ref="C20"/>
    <mergeCell ref="D20"/>
    <mergeCell ref="E20"/>
    <mergeCell ref="F20"/>
    <mergeCell ref="G20"/>
    <mergeCell ref="H20"/>
    <mergeCell ref="I20"/>
    <mergeCell ref="J20"/>
    <mergeCell ref="K20"/>
    <mergeCell ref="A19"/>
    <mergeCell ref="B19"/>
    <mergeCell ref="I17"/>
    <mergeCell ref="J17"/>
    <mergeCell ref="K17"/>
    <mergeCell ref="A18"/>
    <mergeCell ref="B18"/>
    <mergeCell ref="C18"/>
    <mergeCell ref="D18"/>
    <mergeCell ref="E18"/>
    <mergeCell ref="F18"/>
    <mergeCell ref="G18"/>
    <mergeCell ref="H18"/>
    <mergeCell ref="I18"/>
    <mergeCell ref="J18"/>
    <mergeCell ref="K18"/>
    <mergeCell ref="A17"/>
    <mergeCell ref="B17"/>
    <mergeCell ref="C17"/>
    <mergeCell ref="D17"/>
    <mergeCell ref="E17"/>
    <mergeCell ref="F15"/>
    <mergeCell ref="G15"/>
    <mergeCell ref="H15"/>
    <mergeCell ref="C15"/>
    <mergeCell ref="D15"/>
    <mergeCell ref="E15"/>
    <mergeCell ref="F17"/>
    <mergeCell ref="G17"/>
    <mergeCell ref="H17"/>
    <mergeCell ref="I15"/>
    <mergeCell ref="J15"/>
    <mergeCell ref="K15"/>
    <mergeCell ref="A16"/>
    <mergeCell ref="B16"/>
    <mergeCell ref="C16"/>
    <mergeCell ref="D16"/>
    <mergeCell ref="E16"/>
    <mergeCell ref="F16"/>
    <mergeCell ref="G16"/>
    <mergeCell ref="H16"/>
    <mergeCell ref="I16"/>
    <mergeCell ref="J16"/>
    <mergeCell ref="K16"/>
    <mergeCell ref="A15"/>
    <mergeCell ref="B15"/>
    <mergeCell ref="I13"/>
    <mergeCell ref="J13"/>
    <mergeCell ref="K13"/>
    <mergeCell ref="A14"/>
    <mergeCell ref="B14"/>
    <mergeCell ref="C14"/>
    <mergeCell ref="D14"/>
    <mergeCell ref="E14"/>
    <mergeCell ref="F14"/>
    <mergeCell ref="G14"/>
    <mergeCell ref="H14"/>
    <mergeCell ref="I14"/>
    <mergeCell ref="J14"/>
    <mergeCell ref="K14"/>
    <mergeCell ref="A13"/>
    <mergeCell ref="B13"/>
    <mergeCell ref="C13"/>
    <mergeCell ref="D13"/>
    <mergeCell ref="E13"/>
    <mergeCell ref="F11"/>
    <mergeCell ref="G11"/>
    <mergeCell ref="H11"/>
    <mergeCell ref="C11"/>
    <mergeCell ref="D11"/>
    <mergeCell ref="E11"/>
    <mergeCell ref="F13"/>
    <mergeCell ref="G13"/>
    <mergeCell ref="H13"/>
    <mergeCell ref="I11"/>
    <mergeCell ref="J11"/>
    <mergeCell ref="K11"/>
    <mergeCell ref="A12"/>
    <mergeCell ref="B12"/>
    <mergeCell ref="C12"/>
    <mergeCell ref="D12"/>
    <mergeCell ref="E12"/>
    <mergeCell ref="F12"/>
    <mergeCell ref="G12"/>
    <mergeCell ref="H12"/>
    <mergeCell ref="I12"/>
    <mergeCell ref="J12"/>
    <mergeCell ref="K12"/>
    <mergeCell ref="A11"/>
    <mergeCell ref="B11"/>
    <mergeCell ref="I9"/>
    <mergeCell ref="J9"/>
    <mergeCell ref="K9"/>
    <mergeCell ref="A10"/>
    <mergeCell ref="B10"/>
    <mergeCell ref="C10"/>
    <mergeCell ref="D10"/>
    <mergeCell ref="E10"/>
    <mergeCell ref="F10"/>
    <mergeCell ref="G10"/>
    <mergeCell ref="H10"/>
    <mergeCell ref="I10"/>
    <mergeCell ref="J10"/>
    <mergeCell ref="K10"/>
    <mergeCell ref="A9"/>
    <mergeCell ref="B9"/>
    <mergeCell ref="C9"/>
    <mergeCell ref="D9"/>
    <mergeCell ref="E9"/>
    <mergeCell ref="F7"/>
    <mergeCell ref="G7"/>
    <mergeCell ref="H7"/>
    <mergeCell ref="C7"/>
    <mergeCell ref="D7"/>
    <mergeCell ref="E7"/>
    <mergeCell ref="F9"/>
    <mergeCell ref="G9"/>
    <mergeCell ref="H9"/>
    <mergeCell ref="I7"/>
    <mergeCell ref="J7"/>
    <mergeCell ref="K7"/>
    <mergeCell ref="A8"/>
    <mergeCell ref="B8"/>
    <mergeCell ref="C8"/>
    <mergeCell ref="D8"/>
    <mergeCell ref="E8"/>
    <mergeCell ref="F8"/>
    <mergeCell ref="G8"/>
    <mergeCell ref="H8"/>
    <mergeCell ref="I8"/>
    <mergeCell ref="J8"/>
    <mergeCell ref="K8"/>
    <mergeCell ref="A7"/>
    <mergeCell ref="B7"/>
    <mergeCell ref="I5"/>
    <mergeCell ref="J5"/>
    <mergeCell ref="K5"/>
    <mergeCell ref="A6"/>
    <mergeCell ref="B6"/>
    <mergeCell ref="C6"/>
    <mergeCell ref="D6"/>
    <mergeCell ref="E6"/>
    <mergeCell ref="F6"/>
    <mergeCell ref="G6"/>
    <mergeCell ref="H6"/>
    <mergeCell ref="I6"/>
    <mergeCell ref="J6"/>
    <mergeCell ref="K6"/>
    <mergeCell ref="A5"/>
    <mergeCell ref="B5"/>
    <mergeCell ref="C5"/>
    <mergeCell ref="D5"/>
    <mergeCell ref="E5"/>
    <mergeCell ref="F3"/>
    <mergeCell ref="G3"/>
    <mergeCell ref="H3"/>
    <mergeCell ref="C3"/>
    <mergeCell ref="D3"/>
    <mergeCell ref="E3"/>
    <mergeCell ref="F5"/>
    <mergeCell ref="G5"/>
    <mergeCell ref="H5"/>
    <mergeCell ref="I3"/>
    <mergeCell ref="J3"/>
    <mergeCell ref="K3"/>
    <mergeCell ref="A4"/>
    <mergeCell ref="B4"/>
    <mergeCell ref="C4"/>
    <mergeCell ref="D4"/>
    <mergeCell ref="E4"/>
    <mergeCell ref="F4"/>
    <mergeCell ref="G4"/>
    <mergeCell ref="H4"/>
    <mergeCell ref="I4"/>
    <mergeCell ref="J4"/>
    <mergeCell ref="K4"/>
    <mergeCell ref="A3"/>
    <mergeCell ref="B3"/>
    <mergeCell ref="K1"/>
    <mergeCell ref="A2"/>
    <mergeCell ref="B2"/>
    <mergeCell ref="C2"/>
    <mergeCell ref="D2"/>
    <mergeCell ref="E2"/>
    <mergeCell ref="F2"/>
    <mergeCell ref="G2"/>
    <mergeCell ref="H2"/>
    <mergeCell ref="I2"/>
    <mergeCell ref="J2"/>
    <mergeCell ref="K2"/>
    <mergeCell ref="A1"/>
    <mergeCell ref="B1"/>
    <mergeCell ref="C1"/>
    <mergeCell ref="D1"/>
    <mergeCell ref="E1"/>
    <mergeCell ref="F1"/>
    <mergeCell ref="G1"/>
    <mergeCell ref="H1"/>
    <mergeCell ref="I1"/>
    <mergeCell ref="J1"/>
  </mergeCells>
  <phoneticPr fontId="134"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2C901-A2BF-4148-8C93-80F2536E7EF4}">
  <dimension ref="A1:K22"/>
  <sheetViews>
    <sheetView workbookViewId="0">
      <selection activeCell="P28" sqref="P28"/>
    </sheetView>
  </sheetViews>
  <sheetFormatPr defaultRowHeight="13.5"/>
  <cols>
    <col min="1" max="1" width="10.5" bestFit="1" customWidth="1"/>
  </cols>
  <sheetData>
    <row r="1" spans="1:11" ht="14.25">
      <c r="A1" s="3500" t="s">
        <v>3640</v>
      </c>
      <c r="B1" s="3500" t="s">
        <v>3643</v>
      </c>
      <c r="C1" s="3500" t="s">
        <v>3646</v>
      </c>
      <c r="D1" s="3500" t="s">
        <v>3647</v>
      </c>
      <c r="E1" s="3500" t="s">
        <v>3648</v>
      </c>
      <c r="F1" s="3500" t="s">
        <v>3649</v>
      </c>
      <c r="G1" s="3500" t="s">
        <v>3650</v>
      </c>
      <c r="H1" s="3500" t="s">
        <v>3651</v>
      </c>
      <c r="I1" s="3500" t="s">
        <v>3652</v>
      </c>
      <c r="J1" s="3500" t="s">
        <v>3653</v>
      </c>
      <c r="K1" s="3500" t="s">
        <v>3654</v>
      </c>
    </row>
    <row r="2" spans="1:11" ht="14.25">
      <c r="A2" s="3501">
        <v>45308.333831018521</v>
      </c>
      <c r="B2" s="3500" t="s">
        <v>3747</v>
      </c>
      <c r="C2" s="3500">
        <v>1</v>
      </c>
      <c r="D2" s="3500">
        <v>101</v>
      </c>
      <c r="E2" s="3500" t="s">
        <v>3748</v>
      </c>
      <c r="F2" s="3500" t="s">
        <v>673</v>
      </c>
      <c r="G2" s="3500" t="s">
        <v>3659</v>
      </c>
      <c r="H2" s="3500">
        <v>1</v>
      </c>
      <c r="I2" s="3500">
        <v>298.06</v>
      </c>
      <c r="J2" s="3500">
        <v>1561.83</v>
      </c>
      <c r="K2" s="3500">
        <v>52400</v>
      </c>
    </row>
    <row r="3" spans="1:11" ht="14.25">
      <c r="A3" s="3501">
        <v>45308.333831018521</v>
      </c>
      <c r="B3" s="3500" t="s">
        <v>3747</v>
      </c>
      <c r="C3" s="3500">
        <v>2</v>
      </c>
      <c r="D3" s="3500">
        <v>201</v>
      </c>
      <c r="E3" s="3500" t="s">
        <v>3748</v>
      </c>
      <c r="F3" s="3500" t="s">
        <v>21</v>
      </c>
      <c r="G3" s="3500" t="s">
        <v>3659</v>
      </c>
      <c r="H3" s="3500">
        <v>1</v>
      </c>
      <c r="I3" s="3500">
        <v>787.52</v>
      </c>
      <c r="J3" s="3500">
        <v>3339.08</v>
      </c>
      <c r="K3" s="3500">
        <v>42400</v>
      </c>
    </row>
    <row r="4" spans="1:11" ht="14.25">
      <c r="A4" s="3501">
        <v>45308.333831018521</v>
      </c>
      <c r="B4" s="3500" t="s">
        <v>3747</v>
      </c>
      <c r="C4" s="3500">
        <v>3</v>
      </c>
      <c r="D4" s="3500">
        <v>302</v>
      </c>
      <c r="E4" s="3500" t="s">
        <v>3748</v>
      </c>
      <c r="F4" s="3500" t="s">
        <v>21</v>
      </c>
      <c r="G4" s="3500" t="s">
        <v>3659</v>
      </c>
      <c r="H4" s="3500">
        <v>1</v>
      </c>
      <c r="I4" s="3500">
        <v>726.16</v>
      </c>
      <c r="J4" s="3500">
        <v>3078.9</v>
      </c>
      <c r="K4" s="3500">
        <v>42400</v>
      </c>
    </row>
    <row r="5" spans="1:11" ht="14.25">
      <c r="A5" s="3501">
        <v>45308.333831018521</v>
      </c>
      <c r="B5" s="3500" t="s">
        <v>3747</v>
      </c>
      <c r="C5" s="3500">
        <v>3</v>
      </c>
      <c r="D5" s="3500">
        <v>301</v>
      </c>
      <c r="E5" s="3500" t="s">
        <v>3748</v>
      </c>
      <c r="F5" s="3500" t="s">
        <v>21</v>
      </c>
      <c r="G5" s="3500" t="s">
        <v>3659</v>
      </c>
      <c r="H5" s="3500">
        <v>1</v>
      </c>
      <c r="I5" s="3500">
        <v>767.09</v>
      </c>
      <c r="J5" s="3500">
        <v>3252.46</v>
      </c>
      <c r="K5" s="3500">
        <v>42400</v>
      </c>
    </row>
    <row r="6" spans="1:11" ht="14.25">
      <c r="A6" s="3501">
        <v>45308.333831018521</v>
      </c>
      <c r="B6" s="3500" t="s">
        <v>3747</v>
      </c>
      <c r="C6" s="3500">
        <v>4</v>
      </c>
      <c r="D6" s="3500">
        <v>402</v>
      </c>
      <c r="E6" s="3500" t="s">
        <v>3748</v>
      </c>
      <c r="F6" s="3500" t="s">
        <v>21</v>
      </c>
      <c r="G6" s="3500" t="s">
        <v>3659</v>
      </c>
      <c r="H6" s="3500">
        <v>1</v>
      </c>
      <c r="I6" s="3500">
        <v>935.99</v>
      </c>
      <c r="J6" s="3500">
        <v>3968.6</v>
      </c>
      <c r="K6" s="3500">
        <v>42400</v>
      </c>
    </row>
    <row r="7" spans="1:11" ht="14.25">
      <c r="A7" s="3501">
        <v>45308.333831018521</v>
      </c>
      <c r="B7" s="3500" t="s">
        <v>3747</v>
      </c>
      <c r="C7" s="3500">
        <v>4</v>
      </c>
      <c r="D7" s="3500">
        <v>401</v>
      </c>
      <c r="E7" s="3500" t="s">
        <v>3748</v>
      </c>
      <c r="F7" s="3500" t="s">
        <v>21</v>
      </c>
      <c r="G7" s="3500" t="s">
        <v>3659</v>
      </c>
      <c r="H7" s="3500">
        <v>1</v>
      </c>
      <c r="I7" s="3500">
        <v>958.04</v>
      </c>
      <c r="J7" s="3500">
        <v>4062.09</v>
      </c>
      <c r="K7" s="3500">
        <v>42400</v>
      </c>
    </row>
    <row r="8" spans="1:11" ht="14.25">
      <c r="A8" s="3501">
        <v>45308.333831018521</v>
      </c>
      <c r="B8" s="3500" t="s">
        <v>3747</v>
      </c>
      <c r="C8" s="3500">
        <v>5</v>
      </c>
      <c r="D8" s="3500">
        <v>501</v>
      </c>
      <c r="E8" s="3500" t="s">
        <v>3748</v>
      </c>
      <c r="F8" s="3500" t="s">
        <v>21</v>
      </c>
      <c r="G8" s="3500" t="s">
        <v>3659</v>
      </c>
      <c r="H8" s="3500">
        <v>1</v>
      </c>
      <c r="I8" s="3500">
        <v>958.04</v>
      </c>
      <c r="J8" s="3500">
        <v>4062.09</v>
      </c>
      <c r="K8" s="3500">
        <v>42400</v>
      </c>
    </row>
    <row r="9" spans="1:11" ht="14.25">
      <c r="A9" s="3501">
        <v>45308.333831018521</v>
      </c>
      <c r="B9" s="3500" t="s">
        <v>3747</v>
      </c>
      <c r="C9" s="3500">
        <v>5</v>
      </c>
      <c r="D9" s="3500">
        <v>502</v>
      </c>
      <c r="E9" s="3500" t="s">
        <v>3748</v>
      </c>
      <c r="F9" s="3500" t="s">
        <v>21</v>
      </c>
      <c r="G9" s="3500" t="s">
        <v>3659</v>
      </c>
      <c r="H9" s="3500">
        <v>1</v>
      </c>
      <c r="I9" s="3500">
        <v>935.99</v>
      </c>
      <c r="J9" s="3500">
        <v>3968.6</v>
      </c>
      <c r="K9" s="3500">
        <v>42400</v>
      </c>
    </row>
    <row r="10" spans="1:11" ht="14.25">
      <c r="A10" s="3501">
        <v>45308.333831018521</v>
      </c>
      <c r="B10" s="3500" t="s">
        <v>3747</v>
      </c>
      <c r="C10" s="3500">
        <v>6</v>
      </c>
      <c r="D10" s="3500">
        <v>601</v>
      </c>
      <c r="E10" s="3500" t="s">
        <v>3748</v>
      </c>
      <c r="F10" s="3500" t="s">
        <v>21</v>
      </c>
      <c r="G10" s="3500" t="s">
        <v>3659</v>
      </c>
      <c r="H10" s="3500">
        <v>1</v>
      </c>
      <c r="I10" s="3500">
        <v>831.87</v>
      </c>
      <c r="J10" s="3500">
        <v>3527.15</v>
      </c>
      <c r="K10" s="3500">
        <v>42400</v>
      </c>
    </row>
    <row r="11" spans="1:11" ht="14.25">
      <c r="A11" s="3501">
        <v>45308.333831018521</v>
      </c>
      <c r="B11" s="3500" t="s">
        <v>3747</v>
      </c>
      <c r="C11" s="3500">
        <v>6</v>
      </c>
      <c r="D11" s="3500">
        <v>602</v>
      </c>
      <c r="E11" s="3500" t="s">
        <v>3748</v>
      </c>
      <c r="F11" s="3500" t="s">
        <v>21</v>
      </c>
      <c r="G11" s="3500" t="s">
        <v>3659</v>
      </c>
      <c r="H11" s="3500">
        <v>1</v>
      </c>
      <c r="I11" s="3500">
        <v>1025.67</v>
      </c>
      <c r="J11" s="3500">
        <v>4348.84</v>
      </c>
      <c r="K11" s="3500">
        <v>42400</v>
      </c>
    </row>
    <row r="12" spans="1:11" ht="14.25">
      <c r="A12" s="3501">
        <v>45308.333831018521</v>
      </c>
      <c r="B12" s="3500" t="s">
        <v>3747</v>
      </c>
      <c r="C12" s="3500">
        <v>7</v>
      </c>
      <c r="D12" s="3500">
        <v>701</v>
      </c>
      <c r="E12" s="3500" t="s">
        <v>3748</v>
      </c>
      <c r="F12" s="3500" t="s">
        <v>21</v>
      </c>
      <c r="G12" s="3500" t="s">
        <v>3659</v>
      </c>
      <c r="H12" s="3500">
        <v>1</v>
      </c>
      <c r="I12" s="3500">
        <v>791.29</v>
      </c>
      <c r="J12" s="3500">
        <v>3355.09</v>
      </c>
      <c r="K12" s="3500">
        <v>42400</v>
      </c>
    </row>
    <row r="13" spans="1:11" ht="14.25">
      <c r="A13" s="3501">
        <v>45308.333831018521</v>
      </c>
      <c r="B13" s="3500" t="s">
        <v>3747</v>
      </c>
      <c r="C13" s="3500">
        <v>7</v>
      </c>
      <c r="D13" s="3500">
        <v>702</v>
      </c>
      <c r="E13" s="3500" t="s">
        <v>3748</v>
      </c>
      <c r="F13" s="3500" t="s">
        <v>21</v>
      </c>
      <c r="G13" s="3500" t="s">
        <v>3659</v>
      </c>
      <c r="H13" s="3500">
        <v>1</v>
      </c>
      <c r="I13" s="3500">
        <v>799.2</v>
      </c>
      <c r="J13" s="3500">
        <v>3388.59</v>
      </c>
      <c r="K13" s="3500">
        <v>42400</v>
      </c>
    </row>
    <row r="14" spans="1:11" ht="14.25">
      <c r="A14" s="3501">
        <v>45308.333831018521</v>
      </c>
      <c r="B14" s="3500" t="s">
        <v>3747</v>
      </c>
      <c r="C14" s="3500">
        <v>8</v>
      </c>
      <c r="D14" s="3500">
        <v>801</v>
      </c>
      <c r="E14" s="3500" t="s">
        <v>3748</v>
      </c>
      <c r="F14" s="3500" t="s">
        <v>21</v>
      </c>
      <c r="G14" s="3500" t="s">
        <v>3659</v>
      </c>
      <c r="H14" s="3500">
        <v>1</v>
      </c>
      <c r="I14" s="3500">
        <v>822.89</v>
      </c>
      <c r="J14" s="3500">
        <v>3489.02</v>
      </c>
      <c r="K14" s="3500">
        <v>42400</v>
      </c>
    </row>
    <row r="15" spans="1:11" ht="14.25">
      <c r="A15" s="3501">
        <v>45308.333831018521</v>
      </c>
      <c r="B15" s="3500" t="s">
        <v>3747</v>
      </c>
      <c r="C15" s="3500">
        <v>8</v>
      </c>
      <c r="D15" s="3500">
        <v>802</v>
      </c>
      <c r="E15" s="3500" t="s">
        <v>3748</v>
      </c>
      <c r="F15" s="3500" t="s">
        <v>21</v>
      </c>
      <c r="G15" s="3500" t="s">
        <v>3659</v>
      </c>
      <c r="H15" s="3500">
        <v>1</v>
      </c>
      <c r="I15" s="3500">
        <v>1090.5</v>
      </c>
      <c r="J15" s="3500">
        <v>4623.75</v>
      </c>
      <c r="K15" s="3500">
        <v>42400</v>
      </c>
    </row>
    <row r="16" spans="1:11" ht="14.25">
      <c r="A16" s="3501">
        <v>45308.333831018521</v>
      </c>
      <c r="B16" s="3500" t="s">
        <v>3747</v>
      </c>
      <c r="C16" s="3500">
        <v>9</v>
      </c>
      <c r="D16" s="3500">
        <v>901</v>
      </c>
      <c r="E16" s="3500" t="s">
        <v>3748</v>
      </c>
      <c r="F16" s="3500" t="s">
        <v>21</v>
      </c>
      <c r="G16" s="3500" t="s">
        <v>3659</v>
      </c>
      <c r="H16" s="3500">
        <v>1</v>
      </c>
      <c r="I16" s="3500">
        <v>860.72</v>
      </c>
      <c r="J16" s="3500">
        <v>3649.45</v>
      </c>
      <c r="K16" s="3500">
        <v>42400</v>
      </c>
    </row>
    <row r="17" spans="1:11" ht="14.25">
      <c r="A17" s="3501">
        <v>45308.333831018521</v>
      </c>
      <c r="B17" s="3500" t="s">
        <v>3747</v>
      </c>
      <c r="C17" s="3500">
        <v>9</v>
      </c>
      <c r="D17" s="3500">
        <v>902</v>
      </c>
      <c r="E17" s="3500" t="s">
        <v>3748</v>
      </c>
      <c r="F17" s="3500" t="s">
        <v>21</v>
      </c>
      <c r="G17" s="3500" t="s">
        <v>3659</v>
      </c>
      <c r="H17" s="3500">
        <v>1</v>
      </c>
      <c r="I17" s="3500">
        <v>828.39</v>
      </c>
      <c r="J17" s="3500">
        <v>3512.37</v>
      </c>
      <c r="K17" s="3500">
        <v>42400</v>
      </c>
    </row>
    <row r="18" spans="1:11" ht="14.25">
      <c r="A18" s="3501">
        <v>45308.333831018521</v>
      </c>
      <c r="B18" s="3500" t="s">
        <v>3747</v>
      </c>
      <c r="C18" s="3500">
        <v>10</v>
      </c>
      <c r="D18" s="3500">
        <v>1002</v>
      </c>
      <c r="E18" s="3500" t="s">
        <v>3748</v>
      </c>
      <c r="F18" s="3500" t="s">
        <v>21</v>
      </c>
      <c r="G18" s="3500" t="s">
        <v>3659</v>
      </c>
      <c r="H18" s="3500">
        <v>1</v>
      </c>
      <c r="I18" s="3500">
        <v>828.39</v>
      </c>
      <c r="J18" s="3500">
        <v>3512.37</v>
      </c>
      <c r="K18" s="3500">
        <v>42400</v>
      </c>
    </row>
    <row r="19" spans="1:11" ht="14.25">
      <c r="A19" s="3501">
        <v>45308.333831018521</v>
      </c>
      <c r="B19" s="3500" t="s">
        <v>3747</v>
      </c>
      <c r="C19" s="3500">
        <v>10</v>
      </c>
      <c r="D19" s="3500">
        <v>1001</v>
      </c>
      <c r="E19" s="3500" t="s">
        <v>3748</v>
      </c>
      <c r="F19" s="3500" t="s">
        <v>21</v>
      </c>
      <c r="G19" s="3500" t="s">
        <v>3659</v>
      </c>
      <c r="H19" s="3500">
        <v>1</v>
      </c>
      <c r="I19" s="3500">
        <v>860.72</v>
      </c>
      <c r="J19" s="3500">
        <v>3649.45</v>
      </c>
      <c r="K19" s="3500">
        <v>42400</v>
      </c>
    </row>
    <row r="20" spans="1:11" ht="14.25">
      <c r="H20" s="3186"/>
      <c r="I20" s="3186">
        <f>SUM(I2:I19)</f>
        <v>15106.529999999999</v>
      </c>
    </row>
    <row r="21" spans="1:11" ht="14.25">
      <c r="H21" s="3186"/>
      <c r="I21" s="3186"/>
    </row>
    <row r="22" spans="1:11" ht="14.25">
      <c r="H22" s="3186"/>
      <c r="I22" s="3188"/>
    </row>
  </sheetData>
  <sortState xmlns:xlrd2="http://schemas.microsoft.com/office/spreadsheetml/2017/richdata2" ref="A2:K19">
    <sortCondition ref="C2:C19"/>
  </sortState>
  <mergeCells count="209">
    <mergeCell ref="F19"/>
    <mergeCell ref="G19"/>
    <mergeCell ref="H19"/>
    <mergeCell ref="I19"/>
    <mergeCell ref="J19"/>
    <mergeCell ref="K19"/>
    <mergeCell ref="A19"/>
    <mergeCell ref="B19"/>
    <mergeCell ref="C19"/>
    <mergeCell ref="D19"/>
    <mergeCell ref="E19"/>
    <mergeCell ref="I17"/>
    <mergeCell ref="J17"/>
    <mergeCell ref="K17"/>
    <mergeCell ref="A18"/>
    <mergeCell ref="B18"/>
    <mergeCell ref="C18"/>
    <mergeCell ref="D18"/>
    <mergeCell ref="E18"/>
    <mergeCell ref="F18"/>
    <mergeCell ref="G18"/>
    <mergeCell ref="H18"/>
    <mergeCell ref="I18"/>
    <mergeCell ref="J18"/>
    <mergeCell ref="K18"/>
    <mergeCell ref="A17"/>
    <mergeCell ref="B17"/>
    <mergeCell ref="C17"/>
    <mergeCell ref="D17"/>
    <mergeCell ref="E17"/>
    <mergeCell ref="F15"/>
    <mergeCell ref="G15"/>
    <mergeCell ref="H15"/>
    <mergeCell ref="C15"/>
    <mergeCell ref="D15"/>
    <mergeCell ref="E15"/>
    <mergeCell ref="F17"/>
    <mergeCell ref="G17"/>
    <mergeCell ref="H17"/>
    <mergeCell ref="I15"/>
    <mergeCell ref="J15"/>
    <mergeCell ref="K15"/>
    <mergeCell ref="A16"/>
    <mergeCell ref="B16"/>
    <mergeCell ref="C16"/>
    <mergeCell ref="D16"/>
    <mergeCell ref="E16"/>
    <mergeCell ref="F16"/>
    <mergeCell ref="G16"/>
    <mergeCell ref="H16"/>
    <mergeCell ref="I16"/>
    <mergeCell ref="J16"/>
    <mergeCell ref="K16"/>
    <mergeCell ref="A15"/>
    <mergeCell ref="B15"/>
    <mergeCell ref="I13"/>
    <mergeCell ref="J13"/>
    <mergeCell ref="K13"/>
    <mergeCell ref="A14"/>
    <mergeCell ref="B14"/>
    <mergeCell ref="C14"/>
    <mergeCell ref="D14"/>
    <mergeCell ref="E14"/>
    <mergeCell ref="F14"/>
    <mergeCell ref="G14"/>
    <mergeCell ref="H14"/>
    <mergeCell ref="I14"/>
    <mergeCell ref="J14"/>
    <mergeCell ref="K14"/>
    <mergeCell ref="A13"/>
    <mergeCell ref="B13"/>
    <mergeCell ref="C13"/>
    <mergeCell ref="D13"/>
    <mergeCell ref="E13"/>
    <mergeCell ref="F11"/>
    <mergeCell ref="G11"/>
    <mergeCell ref="H11"/>
    <mergeCell ref="C11"/>
    <mergeCell ref="D11"/>
    <mergeCell ref="E11"/>
    <mergeCell ref="F13"/>
    <mergeCell ref="G13"/>
    <mergeCell ref="H13"/>
    <mergeCell ref="I11"/>
    <mergeCell ref="J11"/>
    <mergeCell ref="K11"/>
    <mergeCell ref="A12"/>
    <mergeCell ref="B12"/>
    <mergeCell ref="C12"/>
    <mergeCell ref="D12"/>
    <mergeCell ref="E12"/>
    <mergeCell ref="F12"/>
    <mergeCell ref="G12"/>
    <mergeCell ref="H12"/>
    <mergeCell ref="I12"/>
    <mergeCell ref="J12"/>
    <mergeCell ref="K12"/>
    <mergeCell ref="A11"/>
    <mergeCell ref="B11"/>
    <mergeCell ref="I9"/>
    <mergeCell ref="J9"/>
    <mergeCell ref="K9"/>
    <mergeCell ref="A10"/>
    <mergeCell ref="B10"/>
    <mergeCell ref="C10"/>
    <mergeCell ref="D10"/>
    <mergeCell ref="E10"/>
    <mergeCell ref="F10"/>
    <mergeCell ref="G10"/>
    <mergeCell ref="H10"/>
    <mergeCell ref="I10"/>
    <mergeCell ref="J10"/>
    <mergeCell ref="K10"/>
    <mergeCell ref="A9"/>
    <mergeCell ref="B9"/>
    <mergeCell ref="C9"/>
    <mergeCell ref="D9"/>
    <mergeCell ref="E9"/>
    <mergeCell ref="F7"/>
    <mergeCell ref="G7"/>
    <mergeCell ref="H7"/>
    <mergeCell ref="C7"/>
    <mergeCell ref="D7"/>
    <mergeCell ref="E7"/>
    <mergeCell ref="F9"/>
    <mergeCell ref="G9"/>
    <mergeCell ref="H9"/>
    <mergeCell ref="I7"/>
    <mergeCell ref="J7"/>
    <mergeCell ref="K7"/>
    <mergeCell ref="A8"/>
    <mergeCell ref="B8"/>
    <mergeCell ref="C8"/>
    <mergeCell ref="D8"/>
    <mergeCell ref="E8"/>
    <mergeCell ref="F8"/>
    <mergeCell ref="G8"/>
    <mergeCell ref="H8"/>
    <mergeCell ref="I8"/>
    <mergeCell ref="J8"/>
    <mergeCell ref="K8"/>
    <mergeCell ref="A7"/>
    <mergeCell ref="B7"/>
    <mergeCell ref="I5"/>
    <mergeCell ref="J5"/>
    <mergeCell ref="K5"/>
    <mergeCell ref="A6"/>
    <mergeCell ref="B6"/>
    <mergeCell ref="C6"/>
    <mergeCell ref="D6"/>
    <mergeCell ref="E6"/>
    <mergeCell ref="F6"/>
    <mergeCell ref="G6"/>
    <mergeCell ref="H6"/>
    <mergeCell ref="I6"/>
    <mergeCell ref="J6"/>
    <mergeCell ref="K6"/>
    <mergeCell ref="A5"/>
    <mergeCell ref="B5"/>
    <mergeCell ref="C5"/>
    <mergeCell ref="D5"/>
    <mergeCell ref="E5"/>
    <mergeCell ref="F3"/>
    <mergeCell ref="G3"/>
    <mergeCell ref="H3"/>
    <mergeCell ref="C3"/>
    <mergeCell ref="D3"/>
    <mergeCell ref="E3"/>
    <mergeCell ref="F5"/>
    <mergeCell ref="G5"/>
    <mergeCell ref="H5"/>
    <mergeCell ref="I3"/>
    <mergeCell ref="J3"/>
    <mergeCell ref="K3"/>
    <mergeCell ref="A4"/>
    <mergeCell ref="B4"/>
    <mergeCell ref="C4"/>
    <mergeCell ref="D4"/>
    <mergeCell ref="E4"/>
    <mergeCell ref="F4"/>
    <mergeCell ref="G4"/>
    <mergeCell ref="H4"/>
    <mergeCell ref="I4"/>
    <mergeCell ref="J4"/>
    <mergeCell ref="K4"/>
    <mergeCell ref="A3"/>
    <mergeCell ref="B3"/>
    <mergeCell ref="K1"/>
    <mergeCell ref="A2"/>
    <mergeCell ref="B2"/>
    <mergeCell ref="C2"/>
    <mergeCell ref="D2"/>
    <mergeCell ref="E2"/>
    <mergeCell ref="F2"/>
    <mergeCell ref="G2"/>
    <mergeCell ref="H2"/>
    <mergeCell ref="I2"/>
    <mergeCell ref="J2"/>
    <mergeCell ref="K2"/>
    <mergeCell ref="A1"/>
    <mergeCell ref="B1"/>
    <mergeCell ref="C1"/>
    <mergeCell ref="D1"/>
    <mergeCell ref="E1"/>
    <mergeCell ref="F1"/>
    <mergeCell ref="G1"/>
    <mergeCell ref="H1"/>
    <mergeCell ref="I1"/>
    <mergeCell ref="J1"/>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99925-CFF8-446D-A17E-CC1BEF375D56}">
  <dimension ref="A1:E90"/>
  <sheetViews>
    <sheetView topLeftCell="A43" zoomScale="85" zoomScaleNormal="85" workbookViewId="0">
      <selection activeCell="C88" sqref="C88"/>
    </sheetView>
  </sheetViews>
  <sheetFormatPr defaultColWidth="15.625" defaultRowHeight="13.5"/>
  <cols>
    <col min="1" max="1" width="15.625" style="3171" customWidth="1"/>
    <col min="2" max="16384" width="15.625" style="3171"/>
  </cols>
  <sheetData>
    <row r="1" spans="1:5">
      <c r="A1" s="3502" t="s">
        <v>3629</v>
      </c>
      <c r="B1" s="3502"/>
      <c r="C1" s="3502"/>
      <c r="D1" s="3502"/>
    </row>
    <row r="2" spans="1:5">
      <c r="A2" s="3172" t="s">
        <v>3630</v>
      </c>
      <c r="B2" s="3172" t="s">
        <v>3631</v>
      </c>
      <c r="C2" s="3172" t="s">
        <v>3632</v>
      </c>
      <c r="D2" s="3172" t="s">
        <v>3633</v>
      </c>
    </row>
    <row r="3" spans="1:5">
      <c r="A3" s="3173">
        <v>1</v>
      </c>
      <c r="B3" s="3174">
        <v>72.11</v>
      </c>
      <c r="C3" s="3175"/>
      <c r="D3" s="3176"/>
    </row>
    <row r="4" spans="1:5" ht="16.5" customHeight="1">
      <c r="A4" s="3173">
        <v>1</v>
      </c>
      <c r="B4" s="3174">
        <v>234.48</v>
      </c>
      <c r="C4" s="3176">
        <v>129.15</v>
      </c>
      <c r="D4" s="3176">
        <v>24.54</v>
      </c>
      <c r="E4" s="3171">
        <f>C4*B4</f>
        <v>30283.092000000001</v>
      </c>
    </row>
    <row r="5" spans="1:5">
      <c r="A5" s="3173">
        <v>1</v>
      </c>
      <c r="B5" s="3174">
        <v>50.26</v>
      </c>
      <c r="C5" s="3175"/>
      <c r="D5" s="3176">
        <v>25.54</v>
      </c>
      <c r="E5" s="3171">
        <f t="shared" ref="E5:E68" si="0">C5*B5</f>
        <v>0</v>
      </c>
    </row>
    <row r="6" spans="1:5">
      <c r="A6" s="3177">
        <v>1</v>
      </c>
      <c r="B6" s="3174">
        <v>80</v>
      </c>
      <c r="C6" s="3176">
        <v>294.3</v>
      </c>
      <c r="D6" s="3176">
        <v>40.28</v>
      </c>
      <c r="E6" s="3171">
        <f t="shared" si="0"/>
        <v>23544</v>
      </c>
    </row>
    <row r="7" spans="1:5">
      <c r="A7" s="3173">
        <v>1</v>
      </c>
      <c r="B7" s="3174">
        <v>42</v>
      </c>
      <c r="C7" s="3176">
        <v>230</v>
      </c>
      <c r="D7" s="3176">
        <v>40.28</v>
      </c>
      <c r="E7" s="3171">
        <f t="shared" si="0"/>
        <v>9660</v>
      </c>
    </row>
    <row r="8" spans="1:5">
      <c r="A8" s="3173">
        <v>2</v>
      </c>
      <c r="B8" s="3174">
        <v>70.25</v>
      </c>
      <c r="C8" s="3175"/>
      <c r="D8" s="3176"/>
      <c r="E8" s="3171">
        <f t="shared" si="0"/>
        <v>0</v>
      </c>
    </row>
    <row r="9" spans="1:5">
      <c r="A9" s="3173">
        <v>2</v>
      </c>
      <c r="B9" s="3174">
        <v>235.38</v>
      </c>
      <c r="C9" s="3175"/>
      <c r="D9" s="3176"/>
      <c r="E9" s="3171">
        <f t="shared" si="0"/>
        <v>0</v>
      </c>
    </row>
    <row r="10" spans="1:5">
      <c r="A10" s="3173">
        <v>3</v>
      </c>
      <c r="B10" s="3178">
        <v>1427.33</v>
      </c>
      <c r="C10" s="3176">
        <v>196.33</v>
      </c>
      <c r="D10" s="3176">
        <v>31.8</v>
      </c>
      <c r="E10" s="3171">
        <f t="shared" si="0"/>
        <v>280227.69890000002</v>
      </c>
    </row>
    <row r="11" spans="1:5">
      <c r="A11" s="3173">
        <v>5</v>
      </c>
      <c r="B11" s="3174">
        <v>393.54</v>
      </c>
      <c r="C11" s="3176">
        <v>257.16000000000003</v>
      </c>
      <c r="D11" s="3176">
        <v>31.8</v>
      </c>
      <c r="E11" s="3171">
        <f t="shared" si="0"/>
        <v>101202.74640000002</v>
      </c>
    </row>
    <row r="12" spans="1:5">
      <c r="A12" s="3173">
        <v>5</v>
      </c>
      <c r="B12" s="3174">
        <v>168.2</v>
      </c>
      <c r="C12" s="3175"/>
      <c r="D12" s="3176"/>
      <c r="E12" s="3171">
        <f t="shared" si="0"/>
        <v>0</v>
      </c>
    </row>
    <row r="13" spans="1:5">
      <c r="A13" s="3173">
        <v>5</v>
      </c>
      <c r="B13" s="3174">
        <v>652.94000000000005</v>
      </c>
      <c r="C13" s="3179"/>
      <c r="D13" s="3176"/>
      <c r="E13" s="3171">
        <f t="shared" si="0"/>
        <v>0</v>
      </c>
    </row>
    <row r="14" spans="1:5">
      <c r="A14" s="3173">
        <v>5</v>
      </c>
      <c r="B14" s="3174">
        <v>212.65</v>
      </c>
      <c r="C14" s="3176">
        <v>183</v>
      </c>
      <c r="D14" s="3176">
        <v>31.8</v>
      </c>
      <c r="E14" s="3171">
        <f t="shared" si="0"/>
        <v>38914.950000000004</v>
      </c>
    </row>
    <row r="15" spans="1:5">
      <c r="A15" s="3173">
        <v>6</v>
      </c>
      <c r="B15" s="3180">
        <v>1429.94</v>
      </c>
      <c r="C15" s="3176">
        <v>242</v>
      </c>
      <c r="D15" s="3176">
        <v>31.8</v>
      </c>
      <c r="E15" s="3171">
        <f t="shared" si="0"/>
        <v>346045.48000000004</v>
      </c>
    </row>
    <row r="16" spans="1:5">
      <c r="A16" s="3173">
        <v>7</v>
      </c>
      <c r="B16" s="3180">
        <v>1429.94</v>
      </c>
      <c r="C16" s="3176">
        <v>165.91</v>
      </c>
      <c r="D16" s="3176">
        <v>31.8</v>
      </c>
      <c r="E16" s="3171">
        <f t="shared" si="0"/>
        <v>237241.34539999999</v>
      </c>
    </row>
    <row r="17" spans="1:5">
      <c r="A17" s="3177">
        <v>8</v>
      </c>
      <c r="B17" s="3180">
        <v>1429.93</v>
      </c>
      <c r="C17" s="3176">
        <v>241.95</v>
      </c>
      <c r="D17" s="3176">
        <v>31.8</v>
      </c>
      <c r="E17" s="3171">
        <f t="shared" si="0"/>
        <v>345971.56349999999</v>
      </c>
    </row>
    <row r="18" spans="1:5">
      <c r="A18" s="3173">
        <v>9</v>
      </c>
      <c r="B18" s="3174">
        <v>326.39</v>
      </c>
      <c r="C18" s="3176">
        <v>280</v>
      </c>
      <c r="D18" s="3176">
        <v>31.8</v>
      </c>
      <c r="E18" s="3171">
        <f t="shared" si="0"/>
        <v>91389.2</v>
      </c>
    </row>
    <row r="19" spans="1:5">
      <c r="A19" s="3173">
        <v>9</v>
      </c>
      <c r="B19" s="3174">
        <v>724.52</v>
      </c>
      <c r="C19" s="3176">
        <v>257.16000000000003</v>
      </c>
      <c r="D19" s="3176">
        <v>31.8</v>
      </c>
      <c r="E19" s="3171">
        <f t="shared" si="0"/>
        <v>186317.5632</v>
      </c>
    </row>
    <row r="20" spans="1:5">
      <c r="A20" s="3177">
        <v>9</v>
      </c>
      <c r="B20" s="3174">
        <v>379.02</v>
      </c>
      <c r="C20" s="3176">
        <v>268.2</v>
      </c>
      <c r="D20" s="3176">
        <v>31.8</v>
      </c>
      <c r="E20" s="3171">
        <f t="shared" si="0"/>
        <v>101653.16399999999</v>
      </c>
    </row>
    <row r="21" spans="1:5">
      <c r="A21" s="3173">
        <v>10</v>
      </c>
      <c r="B21" s="3174">
        <v>1053.53</v>
      </c>
      <c r="C21" s="3176">
        <v>265</v>
      </c>
      <c r="D21" s="3176">
        <v>31.8</v>
      </c>
      <c r="E21" s="3171">
        <f t="shared" si="0"/>
        <v>279185.45</v>
      </c>
    </row>
    <row r="22" spans="1:5">
      <c r="A22" s="3173">
        <v>10</v>
      </c>
      <c r="B22" s="3174">
        <v>142.27000000000001</v>
      </c>
      <c r="C22" s="3176">
        <v>196.33</v>
      </c>
      <c r="D22" s="3176">
        <v>31.8</v>
      </c>
      <c r="E22" s="3171">
        <f t="shared" si="0"/>
        <v>27931.869100000004</v>
      </c>
    </row>
    <row r="23" spans="1:5">
      <c r="A23" s="3173">
        <v>10</v>
      </c>
      <c r="B23" s="3174">
        <v>234.13</v>
      </c>
      <c r="C23" s="3176">
        <v>242</v>
      </c>
      <c r="D23" s="3176">
        <v>31.8</v>
      </c>
      <c r="E23" s="3171">
        <f t="shared" si="0"/>
        <v>56659.46</v>
      </c>
    </row>
    <row r="24" spans="1:5">
      <c r="A24" s="3173">
        <v>11</v>
      </c>
      <c r="B24" s="3174">
        <v>225.39</v>
      </c>
      <c r="C24" s="3176">
        <v>252</v>
      </c>
      <c r="D24" s="3176">
        <v>31.8</v>
      </c>
      <c r="E24" s="3171">
        <f t="shared" si="0"/>
        <v>56798.28</v>
      </c>
    </row>
    <row r="25" spans="1:5">
      <c r="A25" s="3173">
        <v>11</v>
      </c>
      <c r="B25" s="3174">
        <v>598.04999999999995</v>
      </c>
      <c r="C25" s="3176">
        <v>266.29000000000002</v>
      </c>
      <c r="D25" s="3176">
        <v>31.8</v>
      </c>
      <c r="E25" s="3171">
        <f t="shared" si="0"/>
        <v>159254.73449999999</v>
      </c>
    </row>
    <row r="26" spans="1:5">
      <c r="A26" s="3173">
        <v>11</v>
      </c>
      <c r="B26" s="3174">
        <v>229.16</v>
      </c>
      <c r="C26" s="3176">
        <v>196.33</v>
      </c>
      <c r="D26" s="3176">
        <v>31.8</v>
      </c>
      <c r="E26" s="3171">
        <f t="shared" si="0"/>
        <v>44990.982800000005</v>
      </c>
    </row>
    <row r="27" spans="1:5">
      <c r="A27" s="3173">
        <v>11</v>
      </c>
      <c r="B27" s="3174">
        <v>95</v>
      </c>
      <c r="C27" s="3176">
        <v>167</v>
      </c>
      <c r="D27" s="3176">
        <v>31.8</v>
      </c>
      <c r="E27" s="3171">
        <f t="shared" si="0"/>
        <v>15865</v>
      </c>
    </row>
    <row r="28" spans="1:5">
      <c r="A28" s="3173">
        <v>11</v>
      </c>
      <c r="B28" s="3174">
        <v>282.33</v>
      </c>
      <c r="C28" s="3176">
        <v>257.16000000000003</v>
      </c>
      <c r="D28" s="3176">
        <v>31.8</v>
      </c>
      <c r="E28" s="3171">
        <f t="shared" si="0"/>
        <v>72603.982799999998</v>
      </c>
    </row>
    <row r="29" spans="1:5">
      <c r="A29" s="3177">
        <v>12</v>
      </c>
      <c r="B29" s="3180">
        <v>1429.93</v>
      </c>
      <c r="C29" s="3176">
        <v>257.16000000000003</v>
      </c>
      <c r="D29" s="3176">
        <v>31.8</v>
      </c>
      <c r="E29" s="3171">
        <f t="shared" si="0"/>
        <v>367720.79880000005</v>
      </c>
    </row>
    <row r="30" spans="1:5">
      <c r="A30" s="3177">
        <v>15</v>
      </c>
      <c r="B30" s="3174">
        <v>706.99</v>
      </c>
      <c r="C30" s="3176">
        <v>268.2</v>
      </c>
      <c r="D30" s="3176">
        <v>31.8</v>
      </c>
      <c r="E30" s="3171">
        <f t="shared" si="0"/>
        <v>189614.71799999999</v>
      </c>
    </row>
    <row r="31" spans="1:5">
      <c r="A31" s="3173">
        <v>15</v>
      </c>
      <c r="B31" s="3174">
        <v>142.27000000000001</v>
      </c>
      <c r="C31" s="3176">
        <v>298.2</v>
      </c>
      <c r="D31" s="3176">
        <v>31.8</v>
      </c>
      <c r="E31" s="3171">
        <f t="shared" si="0"/>
        <v>42424.914000000004</v>
      </c>
    </row>
    <row r="32" spans="1:5">
      <c r="A32" s="3177">
        <v>15</v>
      </c>
      <c r="B32" s="3174">
        <v>116.45</v>
      </c>
      <c r="C32" s="3176">
        <v>241.95</v>
      </c>
      <c r="D32" s="3176">
        <v>31.8</v>
      </c>
      <c r="E32" s="3171">
        <f t="shared" si="0"/>
        <v>28175.077499999999</v>
      </c>
    </row>
    <row r="33" spans="1:5">
      <c r="A33" s="3173">
        <v>15</v>
      </c>
      <c r="B33" s="3174">
        <v>204.22</v>
      </c>
      <c r="C33" s="3176">
        <v>197.71</v>
      </c>
      <c r="D33" s="3176">
        <v>31.8</v>
      </c>
      <c r="E33" s="3171">
        <f t="shared" si="0"/>
        <v>40376.336199999998</v>
      </c>
    </row>
    <row r="34" spans="1:5">
      <c r="A34" s="3173">
        <v>15</v>
      </c>
      <c r="B34" s="3174">
        <v>260</v>
      </c>
      <c r="C34" s="3175"/>
      <c r="D34" s="3176"/>
      <c r="E34" s="3171">
        <f t="shared" si="0"/>
        <v>0</v>
      </c>
    </row>
    <row r="35" spans="1:5">
      <c r="A35" s="3173">
        <v>16</v>
      </c>
      <c r="B35" s="3174">
        <v>986.7</v>
      </c>
      <c r="C35" s="3176">
        <v>290</v>
      </c>
      <c r="D35" s="3176">
        <v>31.8</v>
      </c>
      <c r="E35" s="3171">
        <f t="shared" si="0"/>
        <v>286143</v>
      </c>
    </row>
    <row r="36" spans="1:5">
      <c r="A36" s="3173">
        <v>16</v>
      </c>
      <c r="B36" s="3174">
        <v>272.60000000000002</v>
      </c>
      <c r="C36" s="3178"/>
      <c r="D36" s="3176"/>
      <c r="E36" s="3171">
        <f t="shared" si="0"/>
        <v>0</v>
      </c>
    </row>
    <row r="37" spans="1:5">
      <c r="A37" s="3177">
        <v>16</v>
      </c>
      <c r="B37" s="3174">
        <v>198.63</v>
      </c>
      <c r="C37" s="3176">
        <v>257.16000000000003</v>
      </c>
      <c r="D37" s="3176">
        <v>31.8</v>
      </c>
      <c r="E37" s="3171">
        <f t="shared" si="0"/>
        <v>51079.690800000004</v>
      </c>
    </row>
    <row r="38" spans="1:5">
      <c r="A38" s="3173">
        <v>17</v>
      </c>
      <c r="B38" s="3174">
        <v>229.22</v>
      </c>
      <c r="C38" s="3176">
        <v>241.95</v>
      </c>
      <c r="D38" s="3176">
        <v>31.8</v>
      </c>
      <c r="E38" s="3171">
        <f t="shared" si="0"/>
        <v>55459.778999999995</v>
      </c>
    </row>
    <row r="39" spans="1:5">
      <c r="A39" s="3173">
        <v>17</v>
      </c>
      <c r="B39" s="3174">
        <v>176.56</v>
      </c>
      <c r="C39" s="3176">
        <v>175</v>
      </c>
      <c r="D39" s="3176">
        <v>31.8</v>
      </c>
      <c r="E39" s="3171">
        <f t="shared" si="0"/>
        <v>30898</v>
      </c>
    </row>
    <row r="40" spans="1:5">
      <c r="A40" s="3173">
        <v>17</v>
      </c>
      <c r="B40" s="3174">
        <v>142.04</v>
      </c>
      <c r="C40" s="3179"/>
      <c r="D40" s="3176"/>
      <c r="E40" s="3171">
        <f t="shared" si="0"/>
        <v>0</v>
      </c>
    </row>
    <row r="41" spans="1:5">
      <c r="A41" s="3173">
        <v>17</v>
      </c>
      <c r="B41" s="3174">
        <v>639.65</v>
      </c>
      <c r="C41" s="3178"/>
      <c r="D41" s="3176"/>
      <c r="E41" s="3171">
        <f t="shared" si="0"/>
        <v>0</v>
      </c>
    </row>
    <row r="42" spans="1:5">
      <c r="A42" s="3173">
        <v>17</v>
      </c>
      <c r="B42" s="3174">
        <v>265.55</v>
      </c>
      <c r="C42" s="3176">
        <v>252</v>
      </c>
      <c r="D42" s="3176">
        <v>31.8</v>
      </c>
      <c r="E42" s="3171">
        <f t="shared" si="0"/>
        <v>66918.600000000006</v>
      </c>
    </row>
    <row r="43" spans="1:5">
      <c r="A43" s="3173">
        <v>18</v>
      </c>
      <c r="B43" s="3174">
        <v>228.47</v>
      </c>
      <c r="C43" s="3176">
        <v>182</v>
      </c>
      <c r="D43" s="3176">
        <v>31.8</v>
      </c>
      <c r="E43" s="3171">
        <f t="shared" si="0"/>
        <v>41581.54</v>
      </c>
    </row>
    <row r="44" spans="1:5">
      <c r="A44" s="3173">
        <v>18</v>
      </c>
      <c r="B44" s="3174">
        <v>279.62</v>
      </c>
      <c r="C44" s="3176">
        <v>183.91</v>
      </c>
      <c r="D44" s="3176">
        <v>31.8</v>
      </c>
      <c r="E44" s="3171">
        <f t="shared" si="0"/>
        <v>51424.914199999999</v>
      </c>
    </row>
    <row r="45" spans="1:5">
      <c r="A45" s="3173">
        <v>18</v>
      </c>
      <c r="B45" s="3174">
        <v>262.58999999999997</v>
      </c>
      <c r="C45" s="3178"/>
      <c r="D45" s="3176"/>
      <c r="E45" s="3171">
        <f t="shared" si="0"/>
        <v>0</v>
      </c>
    </row>
    <row r="46" spans="1:5">
      <c r="A46" s="3173">
        <v>18</v>
      </c>
      <c r="B46" s="3174">
        <v>207</v>
      </c>
      <c r="C46" s="3176">
        <v>202.41</v>
      </c>
      <c r="D46" s="3176">
        <v>31.8</v>
      </c>
      <c r="E46" s="3171">
        <f t="shared" si="0"/>
        <v>41898.870000000003</v>
      </c>
    </row>
    <row r="47" spans="1:5">
      <c r="A47" s="3177">
        <v>18</v>
      </c>
      <c r="B47" s="3174">
        <v>262.36</v>
      </c>
      <c r="C47" s="3176">
        <v>300</v>
      </c>
      <c r="D47" s="3176">
        <v>31.8</v>
      </c>
      <c r="E47" s="3171">
        <f t="shared" si="0"/>
        <v>78708</v>
      </c>
    </row>
    <row r="48" spans="1:5">
      <c r="A48" s="3173">
        <v>18</v>
      </c>
      <c r="B48" s="3174">
        <v>145.31</v>
      </c>
      <c r="C48" s="3176">
        <v>241.95</v>
      </c>
      <c r="D48" s="3176">
        <v>31.8</v>
      </c>
      <c r="E48" s="3171">
        <f t="shared" si="0"/>
        <v>35157.754499999995</v>
      </c>
    </row>
    <row r="49" spans="1:5">
      <c r="A49" s="3173">
        <v>18</v>
      </c>
      <c r="B49" s="3180">
        <v>101.92</v>
      </c>
      <c r="C49" s="3176">
        <v>215</v>
      </c>
      <c r="D49" s="3176">
        <v>31.8</v>
      </c>
      <c r="E49" s="3171">
        <f t="shared" si="0"/>
        <v>21912.799999999999</v>
      </c>
    </row>
    <row r="50" spans="1:5">
      <c r="A50" s="3177">
        <v>19</v>
      </c>
      <c r="B50" s="3174">
        <v>1017.91</v>
      </c>
      <c r="C50" s="3176">
        <v>300</v>
      </c>
      <c r="D50" s="3176">
        <v>31.8</v>
      </c>
      <c r="E50" s="3171">
        <f t="shared" si="0"/>
        <v>305373</v>
      </c>
    </row>
    <row r="51" spans="1:5">
      <c r="A51" s="3173">
        <v>19</v>
      </c>
      <c r="B51" s="3174">
        <v>262.36</v>
      </c>
      <c r="C51" s="3178"/>
      <c r="D51" s="3176"/>
      <c r="E51" s="3171">
        <f t="shared" si="0"/>
        <v>0</v>
      </c>
    </row>
    <row r="52" spans="1:5">
      <c r="A52" s="3173">
        <v>19</v>
      </c>
      <c r="B52" s="3174">
        <v>207</v>
      </c>
      <c r="C52" s="3176">
        <v>385.43</v>
      </c>
      <c r="D52" s="3176">
        <v>31.8</v>
      </c>
      <c r="E52" s="3171">
        <f t="shared" si="0"/>
        <v>79784.009999999995</v>
      </c>
    </row>
    <row r="53" spans="1:5">
      <c r="A53" s="3173">
        <v>20</v>
      </c>
      <c r="B53" s="3174">
        <v>228.47</v>
      </c>
      <c r="C53" s="3176">
        <v>199.37</v>
      </c>
      <c r="D53" s="3176">
        <v>31.8</v>
      </c>
      <c r="E53" s="3171">
        <f t="shared" si="0"/>
        <v>45550.063900000001</v>
      </c>
    </row>
    <row r="54" spans="1:5">
      <c r="A54" s="3173">
        <v>20</v>
      </c>
      <c r="B54" s="3174">
        <v>407.67</v>
      </c>
      <c r="C54" s="3178"/>
      <c r="D54" s="3176"/>
      <c r="E54" s="3171">
        <f t="shared" si="0"/>
        <v>0</v>
      </c>
    </row>
    <row r="55" spans="1:5">
      <c r="A55" s="3173">
        <v>20</v>
      </c>
      <c r="B55" s="3174">
        <v>101.92</v>
      </c>
      <c r="C55" s="3176">
        <v>165.91</v>
      </c>
      <c r="D55" s="3176">
        <v>31.8</v>
      </c>
      <c r="E55" s="3171">
        <f t="shared" si="0"/>
        <v>16909.547200000001</v>
      </c>
    </row>
    <row r="56" spans="1:5">
      <c r="A56" s="3173">
        <v>20</v>
      </c>
      <c r="B56" s="3174">
        <v>379.55</v>
      </c>
      <c r="C56" s="3176">
        <v>250</v>
      </c>
      <c r="D56" s="3176">
        <v>31.8</v>
      </c>
      <c r="E56" s="3171">
        <f t="shared" si="0"/>
        <v>94887.5</v>
      </c>
    </row>
    <row r="57" spans="1:5">
      <c r="A57" s="3177">
        <v>20</v>
      </c>
      <c r="B57" s="3174">
        <v>162.66</v>
      </c>
      <c r="C57" s="3176">
        <v>336</v>
      </c>
      <c r="D57" s="3176">
        <v>31.8</v>
      </c>
      <c r="E57" s="3171">
        <f t="shared" si="0"/>
        <v>54653.760000000002</v>
      </c>
    </row>
    <row r="58" spans="1:5">
      <c r="A58" s="3177">
        <v>20</v>
      </c>
      <c r="B58" s="3174">
        <v>162.66</v>
      </c>
      <c r="C58" s="3176">
        <v>336</v>
      </c>
      <c r="D58" s="3176">
        <v>31.8</v>
      </c>
      <c r="E58" s="3171">
        <f t="shared" si="0"/>
        <v>54653.760000000002</v>
      </c>
    </row>
    <row r="59" spans="1:5">
      <c r="A59" s="3173">
        <v>21</v>
      </c>
      <c r="B59" s="3174">
        <v>110.43</v>
      </c>
      <c r="C59" s="3176">
        <v>239</v>
      </c>
      <c r="D59" s="3176">
        <v>31.8</v>
      </c>
      <c r="E59" s="3171">
        <f t="shared" si="0"/>
        <v>26392.77</v>
      </c>
    </row>
    <row r="60" spans="1:5">
      <c r="A60" s="3173">
        <v>21</v>
      </c>
      <c r="B60" s="3174">
        <v>118.04</v>
      </c>
      <c r="C60" s="3176">
        <v>242</v>
      </c>
      <c r="D60" s="3176">
        <v>31.8</v>
      </c>
      <c r="E60" s="3171">
        <f t="shared" si="0"/>
        <v>28565.68</v>
      </c>
    </row>
    <row r="61" spans="1:5">
      <c r="A61" s="3173">
        <v>21</v>
      </c>
      <c r="B61" s="3174">
        <v>207</v>
      </c>
      <c r="C61" s="3176">
        <v>196.33</v>
      </c>
      <c r="D61" s="3176">
        <v>31.8</v>
      </c>
      <c r="E61" s="3171">
        <f t="shared" si="0"/>
        <v>40640.310000000005</v>
      </c>
    </row>
    <row r="62" spans="1:5">
      <c r="A62" s="3173">
        <v>21</v>
      </c>
      <c r="B62" s="3174">
        <v>509.59</v>
      </c>
      <c r="C62" s="3178"/>
      <c r="D62" s="3176"/>
      <c r="E62" s="3171">
        <f t="shared" si="0"/>
        <v>0</v>
      </c>
    </row>
    <row r="63" spans="1:5">
      <c r="A63" s="3173">
        <v>21</v>
      </c>
      <c r="B63" s="3174">
        <v>141.68</v>
      </c>
      <c r="C63" s="3176">
        <v>197</v>
      </c>
      <c r="D63" s="3176">
        <v>31.8</v>
      </c>
      <c r="E63" s="3171">
        <f t="shared" si="0"/>
        <v>27910.960000000003</v>
      </c>
    </row>
    <row r="64" spans="1:5">
      <c r="A64" s="3177">
        <v>21</v>
      </c>
      <c r="B64" s="3174">
        <v>228.07</v>
      </c>
      <c r="C64" s="3176">
        <v>272.37</v>
      </c>
      <c r="D64" s="3176">
        <v>31.8</v>
      </c>
      <c r="E64" s="3171">
        <f t="shared" si="0"/>
        <v>62119.425900000002</v>
      </c>
    </row>
    <row r="65" spans="1:5">
      <c r="A65" s="3177">
        <v>21</v>
      </c>
      <c r="B65" s="3174">
        <v>90</v>
      </c>
      <c r="C65" s="3176">
        <v>272.37</v>
      </c>
      <c r="D65" s="3176">
        <v>31.8</v>
      </c>
      <c r="E65" s="3171">
        <f t="shared" si="0"/>
        <v>24513.3</v>
      </c>
    </row>
    <row r="66" spans="1:5">
      <c r="A66" s="3177">
        <v>22</v>
      </c>
      <c r="B66" s="3180">
        <v>1487.27</v>
      </c>
      <c r="C66" s="3176">
        <v>223.7</v>
      </c>
      <c r="D66" s="3176">
        <v>31.8</v>
      </c>
      <c r="E66" s="3171">
        <f t="shared" si="0"/>
        <v>332702.299</v>
      </c>
    </row>
    <row r="67" spans="1:5">
      <c r="A67" s="3173">
        <v>23</v>
      </c>
      <c r="B67" s="3174">
        <v>228.47</v>
      </c>
      <c r="C67" s="3176">
        <v>280</v>
      </c>
      <c r="D67" s="3176">
        <v>31.8</v>
      </c>
      <c r="E67" s="3171">
        <f t="shared" si="0"/>
        <v>63971.6</v>
      </c>
    </row>
    <row r="68" spans="1:5">
      <c r="A68" s="3177">
        <v>23</v>
      </c>
      <c r="B68" s="3174">
        <v>207</v>
      </c>
      <c r="C68" s="3176">
        <v>280</v>
      </c>
      <c r="D68" s="3176">
        <v>31.8</v>
      </c>
      <c r="E68" s="3171">
        <f t="shared" si="0"/>
        <v>57960</v>
      </c>
    </row>
    <row r="69" spans="1:5">
      <c r="A69" s="3173">
        <v>23</v>
      </c>
      <c r="B69" s="3174">
        <v>262.36</v>
      </c>
      <c r="C69" s="3174"/>
      <c r="D69" s="3176"/>
      <c r="E69" s="3171">
        <f t="shared" ref="E69:E87" si="1">C69*B69</f>
        <v>0</v>
      </c>
    </row>
    <row r="70" spans="1:5">
      <c r="A70" s="3177">
        <v>23</v>
      </c>
      <c r="B70" s="3174">
        <v>415.99</v>
      </c>
      <c r="C70" s="3176">
        <v>260.2</v>
      </c>
      <c r="D70" s="3176">
        <v>31.8</v>
      </c>
      <c r="E70" s="3171">
        <f t="shared" si="1"/>
        <v>108240.598</v>
      </c>
    </row>
    <row r="71" spans="1:5">
      <c r="A71" s="3173">
        <v>23</v>
      </c>
      <c r="B71" s="3174">
        <v>126.22</v>
      </c>
      <c r="C71" s="3176">
        <v>241.95</v>
      </c>
      <c r="D71" s="3176">
        <v>31.8</v>
      </c>
      <c r="E71" s="3171">
        <f t="shared" si="1"/>
        <v>30538.929</v>
      </c>
    </row>
    <row r="72" spans="1:5">
      <c r="A72" s="3177">
        <v>23</v>
      </c>
      <c r="B72" s="3174">
        <v>145.31</v>
      </c>
      <c r="C72" s="3176">
        <v>241.95</v>
      </c>
      <c r="D72" s="3176">
        <v>31.8</v>
      </c>
      <c r="E72" s="3171">
        <f t="shared" si="1"/>
        <v>35157.754499999995</v>
      </c>
    </row>
    <row r="73" spans="1:5">
      <c r="A73" s="3173">
        <v>23</v>
      </c>
      <c r="B73" s="3174">
        <v>101.92</v>
      </c>
      <c r="C73" s="3176">
        <v>235.87</v>
      </c>
      <c r="D73" s="3176">
        <v>31.8</v>
      </c>
      <c r="E73" s="3171">
        <f t="shared" si="1"/>
        <v>24039.8704</v>
      </c>
    </row>
    <row r="74" spans="1:5">
      <c r="A74" s="3177">
        <v>25</v>
      </c>
      <c r="B74" s="3180">
        <v>1504.46</v>
      </c>
      <c r="C74" s="3176">
        <v>254.12</v>
      </c>
      <c r="D74" s="3176">
        <v>31.8</v>
      </c>
      <c r="E74" s="3171">
        <f t="shared" si="1"/>
        <v>382313.37520000001</v>
      </c>
    </row>
    <row r="75" spans="1:5">
      <c r="A75" s="3173">
        <v>26</v>
      </c>
      <c r="B75" s="3174">
        <v>110.25</v>
      </c>
      <c r="C75" s="3176">
        <v>227</v>
      </c>
      <c r="D75" s="3176">
        <v>31.8</v>
      </c>
      <c r="E75" s="3171">
        <f t="shared" si="1"/>
        <v>25026.75</v>
      </c>
    </row>
    <row r="76" spans="1:5">
      <c r="A76" s="3177">
        <v>26</v>
      </c>
      <c r="B76" s="3174">
        <v>117.86</v>
      </c>
      <c r="C76" s="3176">
        <v>251.08</v>
      </c>
      <c r="D76" s="3176">
        <v>31.8</v>
      </c>
      <c r="E76" s="3171">
        <f t="shared" si="1"/>
        <v>29592.288800000002</v>
      </c>
    </row>
    <row r="77" spans="1:5">
      <c r="A77" s="3177">
        <v>26</v>
      </c>
      <c r="B77" s="3174">
        <v>206.67</v>
      </c>
      <c r="C77" s="3176">
        <v>241.95</v>
      </c>
      <c r="D77" s="3176">
        <v>31.8</v>
      </c>
      <c r="E77" s="3171">
        <f t="shared" si="1"/>
        <v>50003.806499999992</v>
      </c>
    </row>
    <row r="78" spans="1:5">
      <c r="A78" s="3173">
        <v>26</v>
      </c>
      <c r="B78" s="3174">
        <v>385.6</v>
      </c>
      <c r="C78" s="3176">
        <v>230</v>
      </c>
      <c r="D78" s="3176">
        <v>31.8</v>
      </c>
      <c r="E78" s="3171">
        <f t="shared" si="1"/>
        <v>88688</v>
      </c>
    </row>
    <row r="79" spans="1:5">
      <c r="A79" s="3173">
        <v>26</v>
      </c>
      <c r="B79" s="3174">
        <v>381.58</v>
      </c>
      <c r="C79" s="3176">
        <v>211.53</v>
      </c>
      <c r="D79" s="3176">
        <v>31.8</v>
      </c>
      <c r="E79" s="3171">
        <f t="shared" si="1"/>
        <v>80715.617400000003</v>
      </c>
    </row>
    <row r="80" spans="1:5">
      <c r="A80" s="3173">
        <v>26</v>
      </c>
      <c r="B80" s="3174">
        <v>302.5</v>
      </c>
      <c r="C80" s="3176">
        <v>211.53</v>
      </c>
      <c r="D80" s="3176">
        <v>31.8</v>
      </c>
      <c r="E80" s="3171">
        <f t="shared" si="1"/>
        <v>63987.824999999997</v>
      </c>
    </row>
    <row r="81" spans="1:5">
      <c r="A81" s="3173">
        <v>27</v>
      </c>
      <c r="B81" s="3174">
        <v>101.76</v>
      </c>
      <c r="C81" s="3176">
        <v>299</v>
      </c>
      <c r="D81" s="3176">
        <v>31.8</v>
      </c>
      <c r="E81" s="3171">
        <f t="shared" si="1"/>
        <v>30426.240000000002</v>
      </c>
    </row>
    <row r="82" spans="1:5">
      <c r="A82" s="3177">
        <v>27</v>
      </c>
      <c r="B82" s="3174">
        <v>110.25</v>
      </c>
      <c r="C82" s="3176">
        <v>257.16000000000003</v>
      </c>
      <c r="D82" s="3176">
        <v>31.8</v>
      </c>
      <c r="E82" s="3171">
        <f t="shared" si="1"/>
        <v>28351.890000000003</v>
      </c>
    </row>
    <row r="83" spans="1:5">
      <c r="A83" s="3177">
        <v>27</v>
      </c>
      <c r="B83" s="3174">
        <v>117.86</v>
      </c>
      <c r="C83" s="3176">
        <v>243.4</v>
      </c>
      <c r="D83" s="3176">
        <v>31.8</v>
      </c>
      <c r="E83" s="3171">
        <f t="shared" si="1"/>
        <v>28687.124</v>
      </c>
    </row>
    <row r="84" spans="1:5">
      <c r="A84" s="3177">
        <v>27</v>
      </c>
      <c r="B84" s="3174">
        <v>140.22</v>
      </c>
      <c r="C84" s="3176">
        <v>243.4</v>
      </c>
      <c r="D84" s="3176">
        <v>31.8</v>
      </c>
      <c r="E84" s="3171">
        <f t="shared" si="1"/>
        <v>34129.548000000003</v>
      </c>
    </row>
    <row r="85" spans="1:5">
      <c r="A85" s="3177">
        <v>27</v>
      </c>
      <c r="B85" s="3174">
        <v>328.39</v>
      </c>
      <c r="C85" s="3176">
        <v>243.4</v>
      </c>
      <c r="D85" s="3176">
        <v>31.8</v>
      </c>
      <c r="E85" s="3171">
        <f t="shared" si="1"/>
        <v>79930.126000000004</v>
      </c>
    </row>
    <row r="86" spans="1:5">
      <c r="A86" s="3177">
        <v>27</v>
      </c>
      <c r="B86" s="3174">
        <v>145.08000000000001</v>
      </c>
      <c r="C86" s="3176">
        <v>243.4</v>
      </c>
      <c r="D86" s="3176">
        <v>31.8</v>
      </c>
      <c r="E86" s="3171">
        <f t="shared" si="1"/>
        <v>35312.472000000002</v>
      </c>
    </row>
    <row r="87" spans="1:5">
      <c r="A87" s="3173">
        <v>27</v>
      </c>
      <c r="B87" s="3174">
        <v>560.9</v>
      </c>
      <c r="C87" s="3176">
        <v>283.2</v>
      </c>
      <c r="D87" s="3176">
        <v>31.8</v>
      </c>
      <c r="E87" s="3171">
        <f t="shared" si="1"/>
        <v>158846.87999999998</v>
      </c>
    </row>
    <row r="88" spans="1:5">
      <c r="B88" s="3171">
        <f>SUM(B4:B87)</f>
        <v>31227.64000000001</v>
      </c>
      <c r="C88" s="3171">
        <f>E88/B88</f>
        <v>210.25644065321603</v>
      </c>
      <c r="E88" s="3171">
        <f>SUM(E4:E87)</f>
        <v>6565812.4363999972</v>
      </c>
    </row>
    <row r="89" spans="1:5">
      <c r="E89" s="3171">
        <f>E88*12/10000</f>
        <v>7878.9749236799971</v>
      </c>
    </row>
    <row r="90" spans="1:5">
      <c r="E90" s="3171">
        <f>E89+F座租户台账!E69+H座租户台账!E60</f>
        <v>19443.988578359997</v>
      </c>
    </row>
  </sheetData>
  <autoFilter ref="A2:D87" xr:uid="{00000000-0009-0000-0000-000003000000}"/>
  <mergeCells count="1">
    <mergeCell ref="A1:D1"/>
  </mergeCells>
  <phoneticPr fontId="1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3E5C-2493-4CDA-A5C1-66CB72B7E71A}">
  <dimension ref="A1:E69"/>
  <sheetViews>
    <sheetView topLeftCell="A31" zoomScale="85" zoomScaleNormal="85" workbookViewId="0">
      <selection activeCell="B68" sqref="B68:C68"/>
    </sheetView>
  </sheetViews>
  <sheetFormatPr defaultColWidth="9" defaultRowHeight="13.5"/>
  <cols>
    <col min="1" max="1" width="9" style="3171"/>
    <col min="2" max="2" width="19.375" style="3171" customWidth="1"/>
    <col min="3" max="3" width="18.5" style="3171" customWidth="1"/>
    <col min="4" max="4" width="20.75" style="3171" customWidth="1"/>
    <col min="5" max="16384" width="9" style="3171"/>
  </cols>
  <sheetData>
    <row r="1" spans="1:5">
      <c r="A1" s="3503" t="s">
        <v>3634</v>
      </c>
      <c r="B1" s="3503"/>
      <c r="C1" s="3503"/>
      <c r="D1" s="3503"/>
    </row>
    <row r="2" spans="1:5">
      <c r="A2" s="3172" t="s">
        <v>3630</v>
      </c>
      <c r="B2" s="3172" t="s">
        <v>3631</v>
      </c>
      <c r="C2" s="3172" t="s">
        <v>3632</v>
      </c>
      <c r="D2" s="3172" t="s">
        <v>3633</v>
      </c>
    </row>
    <row r="3" spans="1:5">
      <c r="A3" s="3173">
        <v>2</v>
      </c>
      <c r="B3" s="3174">
        <v>260.8</v>
      </c>
      <c r="C3" s="3176">
        <v>226.75</v>
      </c>
      <c r="D3" s="3176">
        <v>31.8</v>
      </c>
      <c r="E3" s="3171">
        <f>C3*B3</f>
        <v>59136.4</v>
      </c>
    </row>
    <row r="4" spans="1:5">
      <c r="A4" s="3173">
        <v>3</v>
      </c>
      <c r="B4" s="3174">
        <v>150.94999999999999</v>
      </c>
      <c r="C4" s="3176"/>
      <c r="D4" s="3176"/>
      <c r="E4" s="3171">
        <f t="shared" ref="E4:E67" si="0">C4*B4</f>
        <v>0</v>
      </c>
    </row>
    <row r="5" spans="1:5">
      <c r="A5" s="3173">
        <v>3</v>
      </c>
      <c r="B5" s="3174">
        <v>98</v>
      </c>
      <c r="C5" s="3176">
        <v>198</v>
      </c>
      <c r="D5" s="3176">
        <v>31.8</v>
      </c>
      <c r="E5" s="3171">
        <f t="shared" si="0"/>
        <v>19404</v>
      </c>
    </row>
    <row r="6" spans="1:5">
      <c r="A6" s="3173">
        <v>3</v>
      </c>
      <c r="B6" s="3174">
        <v>170.25</v>
      </c>
      <c r="C6" s="3176">
        <v>226.74</v>
      </c>
      <c r="D6" s="3176">
        <v>31.8</v>
      </c>
      <c r="E6" s="3171">
        <f t="shared" si="0"/>
        <v>38602.485000000001</v>
      </c>
    </row>
    <row r="7" spans="1:5">
      <c r="A7" s="3173">
        <v>3</v>
      </c>
      <c r="B7" s="3180">
        <v>430.14</v>
      </c>
      <c r="C7" s="3176">
        <v>238.08</v>
      </c>
      <c r="D7" s="3176">
        <v>31.8</v>
      </c>
      <c r="E7" s="3171">
        <f t="shared" si="0"/>
        <v>102407.73120000001</v>
      </c>
    </row>
    <row r="8" spans="1:5">
      <c r="A8" s="3173">
        <v>3</v>
      </c>
      <c r="B8" s="3174">
        <v>153.81</v>
      </c>
      <c r="C8" s="3176">
        <v>205</v>
      </c>
      <c r="D8" s="3176">
        <v>31.8</v>
      </c>
      <c r="E8" s="3171">
        <f t="shared" si="0"/>
        <v>31531.05</v>
      </c>
    </row>
    <row r="9" spans="1:5">
      <c r="A9" s="3173">
        <v>5</v>
      </c>
      <c r="B9" s="3174">
        <v>237.23</v>
      </c>
      <c r="C9" s="3176">
        <v>211.53</v>
      </c>
      <c r="D9" s="3176">
        <v>31.8</v>
      </c>
      <c r="E9" s="3171">
        <f t="shared" si="0"/>
        <v>50181.261899999998</v>
      </c>
    </row>
    <row r="10" spans="1:5">
      <c r="A10" s="3173">
        <v>5</v>
      </c>
      <c r="B10" s="3174">
        <v>133.47999999999999</v>
      </c>
      <c r="C10" s="3178"/>
      <c r="D10" s="3176"/>
      <c r="E10" s="3171">
        <f t="shared" si="0"/>
        <v>0</v>
      </c>
    </row>
    <row r="11" spans="1:5">
      <c r="A11" s="3173">
        <v>5</v>
      </c>
      <c r="B11" s="3174">
        <v>368.22</v>
      </c>
      <c r="C11" s="3176">
        <v>283.2</v>
      </c>
      <c r="D11" s="3176">
        <v>31.8</v>
      </c>
      <c r="E11" s="3171">
        <f t="shared" si="0"/>
        <v>104279.90400000001</v>
      </c>
    </row>
    <row r="12" spans="1:5">
      <c r="A12" s="3173">
        <v>5</v>
      </c>
      <c r="B12" s="3174">
        <v>133.47999999999999</v>
      </c>
      <c r="C12" s="3176">
        <v>196.33</v>
      </c>
      <c r="D12" s="3176">
        <v>31.8</v>
      </c>
      <c r="E12" s="3171">
        <f t="shared" si="0"/>
        <v>26206.128400000001</v>
      </c>
    </row>
    <row r="13" spans="1:5">
      <c r="A13" s="3177">
        <v>6</v>
      </c>
      <c r="B13" s="3174">
        <v>506.52</v>
      </c>
      <c r="C13" s="3176">
        <v>270.8</v>
      </c>
      <c r="D13" s="3176">
        <v>31.8</v>
      </c>
      <c r="E13" s="3171">
        <f t="shared" si="0"/>
        <v>137165.61600000001</v>
      </c>
    </row>
    <row r="14" spans="1:5">
      <c r="A14" s="3173">
        <v>6</v>
      </c>
      <c r="B14" s="3174">
        <v>201.82</v>
      </c>
      <c r="C14" s="3178"/>
      <c r="D14" s="3176"/>
      <c r="E14" s="3171">
        <f t="shared" si="0"/>
        <v>0</v>
      </c>
    </row>
    <row r="15" spans="1:5">
      <c r="A15" s="3173">
        <v>6</v>
      </c>
      <c r="B15" s="3174">
        <v>212.19</v>
      </c>
      <c r="C15" s="3178"/>
      <c r="D15" s="3176"/>
      <c r="E15" s="3171">
        <f t="shared" si="0"/>
        <v>0</v>
      </c>
    </row>
    <row r="16" spans="1:5">
      <c r="A16" s="3173">
        <v>6</v>
      </c>
      <c r="B16" s="3174">
        <v>501.7</v>
      </c>
      <c r="C16" s="3176">
        <v>255</v>
      </c>
      <c r="D16" s="3176">
        <v>31.8</v>
      </c>
      <c r="E16" s="3171">
        <f t="shared" si="0"/>
        <v>127933.5</v>
      </c>
    </row>
    <row r="17" spans="1:5">
      <c r="A17" s="3173">
        <v>7</v>
      </c>
      <c r="B17" s="3174">
        <v>269.29000000000002</v>
      </c>
      <c r="C17" s="3176">
        <v>304.16000000000003</v>
      </c>
      <c r="D17" s="3176">
        <v>31.8</v>
      </c>
      <c r="E17" s="3171">
        <f t="shared" si="0"/>
        <v>81907.246400000018</v>
      </c>
    </row>
    <row r="18" spans="1:5">
      <c r="A18" s="3173">
        <v>7</v>
      </c>
      <c r="B18" s="3180">
        <v>1152.94</v>
      </c>
      <c r="C18" s="3176">
        <v>250</v>
      </c>
      <c r="D18" s="3176">
        <v>31.8</v>
      </c>
      <c r="E18" s="3171">
        <f t="shared" si="0"/>
        <v>288235</v>
      </c>
    </row>
    <row r="19" spans="1:5">
      <c r="A19" s="3173">
        <v>8</v>
      </c>
      <c r="B19" s="3180">
        <v>941.03</v>
      </c>
      <c r="C19" s="3176"/>
      <c r="D19" s="3176"/>
      <c r="E19" s="3171">
        <f t="shared" si="0"/>
        <v>0</v>
      </c>
    </row>
    <row r="20" spans="1:5">
      <c r="A20" s="3173">
        <v>8</v>
      </c>
      <c r="B20" s="3174">
        <v>481.2</v>
      </c>
      <c r="C20" s="3176">
        <v>220.66</v>
      </c>
      <c r="D20" s="3176">
        <v>31.8</v>
      </c>
      <c r="E20" s="3171">
        <f t="shared" si="0"/>
        <v>106181.59199999999</v>
      </c>
    </row>
    <row r="21" spans="1:5">
      <c r="A21" s="3173">
        <v>9</v>
      </c>
      <c r="B21" s="3174">
        <v>469.64</v>
      </c>
      <c r="C21" s="3178"/>
      <c r="D21" s="3176"/>
      <c r="E21" s="3171">
        <f t="shared" si="0"/>
        <v>0</v>
      </c>
    </row>
    <row r="22" spans="1:5">
      <c r="A22" s="3173">
        <v>9</v>
      </c>
      <c r="B22" s="3174">
        <v>137.38</v>
      </c>
      <c r="C22" s="3176">
        <v>226.74</v>
      </c>
      <c r="D22" s="3176">
        <v>31.8</v>
      </c>
      <c r="E22" s="3171">
        <f t="shared" si="0"/>
        <v>31149.5412</v>
      </c>
    </row>
    <row r="23" spans="1:5">
      <c r="A23" s="3177">
        <v>9</v>
      </c>
      <c r="B23" s="3174">
        <v>545.91999999999996</v>
      </c>
      <c r="C23" s="3176">
        <v>150</v>
      </c>
      <c r="D23" s="3176">
        <v>31.8</v>
      </c>
      <c r="E23" s="3171">
        <f t="shared" si="0"/>
        <v>81888</v>
      </c>
    </row>
    <row r="24" spans="1:5">
      <c r="A24" s="3173">
        <v>9</v>
      </c>
      <c r="B24" s="3174">
        <v>133.47999999999999</v>
      </c>
      <c r="C24" s="3176">
        <v>220</v>
      </c>
      <c r="D24" s="3176">
        <v>31.8</v>
      </c>
      <c r="E24" s="3171">
        <f t="shared" si="0"/>
        <v>29365.599999999999</v>
      </c>
    </row>
    <row r="25" spans="1:5">
      <c r="A25" s="3173">
        <v>9</v>
      </c>
      <c r="B25" s="3174">
        <v>135.81</v>
      </c>
      <c r="C25" s="3176">
        <v>241.95</v>
      </c>
      <c r="D25" s="3176">
        <v>31.8</v>
      </c>
      <c r="E25" s="3171">
        <f t="shared" si="0"/>
        <v>32859.229500000001</v>
      </c>
    </row>
    <row r="26" spans="1:5">
      <c r="A26" s="3177">
        <v>10</v>
      </c>
      <c r="B26" s="3174">
        <v>137.38</v>
      </c>
      <c r="C26" s="3176">
        <v>280.17</v>
      </c>
      <c r="D26" s="3176">
        <v>31.8</v>
      </c>
      <c r="E26" s="3171">
        <f t="shared" si="0"/>
        <v>38489.7546</v>
      </c>
    </row>
    <row r="27" spans="1:5">
      <c r="A27" s="3177">
        <v>10</v>
      </c>
      <c r="B27" s="3174">
        <v>133.47999999999999</v>
      </c>
      <c r="C27" s="3176">
        <v>280.17</v>
      </c>
      <c r="D27" s="3176">
        <v>31.8</v>
      </c>
      <c r="E27" s="3171">
        <f t="shared" si="0"/>
        <v>37397.0916</v>
      </c>
    </row>
    <row r="28" spans="1:5">
      <c r="A28" s="3177">
        <v>10</v>
      </c>
      <c r="B28" s="3174">
        <v>232.41</v>
      </c>
      <c r="C28" s="3176">
        <v>280.17</v>
      </c>
      <c r="D28" s="3176">
        <v>31.8</v>
      </c>
      <c r="E28" s="3171">
        <f t="shared" si="0"/>
        <v>65114.309700000005</v>
      </c>
    </row>
    <row r="29" spans="1:5">
      <c r="A29" s="3173">
        <v>10</v>
      </c>
      <c r="B29" s="3174">
        <v>210.34</v>
      </c>
      <c r="C29" s="3176">
        <v>212</v>
      </c>
      <c r="D29" s="3176">
        <v>31.8</v>
      </c>
      <c r="E29" s="3171">
        <f t="shared" si="0"/>
        <v>44592.08</v>
      </c>
    </row>
    <row r="30" spans="1:5">
      <c r="A30" s="3177">
        <v>10</v>
      </c>
      <c r="B30" s="3174">
        <v>202.1</v>
      </c>
      <c r="C30" s="3176">
        <v>215</v>
      </c>
      <c r="D30" s="3176">
        <v>31.8</v>
      </c>
      <c r="E30" s="3171">
        <f t="shared" si="0"/>
        <v>43451.5</v>
      </c>
    </row>
    <row r="31" spans="1:5">
      <c r="A31" s="3173">
        <v>10</v>
      </c>
      <c r="B31" s="3174">
        <v>133.47999999999999</v>
      </c>
      <c r="C31" s="3176">
        <v>242</v>
      </c>
      <c r="D31" s="3176">
        <v>31.8</v>
      </c>
      <c r="E31" s="3171">
        <f t="shared" si="0"/>
        <v>32302.159999999996</v>
      </c>
    </row>
    <row r="32" spans="1:5">
      <c r="A32" s="3173">
        <v>10</v>
      </c>
      <c r="B32" s="3174">
        <v>237.23</v>
      </c>
      <c r="C32" s="3176">
        <v>200</v>
      </c>
      <c r="D32" s="3176">
        <v>31.8</v>
      </c>
      <c r="E32" s="3171">
        <f t="shared" si="0"/>
        <v>47446</v>
      </c>
    </row>
    <row r="33" spans="1:5">
      <c r="A33" s="3177">
        <v>10</v>
      </c>
      <c r="B33" s="3174">
        <v>135.81</v>
      </c>
      <c r="C33" s="3176">
        <v>251.95</v>
      </c>
      <c r="D33" s="3176">
        <v>31.8</v>
      </c>
      <c r="E33" s="3171">
        <f t="shared" si="0"/>
        <v>34217.3295</v>
      </c>
    </row>
    <row r="34" spans="1:5">
      <c r="A34" s="3173">
        <v>11</v>
      </c>
      <c r="B34" s="3180">
        <v>1422.23</v>
      </c>
      <c r="C34" s="3176">
        <v>204.53</v>
      </c>
      <c r="D34" s="3176">
        <v>31.8</v>
      </c>
      <c r="E34" s="3171">
        <f t="shared" si="0"/>
        <v>290888.70189999999</v>
      </c>
    </row>
    <row r="35" spans="1:5">
      <c r="A35" s="3177">
        <v>12</v>
      </c>
      <c r="B35" s="3174">
        <v>603.12</v>
      </c>
      <c r="C35" s="3176">
        <v>270</v>
      </c>
      <c r="D35" s="3176">
        <v>31.8</v>
      </c>
      <c r="E35" s="3171">
        <f t="shared" si="0"/>
        <v>162842.4</v>
      </c>
    </row>
    <row r="36" spans="1:5">
      <c r="A36" s="3177">
        <v>12</v>
      </c>
      <c r="B36" s="3174">
        <v>135.81</v>
      </c>
      <c r="C36" s="3176">
        <v>270</v>
      </c>
      <c r="D36" s="3176">
        <v>31.8</v>
      </c>
      <c r="E36" s="3171">
        <f t="shared" si="0"/>
        <v>36668.699999999997</v>
      </c>
    </row>
    <row r="37" spans="1:5">
      <c r="A37" s="3173">
        <v>12</v>
      </c>
      <c r="B37" s="3174">
        <v>210.34</v>
      </c>
      <c r="C37" s="3176">
        <v>215</v>
      </c>
      <c r="D37" s="3176">
        <v>31.8</v>
      </c>
      <c r="E37" s="3171">
        <f t="shared" si="0"/>
        <v>45223.1</v>
      </c>
    </row>
    <row r="38" spans="1:5">
      <c r="A38" s="3173">
        <v>12</v>
      </c>
      <c r="B38" s="3174">
        <v>202.1</v>
      </c>
      <c r="C38" s="3176">
        <v>198</v>
      </c>
      <c r="D38" s="3176">
        <v>31.8</v>
      </c>
      <c r="E38" s="3171">
        <f t="shared" si="0"/>
        <v>40015.799999999996</v>
      </c>
    </row>
    <row r="39" spans="1:5">
      <c r="A39" s="3177">
        <v>12</v>
      </c>
      <c r="B39" s="3174">
        <v>270.86</v>
      </c>
      <c r="C39" s="3176">
        <v>400</v>
      </c>
      <c r="D39" s="3176">
        <v>31.8</v>
      </c>
      <c r="E39" s="3171">
        <f t="shared" si="0"/>
        <v>108344</v>
      </c>
    </row>
    <row r="40" spans="1:5">
      <c r="A40" s="3177">
        <v>15</v>
      </c>
      <c r="B40" s="3174">
        <v>133.47999999999999</v>
      </c>
      <c r="C40" s="3176">
        <v>272.37</v>
      </c>
      <c r="D40" s="3176">
        <v>31.8</v>
      </c>
      <c r="E40" s="3171">
        <f t="shared" si="0"/>
        <v>36355.9476</v>
      </c>
    </row>
    <row r="41" spans="1:5">
      <c r="A41" s="3173">
        <v>15</v>
      </c>
      <c r="B41" s="3174">
        <v>410.87</v>
      </c>
      <c r="C41" s="3176">
        <v>226.74</v>
      </c>
      <c r="D41" s="3176">
        <v>31.8</v>
      </c>
      <c r="E41" s="3171">
        <f t="shared" si="0"/>
        <v>93160.663800000009</v>
      </c>
    </row>
    <row r="42" spans="1:5">
      <c r="A42" s="3173">
        <v>15</v>
      </c>
      <c r="B42" s="3174">
        <v>133.47999999999999</v>
      </c>
      <c r="C42" s="3176">
        <v>215</v>
      </c>
      <c r="D42" s="3176">
        <v>31.8</v>
      </c>
      <c r="E42" s="3171">
        <f t="shared" si="0"/>
        <v>28698.199999999997</v>
      </c>
    </row>
    <row r="43" spans="1:5">
      <c r="A43" s="3177">
        <v>15</v>
      </c>
      <c r="B43" s="3174">
        <v>374.61</v>
      </c>
      <c r="C43" s="3176">
        <v>288.95</v>
      </c>
      <c r="D43" s="3176">
        <v>31.8</v>
      </c>
      <c r="E43" s="3171">
        <f t="shared" si="0"/>
        <v>108243.5595</v>
      </c>
    </row>
    <row r="44" spans="1:5">
      <c r="A44" s="3173">
        <v>15</v>
      </c>
      <c r="B44" s="3174">
        <v>232.41</v>
      </c>
      <c r="C44" s="3176">
        <v>212</v>
      </c>
      <c r="D44" s="3176">
        <v>31.8</v>
      </c>
      <c r="E44" s="3171">
        <f t="shared" si="0"/>
        <v>49270.92</v>
      </c>
    </row>
    <row r="45" spans="1:5">
      <c r="A45" s="3173">
        <v>16</v>
      </c>
      <c r="B45" s="3174">
        <v>137.38</v>
      </c>
      <c r="C45" s="3176">
        <v>266.27999999999997</v>
      </c>
      <c r="D45" s="3176">
        <v>31.8</v>
      </c>
      <c r="E45" s="3171">
        <f t="shared" si="0"/>
        <v>36581.546399999992</v>
      </c>
    </row>
    <row r="46" spans="1:5">
      <c r="A46" s="3173">
        <v>16</v>
      </c>
      <c r="B46" s="3174">
        <v>242.41</v>
      </c>
      <c r="C46" s="3176">
        <v>266.27999999999997</v>
      </c>
      <c r="D46" s="3176">
        <v>31.8</v>
      </c>
      <c r="E46" s="3171">
        <f t="shared" si="0"/>
        <v>64548.934799999995</v>
      </c>
    </row>
    <row r="47" spans="1:5">
      <c r="A47" s="3173">
        <v>16</v>
      </c>
      <c r="B47" s="3174">
        <v>133.47999999999999</v>
      </c>
      <c r="C47" s="3176">
        <v>251.08</v>
      </c>
      <c r="D47" s="3176">
        <v>31.8</v>
      </c>
      <c r="E47" s="3171">
        <f t="shared" si="0"/>
        <v>33514.1584</v>
      </c>
    </row>
    <row r="48" spans="1:5">
      <c r="A48" s="3173">
        <v>16</v>
      </c>
      <c r="B48" s="3174">
        <v>205.87</v>
      </c>
      <c r="C48" s="3176">
        <v>241.95</v>
      </c>
      <c r="D48" s="3176">
        <v>31.8</v>
      </c>
      <c r="E48" s="3171">
        <f t="shared" si="0"/>
        <v>49810.246500000001</v>
      </c>
    </row>
    <row r="49" spans="1:5">
      <c r="A49" s="3177">
        <v>16</v>
      </c>
      <c r="B49" s="3174">
        <v>205</v>
      </c>
      <c r="C49" s="3176">
        <v>241.95</v>
      </c>
      <c r="D49" s="3176">
        <v>31.8</v>
      </c>
      <c r="E49" s="3171">
        <f t="shared" si="0"/>
        <v>49599.75</v>
      </c>
    </row>
    <row r="50" spans="1:5">
      <c r="A50" s="3173">
        <v>16</v>
      </c>
      <c r="B50" s="3174">
        <v>270.86</v>
      </c>
      <c r="C50" s="3176">
        <v>215</v>
      </c>
      <c r="D50" s="3176">
        <v>31.8</v>
      </c>
      <c r="E50" s="3171">
        <f t="shared" si="0"/>
        <v>58234.9</v>
      </c>
    </row>
    <row r="51" spans="1:5">
      <c r="A51" s="3173">
        <v>16</v>
      </c>
      <c r="B51" s="3174">
        <v>227.23</v>
      </c>
      <c r="C51" s="3176">
        <v>200</v>
      </c>
      <c r="D51" s="3176">
        <v>31.8</v>
      </c>
      <c r="E51" s="3171">
        <f t="shared" si="0"/>
        <v>45446</v>
      </c>
    </row>
    <row r="52" spans="1:5">
      <c r="A52" s="3173">
        <v>17</v>
      </c>
      <c r="B52" s="3180">
        <v>1422.23</v>
      </c>
      <c r="C52" s="3176">
        <v>279</v>
      </c>
      <c r="D52" s="3176">
        <v>31.8</v>
      </c>
      <c r="E52" s="3171">
        <f t="shared" si="0"/>
        <v>396802.17</v>
      </c>
    </row>
    <row r="53" spans="1:5">
      <c r="A53" s="3173">
        <v>18</v>
      </c>
      <c r="B53" s="3174">
        <v>133.47999999999999</v>
      </c>
      <c r="C53" s="3176">
        <v>268.2</v>
      </c>
      <c r="D53" s="3176">
        <v>31.8</v>
      </c>
      <c r="E53" s="3171">
        <f t="shared" si="0"/>
        <v>35799.335999999996</v>
      </c>
    </row>
    <row r="54" spans="1:5">
      <c r="A54" s="3173">
        <v>18</v>
      </c>
      <c r="B54" s="3174">
        <v>137.38</v>
      </c>
      <c r="C54" s="3176">
        <v>223.24</v>
      </c>
      <c r="D54" s="3176">
        <v>31.8</v>
      </c>
      <c r="E54" s="3171">
        <f t="shared" si="0"/>
        <v>30668.711200000002</v>
      </c>
    </row>
    <row r="55" spans="1:5">
      <c r="A55" s="3173">
        <v>18</v>
      </c>
      <c r="B55" s="3174">
        <v>469.64</v>
      </c>
      <c r="C55" s="3176">
        <v>272.37</v>
      </c>
      <c r="D55" s="3176">
        <v>31.8</v>
      </c>
      <c r="E55" s="3171">
        <f t="shared" si="0"/>
        <v>127915.8468</v>
      </c>
    </row>
    <row r="56" spans="1:5">
      <c r="A56" s="3173">
        <v>18</v>
      </c>
      <c r="B56" s="3174">
        <v>270.86</v>
      </c>
      <c r="C56" s="3176">
        <v>258</v>
      </c>
      <c r="D56" s="3176">
        <v>31.8</v>
      </c>
      <c r="E56" s="3171">
        <f t="shared" si="0"/>
        <v>69881.88</v>
      </c>
    </row>
    <row r="57" spans="1:5">
      <c r="A57" s="3177">
        <v>18</v>
      </c>
      <c r="B57" s="3174">
        <v>205.87</v>
      </c>
      <c r="C57" s="3176">
        <v>241.96</v>
      </c>
      <c r="D57" s="3176">
        <v>31.8</v>
      </c>
      <c r="E57" s="3171">
        <f t="shared" si="0"/>
        <v>49812.305200000003</v>
      </c>
    </row>
    <row r="58" spans="1:5">
      <c r="A58" s="3173">
        <v>18</v>
      </c>
      <c r="B58" s="3174">
        <v>205</v>
      </c>
      <c r="C58" s="3176">
        <v>200</v>
      </c>
      <c r="D58" s="3176">
        <v>31.8</v>
      </c>
      <c r="E58" s="3171">
        <f t="shared" si="0"/>
        <v>41000</v>
      </c>
    </row>
    <row r="59" spans="1:5">
      <c r="A59" s="3173">
        <v>19</v>
      </c>
      <c r="B59" s="3174">
        <v>137.38</v>
      </c>
      <c r="C59" s="3178"/>
      <c r="D59" s="3176"/>
      <c r="E59" s="3171">
        <f t="shared" si="0"/>
        <v>0</v>
      </c>
    </row>
    <row r="60" spans="1:5">
      <c r="A60" s="3173">
        <v>19</v>
      </c>
      <c r="B60" s="3174">
        <v>232.41</v>
      </c>
      <c r="C60" s="3176">
        <v>226.74</v>
      </c>
      <c r="D60" s="3176">
        <v>31.8</v>
      </c>
      <c r="E60" s="3171">
        <f t="shared" si="0"/>
        <v>52696.643400000001</v>
      </c>
    </row>
    <row r="61" spans="1:5">
      <c r="A61" s="3173">
        <v>19</v>
      </c>
      <c r="B61" s="3174">
        <v>133.47999999999999</v>
      </c>
      <c r="C61" s="3176">
        <v>241.95</v>
      </c>
      <c r="D61" s="3176">
        <v>31.8</v>
      </c>
      <c r="E61" s="3171">
        <f t="shared" si="0"/>
        <v>32295.485999999997</v>
      </c>
    </row>
    <row r="62" spans="1:5">
      <c r="A62" s="3173">
        <v>19</v>
      </c>
      <c r="B62" s="3174">
        <v>205.87</v>
      </c>
      <c r="C62" s="3176">
        <v>230</v>
      </c>
      <c r="D62" s="3176">
        <v>31.8</v>
      </c>
      <c r="E62" s="3171">
        <f t="shared" si="0"/>
        <v>47350.1</v>
      </c>
    </row>
    <row r="63" spans="1:5">
      <c r="A63" s="3173">
        <v>19</v>
      </c>
      <c r="B63" s="3174">
        <v>205</v>
      </c>
      <c r="C63" s="3176">
        <v>367.5</v>
      </c>
      <c r="D63" s="3176">
        <v>31.8</v>
      </c>
      <c r="E63" s="3171">
        <f t="shared" si="0"/>
        <v>75337.5</v>
      </c>
    </row>
    <row r="64" spans="1:5">
      <c r="A64" s="3177">
        <v>19</v>
      </c>
      <c r="B64" s="3174">
        <v>270.86</v>
      </c>
      <c r="C64" s="3176">
        <v>315</v>
      </c>
      <c r="D64" s="3176">
        <v>31.8</v>
      </c>
      <c r="E64" s="3171">
        <f t="shared" si="0"/>
        <v>85320.900000000009</v>
      </c>
    </row>
    <row r="65" spans="1:5">
      <c r="A65" s="3173">
        <v>19</v>
      </c>
      <c r="B65" s="3174">
        <v>237.23</v>
      </c>
      <c r="C65" s="3176">
        <v>272.37</v>
      </c>
      <c r="D65" s="3176">
        <v>31.8</v>
      </c>
      <c r="E65" s="3171">
        <f t="shared" si="0"/>
        <v>64614.335099999997</v>
      </c>
    </row>
    <row r="66" spans="1:5">
      <c r="A66" s="3173">
        <v>20</v>
      </c>
      <c r="B66" s="3180">
        <v>1422.23</v>
      </c>
      <c r="C66" s="3176">
        <v>226.74</v>
      </c>
      <c r="D66" s="3176">
        <v>31.8</v>
      </c>
      <c r="E66" s="3171">
        <f t="shared" si="0"/>
        <v>322476.4302</v>
      </c>
    </row>
    <row r="67" spans="1:5">
      <c r="A67" s="3177">
        <v>21</v>
      </c>
      <c r="B67" s="3180">
        <v>1422.23</v>
      </c>
      <c r="C67" s="3176">
        <v>150</v>
      </c>
      <c r="D67" s="3176">
        <v>31.8</v>
      </c>
      <c r="E67" s="3171">
        <f t="shared" si="0"/>
        <v>213334.5</v>
      </c>
    </row>
    <row r="68" spans="1:5">
      <c r="B68" s="3171">
        <f>SUM(B3:B67)</f>
        <v>21910.199999999997</v>
      </c>
      <c r="C68" s="3171">
        <f>E68/B68</f>
        <v>213.33434582066801</v>
      </c>
      <c r="E68" s="3171">
        <f>SUM(E3:E67)</f>
        <v>4674198.1837999998</v>
      </c>
    </row>
    <row r="69" spans="1:5">
      <c r="E69" s="3171">
        <f>E68*12/10000</f>
        <v>5609.0378205599991</v>
      </c>
    </row>
  </sheetData>
  <autoFilter ref="A2:F67" xr:uid="{00000000-0009-0000-0000-000004000000}"/>
  <mergeCells count="1">
    <mergeCell ref="A1:D1"/>
  </mergeCells>
  <phoneticPr fontId="13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88"/>
      <c r="B4" s="3207" t="s">
        <v>917</v>
      </c>
      <c r="C4" s="3207"/>
      <c r="D4" s="3207"/>
      <c r="E4" s="1388"/>
    </row>
    <row r="5" spans="1:5" ht="16.5" thickTop="1">
      <c r="B5" s="3205" t="s">
        <v>909</v>
      </c>
      <c r="C5" s="1389" t="s">
        <v>910</v>
      </c>
      <c r="D5" s="795">
        <f ca="1">结果表!H101</f>
        <v>134951</v>
      </c>
    </row>
    <row r="6" spans="1:5" ht="15.75">
      <c r="B6" s="3205"/>
      <c r="C6" s="1389" t="s">
        <v>911</v>
      </c>
      <c r="D6" s="795" t="str">
        <f ca="1">NUMBERSTRING(INT(D5*10000),2)&amp;"元整"</f>
        <v>壹拾叁亿肆仟玖佰伍拾壹万元整</v>
      </c>
    </row>
    <row r="7" spans="1:5" ht="15.75">
      <c r="B7" s="3210"/>
      <c r="C7" s="1390" t="s">
        <v>912</v>
      </c>
      <c r="D7" s="796">
        <f ca="1">结果表!H102</f>
        <v>39117</v>
      </c>
    </row>
    <row r="8" spans="1:5" ht="15.75">
      <c r="B8" s="3211" t="str">
        <f>结果表!E103</f>
        <v>2.估价师知悉的法定优先受偿款</v>
      </c>
      <c r="C8" s="1391" t="s">
        <v>913</v>
      </c>
      <c r="D8" s="796">
        <f>结果表!H103</f>
        <v>0</v>
      </c>
    </row>
    <row r="9" spans="1:5" ht="15.75">
      <c r="B9" s="3213"/>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4" t="str">
        <f>结果表!E107</f>
        <v>3.房地产抵押价值</v>
      </c>
      <c r="C13" s="1394" t="s">
        <v>910</v>
      </c>
      <c r="D13" s="798">
        <f ca="1">结果表!H107</f>
        <v>134951</v>
      </c>
    </row>
    <row r="14" spans="1:5" ht="15.75">
      <c r="B14" s="3205"/>
      <c r="C14" s="1389" t="s">
        <v>911</v>
      </c>
      <c r="D14" s="795" t="str">
        <f ca="1">NUMBERSTRING(INT(D13*10000),2)&amp;"元整"</f>
        <v>壹拾叁亿肆仟玖佰伍拾壹万元整</v>
      </c>
    </row>
    <row r="15" spans="1:5" ht="15">
      <c r="B15" s="3210"/>
      <c r="C15" s="1390" t="s">
        <v>921</v>
      </c>
      <c r="D15" s="804">
        <f ca="1">结果表!H108</f>
        <v>39117</v>
      </c>
    </row>
    <row r="16" spans="1:5" ht="15">
      <c r="B16" s="3211" t="str">
        <f>结果表!E109</f>
        <v>——</v>
      </c>
      <c r="C16" s="1394" t="s">
        <v>922</v>
      </c>
      <c r="D16" s="1395" t="str">
        <f>结果表!H109</f>
        <v>——</v>
      </c>
    </row>
    <row r="17" spans="1:5" ht="15.75">
      <c r="B17" s="3212"/>
      <c r="C17" s="1389" t="s">
        <v>923</v>
      </c>
      <c r="D17" s="795" t="e">
        <f>NUMBERSTRING(INT(D16*10000),2)&amp;"元整"</f>
        <v>#VALUE!</v>
      </c>
    </row>
    <row r="18" spans="1:5" ht="15">
      <c r="B18" s="3213"/>
      <c r="C18" s="1390" t="s">
        <v>912</v>
      </c>
      <c r="D18" s="804" t="str">
        <f>结果表!H110</f>
        <v>——</v>
      </c>
    </row>
    <row r="19" spans="1:5" ht="15.75">
      <c r="B19" s="3204" t="str">
        <f>结果表!E111</f>
        <v>——</v>
      </c>
      <c r="C19" s="1394" t="s">
        <v>910</v>
      </c>
      <c r="D19" s="796" t="str">
        <f>结果表!H111</f>
        <v>——</v>
      </c>
    </row>
    <row r="20" spans="1:5" ht="15.75">
      <c r="B20" s="3205"/>
      <c r="C20" s="1389" t="s">
        <v>923</v>
      </c>
      <c r="D20" s="795" t="e">
        <f>NUMBERSTRING(INT(D19*10000),2)&amp;"元整"</f>
        <v>#VALUE!</v>
      </c>
    </row>
    <row r="21" spans="1:5" ht="15.75" thickBot="1">
      <c r="B21" s="3206"/>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739C-40CB-44C7-A4C4-545070F36A83}">
  <dimension ref="A1:E60"/>
  <sheetViews>
    <sheetView topLeftCell="A16" zoomScale="85" zoomScaleNormal="85" workbookViewId="0">
      <selection activeCell="H54" sqref="H54"/>
    </sheetView>
  </sheetViews>
  <sheetFormatPr defaultColWidth="9" defaultRowHeight="13.5"/>
  <cols>
    <col min="1" max="1" width="9" style="3171"/>
    <col min="2" max="2" width="19.375" style="3171" customWidth="1"/>
    <col min="3" max="3" width="18.5" style="3171" customWidth="1"/>
    <col min="4" max="4" width="20.75" style="3171" customWidth="1"/>
    <col min="5" max="16384" width="9" style="3171"/>
  </cols>
  <sheetData>
    <row r="1" spans="1:5">
      <c r="A1" s="3504" t="s">
        <v>3635</v>
      </c>
      <c r="B1" s="3505"/>
      <c r="C1" s="3505"/>
      <c r="D1" s="3505"/>
    </row>
    <row r="2" spans="1:5">
      <c r="A2" s="3172" t="s">
        <v>3630</v>
      </c>
      <c r="B2" s="3172" t="s">
        <v>3631</v>
      </c>
      <c r="C2" s="3172" t="s">
        <v>3632</v>
      </c>
      <c r="D2" s="3172" t="s">
        <v>3633</v>
      </c>
    </row>
    <row r="3" spans="1:5">
      <c r="A3" s="3173">
        <v>1</v>
      </c>
      <c r="B3" s="3174">
        <v>276.47000000000003</v>
      </c>
      <c r="C3" s="3181">
        <v>130.19</v>
      </c>
      <c r="D3" s="3181">
        <v>25</v>
      </c>
      <c r="E3" s="3171">
        <f>C3*B3</f>
        <v>35993.629300000001</v>
      </c>
    </row>
    <row r="4" spans="1:5">
      <c r="A4" s="3173">
        <v>1</v>
      </c>
      <c r="B4" s="3174">
        <v>105.44</v>
      </c>
      <c r="C4" s="3178"/>
      <c r="D4" s="3181"/>
      <c r="E4" s="3171">
        <f t="shared" ref="E4:E58" si="0">C4*B4</f>
        <v>0</v>
      </c>
    </row>
    <row r="5" spans="1:5">
      <c r="A5" s="3177">
        <v>1</v>
      </c>
      <c r="B5" s="3174">
        <v>57</v>
      </c>
      <c r="C5" s="3181">
        <v>306.57</v>
      </c>
      <c r="D5" s="3181">
        <v>40.28</v>
      </c>
      <c r="E5" s="3171">
        <f t="shared" si="0"/>
        <v>17474.489999999998</v>
      </c>
    </row>
    <row r="6" spans="1:5">
      <c r="A6" s="3173">
        <v>2</v>
      </c>
      <c r="B6" s="3174">
        <v>358.1</v>
      </c>
      <c r="C6" s="3178"/>
      <c r="D6" s="3181"/>
      <c r="E6" s="3171">
        <f t="shared" si="0"/>
        <v>0</v>
      </c>
    </row>
    <row r="7" spans="1:5">
      <c r="A7" s="3177">
        <v>3</v>
      </c>
      <c r="B7" s="3180">
        <v>1013.33</v>
      </c>
      <c r="C7" s="3181">
        <v>226.74</v>
      </c>
      <c r="D7" s="3181">
        <v>31.8</v>
      </c>
      <c r="E7" s="3171">
        <f t="shared" si="0"/>
        <v>229762.44420000003</v>
      </c>
    </row>
    <row r="8" spans="1:5">
      <c r="A8" s="3173">
        <v>3</v>
      </c>
      <c r="B8" s="3174">
        <v>502.46</v>
      </c>
      <c r="C8" s="3181">
        <v>241.95</v>
      </c>
      <c r="D8" s="3181">
        <v>31.8</v>
      </c>
      <c r="E8" s="3171">
        <f t="shared" si="0"/>
        <v>121570.19699999999</v>
      </c>
    </row>
    <row r="9" spans="1:5">
      <c r="A9" s="3173">
        <v>3</v>
      </c>
      <c r="B9" s="3174">
        <v>131.72</v>
      </c>
      <c r="C9" s="3181">
        <v>196.33</v>
      </c>
      <c r="D9" s="3181">
        <v>31.8</v>
      </c>
      <c r="E9" s="3171">
        <f t="shared" si="0"/>
        <v>25860.587600000003</v>
      </c>
    </row>
    <row r="10" spans="1:5">
      <c r="A10" s="3173">
        <v>5</v>
      </c>
      <c r="B10" s="3174">
        <v>134.66</v>
      </c>
      <c r="C10" s="3181">
        <v>196</v>
      </c>
      <c r="D10" s="3181">
        <v>31.8</v>
      </c>
      <c r="E10" s="3171">
        <f t="shared" si="0"/>
        <v>26393.360000000001</v>
      </c>
    </row>
    <row r="11" spans="1:5">
      <c r="A11" s="3173">
        <v>5</v>
      </c>
      <c r="B11" s="3174">
        <v>338.17</v>
      </c>
      <c r="C11" s="3178"/>
      <c r="D11" s="3181"/>
      <c r="E11" s="3171">
        <f t="shared" si="0"/>
        <v>0</v>
      </c>
    </row>
    <row r="12" spans="1:5">
      <c r="A12" s="3173">
        <v>5</v>
      </c>
      <c r="B12" s="3174">
        <v>204.09</v>
      </c>
      <c r="C12" s="3178"/>
      <c r="D12" s="3181"/>
      <c r="E12" s="3171">
        <f t="shared" si="0"/>
        <v>0</v>
      </c>
    </row>
    <row r="13" spans="1:5">
      <c r="A13" s="3177">
        <v>5</v>
      </c>
      <c r="B13" s="3174">
        <v>464.33</v>
      </c>
      <c r="C13" s="3181">
        <v>254.11</v>
      </c>
      <c r="D13" s="3181">
        <v>31.8</v>
      </c>
      <c r="E13" s="3171">
        <f t="shared" si="0"/>
        <v>117990.89630000001</v>
      </c>
    </row>
    <row r="14" spans="1:5">
      <c r="A14" s="3177">
        <v>5</v>
      </c>
      <c r="B14" s="3174">
        <v>266.38</v>
      </c>
      <c r="C14" s="3181">
        <v>254.11</v>
      </c>
      <c r="D14" s="3181">
        <v>31.8</v>
      </c>
      <c r="E14" s="3171">
        <f t="shared" si="0"/>
        <v>67689.821800000005</v>
      </c>
    </row>
    <row r="15" spans="1:5">
      <c r="A15" s="3177">
        <v>6</v>
      </c>
      <c r="B15" s="3180">
        <v>1409.42</v>
      </c>
      <c r="C15" s="3181">
        <v>226.74</v>
      </c>
      <c r="D15" s="3181">
        <v>31.8</v>
      </c>
      <c r="E15" s="3171">
        <f t="shared" si="0"/>
        <v>319571.89080000005</v>
      </c>
    </row>
    <row r="16" spans="1:5">
      <c r="A16" s="3177">
        <v>7</v>
      </c>
      <c r="B16" s="3180">
        <v>1409.42</v>
      </c>
      <c r="C16" s="3181">
        <v>226.74</v>
      </c>
      <c r="D16" s="3181">
        <v>31.8</v>
      </c>
      <c r="E16" s="3171">
        <f t="shared" si="0"/>
        <v>319571.89080000005</v>
      </c>
    </row>
    <row r="17" spans="1:5">
      <c r="A17" s="3173">
        <v>8</v>
      </c>
      <c r="B17" s="3180">
        <v>1409.42</v>
      </c>
      <c r="C17" s="3181">
        <v>220</v>
      </c>
      <c r="D17" s="3181">
        <v>31.8</v>
      </c>
      <c r="E17" s="3171">
        <f t="shared" si="0"/>
        <v>310072.40000000002</v>
      </c>
    </row>
    <row r="18" spans="1:5">
      <c r="A18" s="3173">
        <v>9</v>
      </c>
      <c r="B18" s="3174">
        <v>134.58000000000001</v>
      </c>
      <c r="C18" s="3181">
        <v>235.87</v>
      </c>
      <c r="D18" s="3181">
        <v>31.8</v>
      </c>
      <c r="E18" s="3171">
        <f t="shared" si="0"/>
        <v>31743.384600000005</v>
      </c>
    </row>
    <row r="19" spans="1:5">
      <c r="A19" s="3173">
        <v>9</v>
      </c>
      <c r="B19" s="3174">
        <v>132.28</v>
      </c>
      <c r="C19" s="3178"/>
      <c r="D19" s="3181"/>
      <c r="E19" s="3171">
        <f t="shared" si="0"/>
        <v>0</v>
      </c>
    </row>
    <row r="20" spans="1:5">
      <c r="A20" s="3173">
        <v>9</v>
      </c>
      <c r="B20" s="3174">
        <v>132.28</v>
      </c>
      <c r="C20" s="3178"/>
      <c r="D20" s="3181"/>
      <c r="E20" s="3171">
        <f t="shared" si="0"/>
        <v>0</v>
      </c>
    </row>
    <row r="21" spans="1:5">
      <c r="A21" s="3173">
        <v>9</v>
      </c>
      <c r="B21" s="3174">
        <v>410.29</v>
      </c>
      <c r="C21" s="3181">
        <v>205</v>
      </c>
      <c r="D21" s="3181">
        <v>31.8</v>
      </c>
      <c r="E21" s="3171">
        <f t="shared" si="0"/>
        <v>84109.45</v>
      </c>
    </row>
    <row r="22" spans="1:5">
      <c r="A22" s="3173">
        <v>9</v>
      </c>
      <c r="B22" s="3174">
        <v>369.68</v>
      </c>
      <c r="C22" s="3181">
        <v>252</v>
      </c>
      <c r="D22" s="3181">
        <v>31.8</v>
      </c>
      <c r="E22" s="3171">
        <f t="shared" si="0"/>
        <v>93159.360000000001</v>
      </c>
    </row>
    <row r="23" spans="1:5">
      <c r="A23" s="3173">
        <v>9</v>
      </c>
      <c r="B23" s="3174">
        <v>230.31</v>
      </c>
      <c r="C23" s="3181">
        <v>211.53</v>
      </c>
      <c r="D23" s="3181">
        <v>31.8</v>
      </c>
      <c r="E23" s="3171">
        <f t="shared" si="0"/>
        <v>48717.474300000002</v>
      </c>
    </row>
    <row r="24" spans="1:5">
      <c r="A24" s="3173">
        <v>10</v>
      </c>
      <c r="B24" s="3174">
        <v>134.58000000000001</v>
      </c>
      <c r="C24" s="3181">
        <v>258.2</v>
      </c>
      <c r="D24" s="3181">
        <v>31.8</v>
      </c>
      <c r="E24" s="3171">
        <f t="shared" si="0"/>
        <v>34748.556000000004</v>
      </c>
    </row>
    <row r="25" spans="1:5">
      <c r="A25" s="3173">
        <v>10</v>
      </c>
      <c r="B25" s="3174">
        <v>606.26</v>
      </c>
      <c r="C25" s="3178"/>
      <c r="D25" s="3181"/>
      <c r="E25" s="3171">
        <f t="shared" si="0"/>
        <v>0</v>
      </c>
    </row>
    <row r="26" spans="1:5">
      <c r="A26" s="3173">
        <v>10</v>
      </c>
      <c r="B26" s="3174">
        <v>274.56</v>
      </c>
      <c r="C26" s="3181">
        <v>220</v>
      </c>
      <c r="D26" s="3181">
        <v>31.8</v>
      </c>
      <c r="E26" s="3171">
        <f t="shared" si="0"/>
        <v>60403.199999999997</v>
      </c>
    </row>
    <row r="27" spans="1:5">
      <c r="A27" s="3173">
        <v>10</v>
      </c>
      <c r="B27" s="3174">
        <v>134.58000000000001</v>
      </c>
      <c r="C27" s="3181">
        <v>245</v>
      </c>
      <c r="D27" s="3181">
        <v>31.8</v>
      </c>
      <c r="E27" s="3171">
        <f t="shared" si="0"/>
        <v>32972.100000000006</v>
      </c>
    </row>
    <row r="28" spans="1:5">
      <c r="A28" s="3173">
        <v>10</v>
      </c>
      <c r="B28" s="3174">
        <v>132.28</v>
      </c>
      <c r="C28" s="3181">
        <v>245</v>
      </c>
      <c r="D28" s="3181">
        <v>31.8</v>
      </c>
      <c r="E28" s="3171">
        <f t="shared" si="0"/>
        <v>32408.6</v>
      </c>
    </row>
    <row r="29" spans="1:5">
      <c r="A29" s="3173">
        <v>10</v>
      </c>
      <c r="B29" s="3174">
        <v>127.16</v>
      </c>
      <c r="C29" s="3181">
        <v>257.25</v>
      </c>
      <c r="D29" s="3181">
        <v>31.8</v>
      </c>
      <c r="E29" s="3171">
        <f t="shared" si="0"/>
        <v>32711.91</v>
      </c>
    </row>
    <row r="30" spans="1:5">
      <c r="A30" s="3173">
        <v>11</v>
      </c>
      <c r="B30" s="3174">
        <v>472.47</v>
      </c>
      <c r="C30" s="3181">
        <v>214</v>
      </c>
      <c r="D30" s="3181">
        <v>31.8</v>
      </c>
      <c r="E30" s="3171">
        <f t="shared" si="0"/>
        <v>101108.58</v>
      </c>
    </row>
    <row r="31" spans="1:5">
      <c r="A31" s="3173">
        <v>11</v>
      </c>
      <c r="B31" s="3174">
        <v>576.38</v>
      </c>
      <c r="C31" s="3181"/>
      <c r="D31" s="3181"/>
      <c r="E31" s="3171">
        <f t="shared" si="0"/>
        <v>0</v>
      </c>
    </row>
    <row r="32" spans="1:5">
      <c r="A32" s="3173">
        <v>11</v>
      </c>
      <c r="B32" s="3174">
        <v>360.57</v>
      </c>
      <c r="C32" s="3181">
        <v>251.08</v>
      </c>
      <c r="D32" s="3181">
        <v>31.8</v>
      </c>
      <c r="E32" s="3171">
        <f t="shared" si="0"/>
        <v>90531.915600000008</v>
      </c>
    </row>
    <row r="33" spans="1:5">
      <c r="A33" s="3173">
        <v>12</v>
      </c>
      <c r="B33" s="3180">
        <v>1409.42</v>
      </c>
      <c r="C33" s="3181">
        <v>196.33</v>
      </c>
      <c r="D33" s="3181">
        <v>31.8</v>
      </c>
      <c r="E33" s="3171">
        <f t="shared" si="0"/>
        <v>276711.42860000004</v>
      </c>
    </row>
    <row r="34" spans="1:5">
      <c r="A34" s="3173">
        <v>15</v>
      </c>
      <c r="B34" s="3174">
        <v>266.86</v>
      </c>
      <c r="C34" s="3181">
        <v>328.5</v>
      </c>
      <c r="D34" s="3181">
        <v>31.8</v>
      </c>
      <c r="E34" s="3171">
        <f t="shared" si="0"/>
        <v>87663.510000000009</v>
      </c>
    </row>
    <row r="35" spans="1:5">
      <c r="A35" s="3173">
        <v>15</v>
      </c>
      <c r="B35" s="3174">
        <v>136.13999999999999</v>
      </c>
      <c r="C35" s="3174"/>
      <c r="D35" s="3181"/>
      <c r="E35" s="3171">
        <f t="shared" si="0"/>
        <v>0</v>
      </c>
    </row>
    <row r="36" spans="1:5">
      <c r="A36" s="3173">
        <v>15</v>
      </c>
      <c r="B36" s="3174">
        <v>232.7</v>
      </c>
      <c r="C36" s="3181">
        <v>210</v>
      </c>
      <c r="D36" s="3181">
        <v>31.8</v>
      </c>
      <c r="E36" s="3171">
        <f t="shared" si="0"/>
        <v>48867</v>
      </c>
    </row>
    <row r="37" spans="1:5">
      <c r="A37" s="3173">
        <v>15</v>
      </c>
      <c r="B37" s="3174">
        <v>205.61</v>
      </c>
      <c r="C37" s="3181">
        <v>241.95</v>
      </c>
      <c r="D37" s="3181">
        <v>31.8</v>
      </c>
      <c r="E37" s="3171">
        <f t="shared" si="0"/>
        <v>49747.339500000002</v>
      </c>
    </row>
    <row r="38" spans="1:5">
      <c r="A38" s="3173">
        <v>15</v>
      </c>
      <c r="B38" s="3174">
        <v>194.68</v>
      </c>
      <c r="C38" s="3181">
        <v>241.95</v>
      </c>
      <c r="D38" s="3181">
        <v>31.8</v>
      </c>
      <c r="E38" s="3171">
        <f t="shared" si="0"/>
        <v>47102.826000000001</v>
      </c>
    </row>
    <row r="39" spans="1:5">
      <c r="A39" s="3173">
        <v>15</v>
      </c>
      <c r="B39" s="3174">
        <v>10</v>
      </c>
      <c r="C39" s="3181">
        <v>241.95</v>
      </c>
      <c r="D39" s="3181">
        <v>31.8</v>
      </c>
      <c r="E39" s="3171">
        <f t="shared" si="0"/>
        <v>2419.5</v>
      </c>
    </row>
    <row r="40" spans="1:5">
      <c r="A40" s="3173">
        <v>15</v>
      </c>
      <c r="B40" s="3174">
        <v>132.28</v>
      </c>
      <c r="C40" s="3181"/>
      <c r="D40" s="3181"/>
      <c r="E40" s="3171">
        <f t="shared" si="0"/>
        <v>0</v>
      </c>
    </row>
    <row r="41" spans="1:5">
      <c r="A41" s="3173">
        <v>15</v>
      </c>
      <c r="B41" s="3174">
        <v>232.7</v>
      </c>
      <c r="C41" s="3181">
        <v>220.2</v>
      </c>
      <c r="D41" s="3181">
        <v>31.8</v>
      </c>
      <c r="E41" s="3171">
        <f t="shared" si="0"/>
        <v>51240.539999999994</v>
      </c>
    </row>
    <row r="42" spans="1:5">
      <c r="A42" s="3173">
        <v>16</v>
      </c>
      <c r="B42" s="3174">
        <v>394.02</v>
      </c>
      <c r="C42" s="3181">
        <v>222.04</v>
      </c>
      <c r="D42" s="3181">
        <v>31.8</v>
      </c>
      <c r="E42" s="3171">
        <f t="shared" si="0"/>
        <v>87488.200799999991</v>
      </c>
    </row>
    <row r="43" spans="1:5">
      <c r="A43" s="3173">
        <v>16</v>
      </c>
      <c r="B43" s="3174">
        <v>208.45</v>
      </c>
      <c r="C43" s="3181">
        <v>211.53</v>
      </c>
      <c r="D43" s="3181">
        <v>31.8</v>
      </c>
      <c r="E43" s="3171">
        <f t="shared" si="0"/>
        <v>44093.428499999995</v>
      </c>
    </row>
    <row r="44" spans="1:5">
      <c r="A44" s="3173">
        <v>16</v>
      </c>
      <c r="B44" s="3174">
        <v>204.68</v>
      </c>
      <c r="C44" s="3174"/>
      <c r="D44" s="3181"/>
      <c r="E44" s="3171">
        <f t="shared" si="0"/>
        <v>0</v>
      </c>
    </row>
    <row r="45" spans="1:5">
      <c r="A45" s="3173">
        <v>16</v>
      </c>
      <c r="B45" s="3174">
        <v>132.28</v>
      </c>
      <c r="C45" s="3181"/>
      <c r="D45" s="3181"/>
      <c r="E45" s="3171">
        <f t="shared" si="0"/>
        <v>0</v>
      </c>
    </row>
    <row r="46" spans="1:5">
      <c r="A46" s="3173">
        <v>16</v>
      </c>
      <c r="B46" s="3174">
        <v>136.13999999999999</v>
      </c>
      <c r="C46" s="3181">
        <v>215</v>
      </c>
      <c r="D46" s="3181">
        <v>31.8</v>
      </c>
      <c r="E46" s="3171">
        <f t="shared" si="0"/>
        <v>29270.1</v>
      </c>
    </row>
    <row r="47" spans="1:5">
      <c r="A47" s="3173">
        <v>17</v>
      </c>
      <c r="B47" s="3174">
        <v>705.91</v>
      </c>
      <c r="C47" s="3181">
        <v>241.95</v>
      </c>
      <c r="D47" s="3181">
        <v>31.8</v>
      </c>
      <c r="E47" s="3171">
        <f t="shared" si="0"/>
        <v>170794.92449999999</v>
      </c>
    </row>
    <row r="48" spans="1:5">
      <c r="A48" s="3173">
        <v>17</v>
      </c>
      <c r="B48" s="3174">
        <v>233.53</v>
      </c>
      <c r="C48" s="3181">
        <v>257.16000000000003</v>
      </c>
      <c r="D48" s="3181">
        <v>31.8</v>
      </c>
      <c r="E48" s="3171">
        <f t="shared" si="0"/>
        <v>60054.574800000009</v>
      </c>
    </row>
    <row r="49" spans="1:5">
      <c r="A49" s="3173">
        <v>17</v>
      </c>
      <c r="B49" s="3174">
        <v>268.42</v>
      </c>
      <c r="C49" s="3181">
        <v>242</v>
      </c>
      <c r="D49" s="3181">
        <v>31.8</v>
      </c>
      <c r="E49" s="3171">
        <f t="shared" si="0"/>
        <v>64957.640000000007</v>
      </c>
    </row>
    <row r="50" spans="1:5">
      <c r="A50" s="3177">
        <v>17</v>
      </c>
      <c r="B50" s="3174">
        <v>201.56</v>
      </c>
      <c r="C50" s="3181">
        <v>241.95</v>
      </c>
      <c r="D50" s="3181">
        <v>31.8</v>
      </c>
      <c r="E50" s="3171">
        <f t="shared" si="0"/>
        <v>48767.441999999995</v>
      </c>
    </row>
    <row r="51" spans="1:5">
      <c r="A51" s="3173">
        <v>18</v>
      </c>
      <c r="B51" s="3174">
        <v>935.39</v>
      </c>
      <c r="C51" s="3181">
        <v>332.06</v>
      </c>
      <c r="D51" s="3181">
        <v>31.8</v>
      </c>
      <c r="E51" s="3171">
        <f t="shared" si="0"/>
        <v>310605.60340000002</v>
      </c>
    </row>
    <row r="52" spans="1:5">
      <c r="A52" s="3173">
        <v>18</v>
      </c>
      <c r="B52" s="3174">
        <v>474.03</v>
      </c>
      <c r="C52" s="3181">
        <v>211.53</v>
      </c>
      <c r="D52" s="3181">
        <v>31.8</v>
      </c>
      <c r="E52" s="3171">
        <f t="shared" si="0"/>
        <v>100271.5659</v>
      </c>
    </row>
    <row r="53" spans="1:5">
      <c r="A53" s="3177">
        <v>19</v>
      </c>
      <c r="B53" s="3180">
        <v>1747.67</v>
      </c>
      <c r="C53" s="3181">
        <v>341</v>
      </c>
      <c r="D53" s="3181">
        <v>31.8</v>
      </c>
      <c r="E53" s="3171">
        <f t="shared" si="0"/>
        <v>595955.47</v>
      </c>
    </row>
    <row r="54" spans="1:5">
      <c r="A54" s="3173">
        <v>20</v>
      </c>
      <c r="B54" s="3174">
        <v>268.42</v>
      </c>
      <c r="C54" s="3181">
        <v>241.95</v>
      </c>
      <c r="D54" s="3181">
        <v>31.8</v>
      </c>
      <c r="E54" s="3171">
        <f t="shared" si="0"/>
        <v>64944.218999999997</v>
      </c>
    </row>
    <row r="55" spans="1:5">
      <c r="A55" s="3173">
        <v>20</v>
      </c>
      <c r="B55" s="3174">
        <v>231.88</v>
      </c>
      <c r="C55" s="3181">
        <v>245</v>
      </c>
      <c r="D55" s="3181">
        <v>31.8</v>
      </c>
      <c r="E55" s="3171">
        <f t="shared" si="0"/>
        <v>56810.6</v>
      </c>
    </row>
    <row r="56" spans="1:5">
      <c r="A56" s="3173">
        <v>20</v>
      </c>
      <c r="B56" s="3174">
        <v>703.51</v>
      </c>
      <c r="C56" s="3181">
        <v>251.1</v>
      </c>
      <c r="D56" s="3181">
        <v>31.8</v>
      </c>
      <c r="E56" s="3171">
        <f t="shared" si="0"/>
        <v>176651.361</v>
      </c>
    </row>
    <row r="57" spans="1:5">
      <c r="A57" s="3173">
        <v>21</v>
      </c>
      <c r="B57" s="3174">
        <v>875.78</v>
      </c>
      <c r="C57" s="3181">
        <v>257.16000000000003</v>
      </c>
      <c r="D57" s="3181">
        <v>31.8</v>
      </c>
      <c r="E57" s="3171">
        <f t="shared" si="0"/>
        <v>225215.58480000001</v>
      </c>
    </row>
    <row r="58" spans="1:5">
      <c r="A58" s="3177">
        <v>21</v>
      </c>
      <c r="B58" s="3174">
        <v>533.64</v>
      </c>
      <c r="C58" s="3181">
        <v>241.95</v>
      </c>
      <c r="D58" s="3181">
        <v>31.8</v>
      </c>
      <c r="E58" s="3171">
        <f t="shared" si="0"/>
        <v>129114.19799999999</v>
      </c>
    </row>
    <row r="59" spans="1:5">
      <c r="B59" s="3171">
        <f>SUM(B3:B58)</f>
        <v>23384.369999999995</v>
      </c>
      <c r="C59" s="3171">
        <f>E59/B59</f>
        <v>212.24917306303314</v>
      </c>
      <c r="E59" s="3171">
        <f>SUM(E3:E58)</f>
        <v>4963313.1950999992</v>
      </c>
    </row>
    <row r="60" spans="1:5">
      <c r="E60" s="3171">
        <f>E59*12/10000</f>
        <v>5955.9758341199995</v>
      </c>
    </row>
  </sheetData>
  <autoFilter ref="A2:F58" xr:uid="{00000000-0009-0000-0000-000005000000}"/>
  <mergeCells count="1">
    <mergeCell ref="A1:D1"/>
  </mergeCells>
  <phoneticPr fontId="13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AC2D-8A99-4B26-921F-72605FA59D9A}">
  <dimension ref="A1:G4"/>
  <sheetViews>
    <sheetView workbookViewId="0">
      <selection activeCell="M32" sqref="M32"/>
    </sheetView>
  </sheetViews>
  <sheetFormatPr defaultColWidth="9" defaultRowHeight="13.5"/>
  <cols>
    <col min="1" max="1" width="12.75" style="3182" customWidth="1"/>
    <col min="2" max="6" width="9" style="3182"/>
    <col min="7" max="7" width="10.875" style="3182" customWidth="1"/>
    <col min="8" max="16384" width="9" style="3182"/>
  </cols>
  <sheetData>
    <row r="1" spans="1:7" ht="16.5" customHeight="1">
      <c r="A1" s="3506" t="s">
        <v>3636</v>
      </c>
      <c r="B1" s="3506"/>
      <c r="C1" s="3506"/>
      <c r="D1" s="3506"/>
      <c r="E1" s="3506"/>
      <c r="F1" s="3506"/>
      <c r="G1" s="3506"/>
    </row>
    <row r="2" spans="1:7" ht="16.5" customHeight="1">
      <c r="A2" s="3183" t="s">
        <v>3637</v>
      </c>
      <c r="B2" s="3183">
        <v>2019</v>
      </c>
      <c r="C2" s="3183">
        <v>2020</v>
      </c>
      <c r="D2" s="3183">
        <v>2021</v>
      </c>
      <c r="E2" s="3183">
        <v>2022</v>
      </c>
      <c r="F2" s="3183">
        <v>2023</v>
      </c>
      <c r="G2" s="3183">
        <v>2024</v>
      </c>
    </row>
    <row r="3" spans="1:7" ht="18" customHeight="1">
      <c r="A3" s="3183" t="s">
        <v>3638</v>
      </c>
      <c r="B3" s="3184">
        <v>0.92</v>
      </c>
      <c r="C3" s="3184">
        <v>0.9</v>
      </c>
      <c r="D3" s="3184">
        <v>0.93</v>
      </c>
      <c r="E3" s="3184">
        <v>0.93700000000000006</v>
      </c>
      <c r="F3" s="3184">
        <v>0.9</v>
      </c>
      <c r="G3" s="3184">
        <v>0.89</v>
      </c>
    </row>
    <row r="4" spans="1:7" ht="32.1" customHeight="1">
      <c r="A4" s="3185" t="s">
        <v>3639</v>
      </c>
      <c r="B4" s="3183">
        <v>290</v>
      </c>
      <c r="C4" s="3183">
        <v>285</v>
      </c>
      <c r="D4" s="3183">
        <v>252</v>
      </c>
      <c r="E4" s="3183">
        <v>245</v>
      </c>
      <c r="F4" s="3183">
        <v>232</v>
      </c>
      <c r="G4" s="3183">
        <v>211</v>
      </c>
    </row>
  </sheetData>
  <mergeCells count="1">
    <mergeCell ref="A1:G1"/>
  </mergeCells>
  <phoneticPr fontId="13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83502.290000000008</v>
      </c>
      <c r="E3" s="852"/>
      <c r="F3" s="853"/>
      <c r="G3" s="852"/>
      <c r="H3" s="852"/>
      <c r="I3" s="852"/>
      <c r="J3" s="852"/>
      <c r="K3" s="854"/>
      <c r="L3" s="855"/>
      <c r="M3" s="856"/>
      <c r="N3" s="856"/>
      <c r="O3" s="856"/>
      <c r="P3" s="340"/>
      <c r="Q3" s="340"/>
      <c r="R3" s="340"/>
      <c r="S3" s="340"/>
      <c r="T3" s="340"/>
      <c r="U3" s="340"/>
      <c r="V3" s="340"/>
      <c r="W3" s="340"/>
      <c r="X3" s="340"/>
      <c r="Y3" s="340"/>
      <c r="Z3" s="340"/>
      <c r="AA3" s="340"/>
      <c r="AB3" s="674"/>
      <c r="AC3" s="661"/>
    </row>
    <row r="4" spans="1:29" ht="15">
      <c r="A4" s="344" t="s">
        <v>1769</v>
      </c>
      <c r="B4" s="345"/>
      <c r="C4" s="3427" t="s">
        <v>1770</v>
      </c>
      <c r="D4" s="3428"/>
      <c r="E4" s="3429" t="s">
        <v>1771</v>
      </c>
      <c r="F4" s="3430"/>
      <c r="G4" s="3427" t="s">
        <v>1772</v>
      </c>
      <c r="H4" s="3428"/>
      <c r="I4" s="3427" t="s">
        <v>1773</v>
      </c>
      <c r="J4" s="3428"/>
      <c r="K4" s="536" t="s">
        <v>1774</v>
      </c>
      <c r="L4" s="857"/>
      <c r="M4" s="858"/>
      <c r="N4" s="858"/>
      <c r="O4" s="858"/>
      <c r="P4" s="3487" t="s">
        <v>1775</v>
      </c>
      <c r="Q4" s="3488"/>
      <c r="R4" s="3483" t="s">
        <v>1771</v>
      </c>
      <c r="S4" s="3484"/>
      <c r="T4" s="3483" t="s">
        <v>1772</v>
      </c>
      <c r="U4" s="3484"/>
      <c r="V4" s="3440" t="s">
        <v>1773</v>
      </c>
      <c r="W4" s="3440"/>
      <c r="X4" s="1262"/>
      <c r="Y4" s="3483" t="s">
        <v>1775</v>
      </c>
      <c r="Z4" s="3484"/>
      <c r="AA4" s="3482" t="s">
        <v>1771</v>
      </c>
      <c r="AB4" s="3408" t="s">
        <v>1772</v>
      </c>
      <c r="AC4" s="3482" t="s">
        <v>1773</v>
      </c>
    </row>
    <row r="5" spans="1:29" ht="15">
      <c r="A5" s="347"/>
      <c r="B5" s="348"/>
      <c r="C5" s="3418" t="s">
        <v>1673</v>
      </c>
      <c r="D5" s="3417"/>
      <c r="E5" s="3485" t="s">
        <v>1674</v>
      </c>
      <c r="F5" s="3486"/>
      <c r="G5" s="3418" t="s">
        <v>1675</v>
      </c>
      <c r="H5" s="3417"/>
      <c r="I5" s="3418" t="s">
        <v>1676</v>
      </c>
      <c r="J5" s="3417"/>
      <c r="K5" s="536"/>
      <c r="L5" s="857"/>
      <c r="M5" s="858"/>
      <c r="N5" s="858"/>
      <c r="O5" s="858"/>
      <c r="P5" s="3489"/>
      <c r="Q5" s="3434"/>
      <c r="R5" s="3414"/>
      <c r="S5" s="3415"/>
      <c r="T5" s="3414"/>
      <c r="U5" s="3415"/>
      <c r="V5" s="3440"/>
      <c r="W5" s="3440"/>
      <c r="X5" s="1262"/>
      <c r="Y5" s="3414"/>
      <c r="Z5" s="3415"/>
      <c r="AA5" s="3408"/>
      <c r="AB5" s="3408"/>
      <c r="AC5" s="3408"/>
    </row>
    <row r="6" spans="1:29" ht="15.75" thickBot="1">
      <c r="A6" s="349"/>
      <c r="B6" s="350"/>
      <c r="C6" s="3419" t="s">
        <v>1677</v>
      </c>
      <c r="D6" s="3420"/>
      <c r="E6" s="3421" t="s">
        <v>1677</v>
      </c>
      <c r="F6" s="3422"/>
      <c r="G6" s="3419" t="s">
        <v>1677</v>
      </c>
      <c r="H6" s="3420"/>
      <c r="I6" s="3419" t="s">
        <v>1677</v>
      </c>
      <c r="J6" s="3420"/>
      <c r="K6" s="536" t="s">
        <v>1678</v>
      </c>
      <c r="L6" s="857"/>
      <c r="M6" s="858"/>
      <c r="N6" s="858"/>
      <c r="O6" s="858"/>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SUMIF(52:52,YEAR(E7)&amp;"-"&amp;MONTH(E7),53:53)</f>
        <v>0</v>
      </c>
      <c r="G7" s="355"/>
      <c r="H7" s="354">
        <f>SUMIF(52:52,YEAR(G7)&amp;"-"&amp;MONTH(G7),53:53)</f>
        <v>0</v>
      </c>
      <c r="I7" s="355"/>
      <c r="J7" s="354">
        <f>SUMIF(52:52,YEAR(I7)&amp;"-"&amp;MONTH(I7),53:53)</f>
        <v>0</v>
      </c>
      <c r="K7" s="38"/>
      <c r="L7" s="859"/>
      <c r="M7" s="860"/>
      <c r="N7" s="860"/>
      <c r="O7" s="860"/>
      <c r="P7" s="3410" t="s">
        <v>1680</v>
      </c>
      <c r="Q7" s="3442"/>
      <c r="R7" s="662" t="s">
        <v>14</v>
      </c>
      <c r="S7" s="663">
        <f t="shared" ref="S7:S15" si="0">F7</f>
        <v>0</v>
      </c>
      <c r="T7" s="662" t="s">
        <v>14</v>
      </c>
      <c r="U7" s="663">
        <f t="shared" ref="U7:U15" si="1">H7</f>
        <v>0</v>
      </c>
      <c r="V7" s="662" t="s">
        <v>14</v>
      </c>
      <c r="W7" s="663">
        <f t="shared" ref="W7:W15" si="2">J7</f>
        <v>0</v>
      </c>
      <c r="X7" s="664"/>
      <c r="Y7" s="3410" t="s">
        <v>1680</v>
      </c>
      <c r="Z7" s="3411"/>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410" t="s">
        <v>1683</v>
      </c>
      <c r="Q8" s="3411"/>
      <c r="R8" s="662" t="s">
        <v>14</v>
      </c>
      <c r="S8" s="663">
        <f t="shared" si="0"/>
        <v>100</v>
      </c>
      <c r="T8" s="662" t="s">
        <v>14</v>
      </c>
      <c r="U8" s="663">
        <f t="shared" si="1"/>
        <v>100</v>
      </c>
      <c r="V8" s="662" t="s">
        <v>14</v>
      </c>
      <c r="W8" s="663">
        <f t="shared" si="2"/>
        <v>100</v>
      </c>
      <c r="X8" s="664"/>
      <c r="Y8" s="3410" t="s">
        <v>1683</v>
      </c>
      <c r="Z8" s="3411"/>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52"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2"/>
      <c r="M10" s="863"/>
      <c r="N10" s="863"/>
      <c r="O10" s="864"/>
      <c r="P10" s="3452"/>
      <c r="Q10" s="529" t="str">
        <f t="shared" si="6"/>
        <v>土地使用年限（年）</v>
      </c>
      <c r="R10" s="662" t="s">
        <v>14</v>
      </c>
      <c r="S10" s="663">
        <f t="shared" si="0"/>
        <v>100</v>
      </c>
      <c r="T10" s="662" t="s">
        <v>14</v>
      </c>
      <c r="U10" s="663">
        <f t="shared" si="1"/>
        <v>100</v>
      </c>
      <c r="V10" s="662" t="s">
        <v>14</v>
      </c>
      <c r="W10" s="663">
        <f t="shared" si="2"/>
        <v>100</v>
      </c>
      <c r="X10" s="664"/>
      <c r="Y10" s="336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52"/>
      <c r="Q11" s="529" t="str">
        <f t="shared" si="6"/>
        <v>容积率</v>
      </c>
      <c r="R11" s="662" t="s">
        <v>14</v>
      </c>
      <c r="S11" s="663">
        <f t="shared" si="0"/>
        <v>100</v>
      </c>
      <c r="T11" s="662" t="s">
        <v>14</v>
      </c>
      <c r="U11" s="663">
        <f t="shared" si="1"/>
        <v>100</v>
      </c>
      <c r="V11" s="662" t="s">
        <v>14</v>
      </c>
      <c r="W11" s="663">
        <f t="shared" si="2"/>
        <v>100</v>
      </c>
      <c r="X11" s="664"/>
      <c r="Y11" s="3361"/>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59"/>
      <c r="M12" s="860"/>
      <c r="N12" s="860"/>
      <c r="O12" s="861"/>
      <c r="P12" s="3452"/>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7"/>
      <c r="M13" s="858"/>
      <c r="N13" s="858"/>
      <c r="O13" s="866"/>
      <c r="P13" s="3452"/>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7"/>
      <c r="M14" s="858"/>
      <c r="N14" s="858"/>
      <c r="O14" s="866"/>
      <c r="P14" s="3452"/>
      <c r="Q14" s="529">
        <f t="shared" si="6"/>
        <v>111</v>
      </c>
      <c r="R14" s="662" t="s">
        <v>14</v>
      </c>
      <c r="S14" s="663">
        <f t="shared" si="0"/>
        <v>100</v>
      </c>
      <c r="T14" s="662" t="s">
        <v>14</v>
      </c>
      <c r="U14" s="663">
        <f t="shared" si="1"/>
        <v>100</v>
      </c>
      <c r="V14" s="662" t="s">
        <v>14</v>
      </c>
      <c r="W14" s="663">
        <f t="shared" si="2"/>
        <v>100</v>
      </c>
      <c r="X14" s="664"/>
      <c r="Y14" s="3361"/>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46"/>
      <c r="Q16" s="1260"/>
      <c r="R16" s="665"/>
      <c r="S16" s="666"/>
      <c r="T16" s="665"/>
      <c r="U16" s="666"/>
      <c r="V16" s="665"/>
      <c r="W16" s="666"/>
      <c r="X16" s="1262"/>
      <c r="Y16" s="3446"/>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7"/>
      <c r="M18" s="858"/>
      <c r="N18" s="858"/>
      <c r="O18" s="866"/>
      <c r="P18" s="3446"/>
      <c r="Q18" s="1260"/>
      <c r="R18" s="665"/>
      <c r="S18" s="666"/>
      <c r="T18" s="665"/>
      <c r="U18" s="666"/>
      <c r="V18" s="665"/>
      <c r="W18" s="666"/>
      <c r="X18" s="1262"/>
      <c r="Y18" s="3446"/>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46"/>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7"/>
      <c r="M20" s="858"/>
      <c r="N20" s="858"/>
      <c r="O20" s="866"/>
      <c r="P20" s="3446"/>
      <c r="Q20" s="1260"/>
      <c r="R20" s="665"/>
      <c r="S20" s="666"/>
      <c r="T20" s="665"/>
      <c r="U20" s="666"/>
      <c r="V20" s="665"/>
      <c r="W20" s="666"/>
      <c r="X20" s="1262"/>
      <c r="Y20" s="3446"/>
      <c r="Z20" s="1261"/>
      <c r="AA20" s="1261">
        <v>1</v>
      </c>
      <c r="AB20" s="1261">
        <v>1</v>
      </c>
      <c r="AC20" s="1261">
        <v>1</v>
      </c>
    </row>
    <row r="21" spans="1:29" ht="15">
      <c r="A21" s="366"/>
      <c r="B21" s="585"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46"/>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7"/>
      <c r="M22" s="858"/>
      <c r="N22" s="858"/>
      <c r="O22" s="866"/>
      <c r="P22" s="3446"/>
      <c r="Q22" s="1260"/>
      <c r="R22" s="665"/>
      <c r="S22" s="666"/>
      <c r="T22" s="665"/>
      <c r="U22" s="666"/>
      <c r="V22" s="665"/>
      <c r="W22" s="666"/>
      <c r="X22" s="1262"/>
      <c r="Y22" s="3446"/>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46"/>
      <c r="Q23" s="1260" t="str">
        <f>B23</f>
        <v>环境质量</v>
      </c>
      <c r="R23" s="665" t="s">
        <v>14</v>
      </c>
      <c r="S23" s="666">
        <f>F23</f>
        <v>100</v>
      </c>
      <c r="T23" s="665" t="s">
        <v>14</v>
      </c>
      <c r="U23" s="666">
        <f>H23</f>
        <v>100</v>
      </c>
      <c r="V23" s="665" t="s">
        <v>14</v>
      </c>
      <c r="W23" s="666">
        <f>J23</f>
        <v>100</v>
      </c>
      <c r="X23" s="1262"/>
      <c r="Y23" s="3446"/>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7"/>
      <c r="M24" s="858"/>
      <c r="N24" s="858"/>
      <c r="O24" s="866"/>
      <c r="P24" s="3446"/>
      <c r="Q24" s="1260"/>
      <c r="R24" s="665"/>
      <c r="S24" s="666"/>
      <c r="T24" s="665"/>
      <c r="U24" s="666"/>
      <c r="V24" s="665"/>
      <c r="W24" s="666"/>
      <c r="X24" s="1262"/>
      <c r="Y24" s="3446"/>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46"/>
      <c r="Q25" s="1260">
        <f>B25</f>
        <v>111</v>
      </c>
      <c r="R25" s="665" t="s">
        <v>14</v>
      </c>
      <c r="S25" s="666">
        <f>F25</f>
        <v>100</v>
      </c>
      <c r="T25" s="665" t="s">
        <v>14</v>
      </c>
      <c r="U25" s="666">
        <f>H25</f>
        <v>100</v>
      </c>
      <c r="V25" s="665" t="s">
        <v>14</v>
      </c>
      <c r="W25" s="666">
        <f>J25</f>
        <v>100</v>
      </c>
      <c r="X25" s="1262"/>
      <c r="Y25" s="3446"/>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46"/>
      <c r="Q26" s="1260">
        <f t="shared" ref="Q26:Q40" si="11">B26</f>
        <v>111</v>
      </c>
      <c r="R26" s="665" t="s">
        <v>14</v>
      </c>
      <c r="S26" s="666">
        <f>F26</f>
        <v>100</v>
      </c>
      <c r="T26" s="665" t="s">
        <v>14</v>
      </c>
      <c r="U26" s="666">
        <f>H26</f>
        <v>100</v>
      </c>
      <c r="V26" s="665" t="s">
        <v>14</v>
      </c>
      <c r="W26" s="666">
        <f>J26</f>
        <v>100</v>
      </c>
      <c r="X26" s="1262"/>
      <c r="Y26" s="3446"/>
      <c r="Z26" s="1261">
        <f>Q26</f>
        <v>111</v>
      </c>
      <c r="AA26" s="1261">
        <f t="shared" si="3"/>
        <v>1</v>
      </c>
      <c r="AB26" s="1261">
        <f t="shared" si="4"/>
        <v>1</v>
      </c>
      <c r="AC26" s="1261">
        <f t="shared" si="5"/>
        <v>1</v>
      </c>
    </row>
    <row r="27" spans="1:29" s="102"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46"/>
      <c r="Q27" s="529">
        <f t="shared" si="11"/>
        <v>111</v>
      </c>
      <c r="R27" s="662" t="s">
        <v>14</v>
      </c>
      <c r="S27" s="663">
        <f>F27</f>
        <v>100</v>
      </c>
      <c r="T27" s="662" t="s">
        <v>14</v>
      </c>
      <c r="U27" s="663">
        <f>H27</f>
        <v>100</v>
      </c>
      <c r="V27" s="662" t="s">
        <v>14</v>
      </c>
      <c r="W27" s="663">
        <f>J27</f>
        <v>100</v>
      </c>
      <c r="X27" s="664"/>
      <c r="Y27" s="3446"/>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46"/>
      <c r="Q28" s="1260">
        <f t="shared" si="11"/>
        <v>111</v>
      </c>
      <c r="R28" s="665" t="s">
        <v>14</v>
      </c>
      <c r="S28" s="666">
        <f t="shared" ref="S28:S40" si="12">F28</f>
        <v>100</v>
      </c>
      <c r="T28" s="665" t="s">
        <v>14</v>
      </c>
      <c r="U28" s="666">
        <f t="shared" ref="U28:U40" si="13">H28</f>
        <v>100</v>
      </c>
      <c r="V28" s="665" t="s">
        <v>14</v>
      </c>
      <c r="W28" s="666">
        <f t="shared" ref="W28:W40" si="14">J28</f>
        <v>100</v>
      </c>
      <c r="X28" s="1262"/>
      <c r="Y28" s="3446"/>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7"/>
      <c r="M29" s="858"/>
      <c r="N29" s="858"/>
      <c r="O29" s="866"/>
      <c r="P29" s="3507" t="s">
        <v>1696</v>
      </c>
      <c r="Q29" s="1260" t="str">
        <f t="shared" si="11"/>
        <v>建筑类型</v>
      </c>
      <c r="R29" s="665" t="s">
        <v>14</v>
      </c>
      <c r="S29" s="666">
        <f t="shared" si="12"/>
        <v>100</v>
      </c>
      <c r="T29" s="665" t="s">
        <v>14</v>
      </c>
      <c r="U29" s="666">
        <f t="shared" si="13"/>
        <v>100</v>
      </c>
      <c r="V29" s="665" t="s">
        <v>14</v>
      </c>
      <c r="W29" s="666">
        <f t="shared" si="14"/>
        <v>100</v>
      </c>
      <c r="X29" s="1262"/>
      <c r="Y29" s="3450"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50"/>
      <c r="Q30" s="530" t="str">
        <f t="shared" si="11"/>
        <v>项目建筑规模</v>
      </c>
      <c r="R30" s="667" t="s">
        <v>14</v>
      </c>
      <c r="S30" s="668" t="e">
        <f t="shared" si="12"/>
        <v>#N/A</v>
      </c>
      <c r="T30" s="667" t="s">
        <v>14</v>
      </c>
      <c r="U30" s="668" t="e">
        <f t="shared" si="13"/>
        <v>#N/A</v>
      </c>
      <c r="V30" s="667" t="s">
        <v>14</v>
      </c>
      <c r="W30" s="668" t="e">
        <f t="shared" si="14"/>
        <v>#N/A</v>
      </c>
      <c r="X30" s="669"/>
      <c r="Y30" s="3450"/>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50"/>
      <c r="Q31" s="1260" t="str">
        <f t="shared" si="11"/>
        <v>建筑结构</v>
      </c>
      <c r="R31" s="665" t="s">
        <v>14</v>
      </c>
      <c r="S31" s="666">
        <f t="shared" si="12"/>
        <v>100</v>
      </c>
      <c r="T31" s="665" t="s">
        <v>14</v>
      </c>
      <c r="U31" s="666">
        <f t="shared" si="13"/>
        <v>100</v>
      </c>
      <c r="V31" s="665" t="s">
        <v>14</v>
      </c>
      <c r="W31" s="666">
        <f t="shared" si="14"/>
        <v>100</v>
      </c>
      <c r="X31" s="1262"/>
      <c r="Y31" s="3450"/>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50"/>
      <c r="Q32" s="1260" t="str">
        <f t="shared" si="11"/>
        <v>公共部分装修</v>
      </c>
      <c r="R32" s="665" t="s">
        <v>14</v>
      </c>
      <c r="S32" s="666">
        <f t="shared" si="12"/>
        <v>100</v>
      </c>
      <c r="T32" s="665" t="s">
        <v>14</v>
      </c>
      <c r="U32" s="666">
        <f t="shared" si="13"/>
        <v>100</v>
      </c>
      <c r="V32" s="665" t="s">
        <v>14</v>
      </c>
      <c r="W32" s="666">
        <f t="shared" si="14"/>
        <v>100</v>
      </c>
      <c r="X32" s="1262"/>
      <c r="Y32" s="3450"/>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50"/>
      <c r="Q33" s="1260" t="str">
        <f t="shared" si="11"/>
        <v>成新度</v>
      </c>
      <c r="R33" s="665" t="s">
        <v>14</v>
      </c>
      <c r="S33" s="666" t="e">
        <f t="shared" si="12"/>
        <v>#N/A</v>
      </c>
      <c r="T33" s="665" t="s">
        <v>14</v>
      </c>
      <c r="U33" s="666" t="e">
        <f t="shared" si="13"/>
        <v>#N/A</v>
      </c>
      <c r="V33" s="665" t="s">
        <v>14</v>
      </c>
      <c r="W33" s="666" t="e">
        <f t="shared" si="14"/>
        <v>#N/A</v>
      </c>
      <c r="X33" s="1262"/>
      <c r="Y33" s="3450"/>
      <c r="Z33" s="1261" t="str">
        <f t="shared" si="15"/>
        <v>成新度</v>
      </c>
      <c r="AA33" s="1261" t="e">
        <f t="shared" si="3"/>
        <v>#N/A</v>
      </c>
      <c r="AB33" s="1261" t="e">
        <f t="shared" si="4"/>
        <v>#N/A</v>
      </c>
      <c r="AC33" s="1261"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50"/>
      <c r="Q34" s="529" t="str">
        <f t="shared" si="11"/>
        <v>物业管理</v>
      </c>
      <c r="R34" s="662" t="s">
        <v>14</v>
      </c>
      <c r="S34" s="663">
        <f t="shared" si="12"/>
        <v>100</v>
      </c>
      <c r="T34" s="662" t="s">
        <v>14</v>
      </c>
      <c r="U34" s="663">
        <f t="shared" si="13"/>
        <v>100</v>
      </c>
      <c r="V34" s="662" t="s">
        <v>14</v>
      </c>
      <c r="W34" s="663">
        <f t="shared" si="14"/>
        <v>100</v>
      </c>
      <c r="X34" s="664"/>
      <c r="Y34" s="345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50" t="s">
        <v>1696</v>
      </c>
      <c r="Q35" s="1260" t="str">
        <f t="shared" si="11"/>
        <v>市政基础设施</v>
      </c>
      <c r="R35" s="665" t="s">
        <v>14</v>
      </c>
      <c r="S35" s="666">
        <f t="shared" si="12"/>
        <v>100</v>
      </c>
      <c r="T35" s="665" t="s">
        <v>14</v>
      </c>
      <c r="U35" s="666">
        <f t="shared" si="13"/>
        <v>100</v>
      </c>
      <c r="V35" s="665" t="s">
        <v>14</v>
      </c>
      <c r="W35" s="666">
        <f t="shared" si="14"/>
        <v>100</v>
      </c>
      <c r="X35" s="1262"/>
      <c r="Y35" s="3450"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50"/>
      <c r="Q36" s="1260" t="str">
        <f t="shared" si="11"/>
        <v>内部装修</v>
      </c>
      <c r="R36" s="665" t="s">
        <v>14</v>
      </c>
      <c r="S36" s="666">
        <f t="shared" si="12"/>
        <v>100</v>
      </c>
      <c r="T36" s="665" t="s">
        <v>14</v>
      </c>
      <c r="U36" s="666">
        <f t="shared" si="13"/>
        <v>100</v>
      </c>
      <c r="V36" s="665" t="s">
        <v>14</v>
      </c>
      <c r="W36" s="666">
        <f t="shared" si="14"/>
        <v>100</v>
      </c>
      <c r="X36" s="1262"/>
      <c r="Y36" s="3450"/>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50"/>
      <c r="Q37" s="1260" t="str">
        <f t="shared" si="11"/>
        <v>内部装修状况</v>
      </c>
      <c r="R37" s="665" t="s">
        <v>14</v>
      </c>
      <c r="S37" s="666">
        <f t="shared" si="12"/>
        <v>100</v>
      </c>
      <c r="T37" s="665" t="s">
        <v>14</v>
      </c>
      <c r="U37" s="666">
        <f t="shared" si="13"/>
        <v>100</v>
      </c>
      <c r="V37" s="665" t="s">
        <v>14</v>
      </c>
      <c r="W37" s="666">
        <f t="shared" si="14"/>
        <v>100</v>
      </c>
      <c r="X37" s="1262"/>
      <c r="Y37" s="3450"/>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50"/>
      <c r="Q38" s="530">
        <f t="shared" si="11"/>
        <v>111</v>
      </c>
      <c r="R38" s="667" t="s">
        <v>14</v>
      </c>
      <c r="S38" s="668">
        <f t="shared" si="12"/>
        <v>100</v>
      </c>
      <c r="T38" s="667" t="s">
        <v>14</v>
      </c>
      <c r="U38" s="668">
        <f t="shared" si="13"/>
        <v>100</v>
      </c>
      <c r="V38" s="667" t="s">
        <v>14</v>
      </c>
      <c r="W38" s="668">
        <f t="shared" si="14"/>
        <v>100</v>
      </c>
      <c r="X38" s="669"/>
      <c r="Y38" s="3450"/>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50"/>
      <c r="Q39" s="1260">
        <f t="shared" si="11"/>
        <v>111</v>
      </c>
      <c r="R39" s="665" t="s">
        <v>14</v>
      </c>
      <c r="S39" s="666">
        <f t="shared" si="12"/>
        <v>100</v>
      </c>
      <c r="T39" s="665" t="s">
        <v>14</v>
      </c>
      <c r="U39" s="666">
        <f t="shared" si="13"/>
        <v>100</v>
      </c>
      <c r="V39" s="665" t="s">
        <v>14</v>
      </c>
      <c r="W39" s="666">
        <f t="shared" si="14"/>
        <v>100</v>
      </c>
      <c r="X39" s="1262"/>
      <c r="Y39" s="3450"/>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51"/>
      <c r="Q40" s="1260">
        <f t="shared" si="11"/>
        <v>111</v>
      </c>
      <c r="R40" s="665" t="s">
        <v>14</v>
      </c>
      <c r="S40" s="666">
        <f t="shared" si="12"/>
        <v>100</v>
      </c>
      <c r="T40" s="665" t="s">
        <v>14</v>
      </c>
      <c r="U40" s="666">
        <f t="shared" si="13"/>
        <v>100</v>
      </c>
      <c r="V40" s="665" t="s">
        <v>14</v>
      </c>
      <c r="W40" s="666">
        <f t="shared" si="14"/>
        <v>100</v>
      </c>
      <c r="X40" s="1262"/>
      <c r="Y40" s="3451"/>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0"/>
      <c r="M41" s="858"/>
      <c r="N41" s="858"/>
      <c r="O41" s="858"/>
      <c r="P41" s="3452" t="str">
        <f>A41</f>
        <v>成交单价（元/平方米）</v>
      </c>
      <c r="Q41" s="3452"/>
      <c r="R41" s="3440">
        <f>E41</f>
        <v>0</v>
      </c>
      <c r="S41" s="3440"/>
      <c r="T41" s="3440">
        <f>G41</f>
        <v>0</v>
      </c>
      <c r="U41" s="3440"/>
      <c r="V41" s="3440">
        <f>I41</f>
        <v>0</v>
      </c>
      <c r="W41" s="3440"/>
      <c r="X41" s="384"/>
      <c r="Y41" s="671"/>
      <c r="Z41" s="384"/>
      <c r="AA41" s="384"/>
      <c r="AB41" s="384"/>
      <c r="AC41" s="384"/>
    </row>
    <row r="42" spans="1:29" ht="15.75" thickBot="1">
      <c r="A42" s="422" t="s">
        <v>1793</v>
      </c>
      <c r="B42" s="423"/>
      <c r="C42" s="1079" t="e">
        <f>R43</f>
        <v>#DIV/0!</v>
      </c>
      <c r="D42" s="2138" t="s">
        <v>2136</v>
      </c>
      <c r="E42" s="1080" t="e">
        <f>R42</f>
        <v>#DIV/0!</v>
      </c>
      <c r="F42" s="2139"/>
      <c r="G42" s="1079" t="e">
        <f>T42</f>
        <v>#DIV/0!</v>
      </c>
      <c r="H42" s="2139"/>
      <c r="I42" s="1080" t="e">
        <f>V42</f>
        <v>#DIV/0!</v>
      </c>
      <c r="J42" s="2139"/>
      <c r="K42" s="2141">
        <f>F42+H42+J42</f>
        <v>0</v>
      </c>
      <c r="L42" s="870"/>
      <c r="M42" s="858"/>
      <c r="N42" s="858"/>
      <c r="O42" s="858"/>
      <c r="P42" s="3452" t="str">
        <f>A42</f>
        <v>比较价值（元/平方米）</v>
      </c>
      <c r="Q42" s="3452"/>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0"/>
      <c r="M43" s="858"/>
      <c r="N43" s="858"/>
      <c r="O43" s="858"/>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384"/>
      <c r="Y43" s="384"/>
      <c r="Z43" s="384"/>
      <c r="AA43" s="384"/>
      <c r="AB43" s="384"/>
      <c r="AC43" s="384"/>
    </row>
    <row r="44" spans="1:29">
      <c r="A44" s="2485"/>
      <c r="B44" s="2485"/>
      <c r="C44" s="2485"/>
      <c r="D44" s="2485"/>
      <c r="E44" s="2485"/>
      <c r="F44" s="2485"/>
      <c r="G44" s="2496"/>
      <c r="H44" s="2485"/>
      <c r="I44" s="2485"/>
      <c r="J44" s="2485"/>
      <c r="K44" s="2497"/>
      <c r="L44" s="834"/>
      <c r="M44" s="858"/>
      <c r="N44" s="858"/>
      <c r="O44" s="858"/>
    </row>
    <row r="45" spans="1:29">
      <c r="A45" s="2485"/>
      <c r="B45" s="2485"/>
      <c r="C45" s="2485"/>
      <c r="D45" s="2485"/>
      <c r="E45" s="2485"/>
      <c r="F45" s="2485"/>
      <c r="G45" s="2485"/>
      <c r="H45" s="2485"/>
      <c r="I45" s="2485"/>
      <c r="J45" s="2485"/>
      <c r="K45" s="2497"/>
      <c r="L45" s="834"/>
      <c r="M45" s="858"/>
      <c r="N45" s="858"/>
      <c r="O45" s="858"/>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8"/>
      <c r="N46" s="858"/>
      <c r="O46" s="858"/>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8"/>
      <c r="N47" s="858"/>
      <c r="O47" s="858"/>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3"/>
      <c r="M48" s="871"/>
      <c r="N48" s="871"/>
      <c r="O48" s="871"/>
    </row>
    <row r="49" spans="1:17" s="436"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4"/>
      <c r="M50" s="858"/>
      <c r="N50" s="858"/>
      <c r="O50" s="858"/>
    </row>
    <row r="51" spans="1:17" ht="21.75" thickBot="1">
      <c r="A51" s="656" t="s">
        <v>1798</v>
      </c>
      <c r="B51" s="384"/>
      <c r="C51" s="657"/>
      <c r="D51" s="657"/>
      <c r="E51" s="657"/>
      <c r="F51" s="658"/>
      <c r="G51" s="658"/>
      <c r="H51" s="657"/>
      <c r="I51" s="657"/>
      <c r="J51" s="657"/>
      <c r="K51" s="884"/>
      <c r="L51" s="885"/>
      <c r="M51" s="883"/>
      <c r="N51" s="883"/>
      <c r="O51" s="883"/>
      <c r="P51" s="437"/>
      <c r="Q51" s="438"/>
    </row>
    <row r="52" spans="1:17" s="441" customFormat="1" ht="15">
      <c r="A52" s="439" t="s">
        <v>1679</v>
      </c>
      <c r="B52" s="440"/>
      <c r="C52" s="1100" t="str">
        <f>YEAR(C7)&amp;"-"&amp;MONTH(C7)</f>
        <v>2025-8</v>
      </c>
      <c r="D52" s="1101">
        <f>EDATE(C52,-1)</f>
        <v>45839</v>
      </c>
      <c r="E52" s="1101">
        <f t="shared" ref="E52:O52" si="16">EDATE(D52,-1)</f>
        <v>45809</v>
      </c>
      <c r="F52" s="1101">
        <f t="shared" si="16"/>
        <v>45778</v>
      </c>
      <c r="G52" s="1101">
        <f t="shared" si="16"/>
        <v>45748</v>
      </c>
      <c r="H52" s="1101">
        <f t="shared" si="16"/>
        <v>45717</v>
      </c>
      <c r="I52" s="1101">
        <f t="shared" si="16"/>
        <v>45689</v>
      </c>
      <c r="J52" s="1101">
        <f t="shared" si="16"/>
        <v>45658</v>
      </c>
      <c r="K52" s="1101">
        <f t="shared" si="16"/>
        <v>45627</v>
      </c>
      <c r="L52" s="1101">
        <f t="shared" si="16"/>
        <v>45597</v>
      </c>
      <c r="M52" s="1101">
        <f t="shared" si="16"/>
        <v>45566</v>
      </c>
      <c r="N52" s="1101">
        <f t="shared" si="16"/>
        <v>45536</v>
      </c>
      <c r="O52" s="1101">
        <f t="shared" si="16"/>
        <v>45505</v>
      </c>
    </row>
    <row r="53" spans="1:17" s="102" customFormat="1" ht="15">
      <c r="A53" s="442"/>
      <c r="B53" s="443"/>
      <c r="C53" s="1099">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6"/>
      <c r="O54" s="2537"/>
      <c r="P54" s="438"/>
      <c r="Q54" s="438"/>
    </row>
    <row r="55" spans="1:17" s="102" customFormat="1" ht="15">
      <c r="A55" s="454" t="s">
        <v>1681</v>
      </c>
      <c r="B55" s="443"/>
      <c r="C55" s="455" t="s">
        <v>1776</v>
      </c>
      <c r="D55" s="31"/>
      <c r="E55" s="31"/>
      <c r="F55" s="31"/>
      <c r="G55" s="31"/>
      <c r="H55" s="31"/>
      <c r="I55" s="31"/>
      <c r="J55" s="31"/>
      <c r="K55" s="31"/>
      <c r="L55" s="456"/>
      <c r="M55" s="457"/>
      <c r="N55" s="875"/>
      <c r="O55" s="875"/>
      <c r="P55" s="458"/>
      <c r="Q55" s="438"/>
    </row>
    <row r="56" spans="1:17" s="102" customFormat="1" ht="15.75" thickBot="1">
      <c r="A56" s="454"/>
      <c r="B56" s="443"/>
      <c r="C56" s="562">
        <v>100</v>
      </c>
      <c r="D56" s="445"/>
      <c r="E56" s="445"/>
      <c r="F56" s="445"/>
      <c r="G56" s="445"/>
      <c r="H56" s="445"/>
      <c r="I56" s="445"/>
      <c r="J56" s="445"/>
      <c r="K56" s="445"/>
      <c r="L56" s="445"/>
      <c r="M56" s="447"/>
      <c r="N56" s="875"/>
      <c r="O56" s="875"/>
      <c r="P56" s="438"/>
      <c r="Q56" s="438"/>
    </row>
    <row r="57" spans="1:17">
      <c r="A57" s="378" t="s">
        <v>1719</v>
      </c>
      <c r="B57" s="459" t="s">
        <v>1685</v>
      </c>
      <c r="C57" s="460">
        <f>C9</f>
        <v>0</v>
      </c>
      <c r="D57" s="461"/>
      <c r="E57" s="461"/>
      <c r="F57" s="461"/>
      <c r="G57" s="461"/>
      <c r="H57" s="461"/>
      <c r="I57" s="461"/>
      <c r="J57" s="461"/>
      <c r="K57" s="462"/>
      <c r="L57" s="463"/>
      <c r="M57" s="464"/>
      <c r="N57" s="876"/>
      <c r="O57" s="876"/>
      <c r="P57" s="40"/>
      <c r="Q57" s="438"/>
    </row>
    <row r="58" spans="1:17" ht="15.75" thickBot="1">
      <c r="A58" s="366"/>
      <c r="B58" s="465"/>
      <c r="C58" s="466">
        <v>100</v>
      </c>
      <c r="D58" s="466"/>
      <c r="E58" s="466"/>
      <c r="F58" s="466"/>
      <c r="G58" s="466"/>
      <c r="H58" s="466"/>
      <c r="I58" s="466"/>
      <c r="J58" s="466"/>
      <c r="K58" s="466"/>
      <c r="L58" s="466"/>
      <c r="M58" s="467"/>
      <c r="N58" s="877"/>
      <c r="O58" s="877"/>
      <c r="P58" s="40"/>
      <c r="Q58" s="438"/>
    </row>
    <row r="59" spans="1:17" ht="27.75" thickTop="1">
      <c r="A59" s="366"/>
      <c r="B59" s="468" t="s">
        <v>1688</v>
      </c>
      <c r="C59" s="512"/>
      <c r="D59" s="512"/>
      <c r="E59" s="512"/>
      <c r="F59" s="512"/>
      <c r="G59" s="512"/>
      <c r="H59" s="512"/>
      <c r="I59" s="512"/>
      <c r="J59" s="512"/>
      <c r="K59" s="513"/>
      <c r="L59" s="514"/>
      <c r="M59" s="515"/>
      <c r="N59" s="876"/>
      <c r="O59" s="876"/>
      <c r="P59" s="40"/>
      <c r="Q59" s="438"/>
    </row>
    <row r="60" spans="1:17" ht="15.75" thickBot="1">
      <c r="A60" s="366"/>
      <c r="B60" s="473"/>
      <c r="C60" s="466"/>
      <c r="D60" s="466"/>
      <c r="E60" s="466"/>
      <c r="F60" s="466"/>
      <c r="G60" s="466"/>
      <c r="H60" s="466"/>
      <c r="I60" s="466"/>
      <c r="J60" s="466"/>
      <c r="K60" s="466"/>
      <c r="L60" s="466"/>
      <c r="M60" s="467"/>
      <c r="N60" s="877"/>
      <c r="O60" s="877"/>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ht="15">
      <c r="A62" s="366"/>
      <c r="B62" s="478"/>
      <c r="C62" s="479">
        <v>0</v>
      </c>
      <c r="D62" s="479">
        <v>2</v>
      </c>
      <c r="E62" s="479"/>
      <c r="F62" s="479"/>
      <c r="G62" s="479"/>
      <c r="H62" s="479"/>
      <c r="I62" s="479"/>
      <c r="J62" s="479"/>
      <c r="K62" s="480"/>
      <c r="L62" s="481"/>
      <c r="M62" s="482"/>
      <c r="N62" s="876"/>
      <c r="O62" s="876"/>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1"/>
      <c r="D68" s="31"/>
      <c r="E68" s="31"/>
      <c r="F68" s="31"/>
      <c r="G68" s="31"/>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0"/>
      <c r="N76" s="877"/>
      <c r="O76" s="877"/>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2" customFormat="1" ht="15.75" thickTop="1">
      <c r="A80" s="369"/>
      <c r="B80" s="468">
        <f>B25</f>
        <v>111</v>
      </c>
      <c r="C80" s="484"/>
      <c r="D80" s="484"/>
      <c r="E80" s="484"/>
      <c r="F80" s="484"/>
      <c r="G80" s="484"/>
      <c r="H80" s="484"/>
      <c r="I80" s="484"/>
      <c r="J80" s="484"/>
      <c r="K80" s="484"/>
      <c r="L80" s="509"/>
      <c r="M80" s="510"/>
      <c r="N80" s="875"/>
      <c r="O80" s="875"/>
      <c r="P80" s="40"/>
      <c r="Q80" s="438"/>
    </row>
    <row r="81" spans="1:17" s="102" customFormat="1" ht="15.75" thickBot="1">
      <c r="A81" s="369"/>
      <c r="B81" s="473"/>
      <c r="C81" s="490"/>
      <c r="D81" s="466"/>
      <c r="E81" s="466"/>
      <c r="F81" s="466"/>
      <c r="G81" s="466"/>
      <c r="H81" s="466"/>
      <c r="I81" s="466"/>
      <c r="J81" s="466"/>
      <c r="K81" s="466"/>
      <c r="L81" s="466"/>
      <c r="M81" s="467"/>
      <c r="N81" s="877"/>
      <c r="O81" s="877"/>
      <c r="P81" s="40"/>
      <c r="Q81" s="438"/>
    </row>
    <row r="82" spans="1:17" s="102" customFormat="1" ht="15.75" thickTop="1">
      <c r="A82" s="369"/>
      <c r="B82" s="468">
        <f>B26</f>
        <v>111</v>
      </c>
      <c r="C82" s="484"/>
      <c r="D82" s="484"/>
      <c r="E82" s="484"/>
      <c r="F82" s="484"/>
      <c r="G82" s="484"/>
      <c r="H82" s="484"/>
      <c r="I82" s="484"/>
      <c r="J82" s="484"/>
      <c r="K82" s="484"/>
      <c r="L82" s="509"/>
      <c r="M82" s="510"/>
      <c r="N82" s="875"/>
      <c r="O82" s="875"/>
      <c r="P82" s="40"/>
      <c r="Q82" s="438"/>
    </row>
    <row r="83" spans="1:17" s="102" customFormat="1" ht="15.75" thickBot="1">
      <c r="A83" s="369"/>
      <c r="B83" s="473"/>
      <c r="C83" s="490"/>
      <c r="D83" s="466"/>
      <c r="E83" s="466"/>
      <c r="F83" s="466"/>
      <c r="G83" s="466"/>
      <c r="H83" s="466"/>
      <c r="I83" s="466"/>
      <c r="J83" s="466"/>
      <c r="K83" s="466"/>
      <c r="L83" s="466"/>
      <c r="M83" s="467"/>
      <c r="N83" s="877"/>
      <c r="O83" s="877"/>
      <c r="P83" s="40"/>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1"/>
      <c r="D86" s="31"/>
      <c r="E86" s="31"/>
      <c r="F86" s="31"/>
      <c r="G86" s="516"/>
      <c r="H86" s="516"/>
      <c r="I86" s="516"/>
      <c r="J86" s="516"/>
      <c r="K86" s="517"/>
      <c r="L86" s="518"/>
      <c r="M86" s="519"/>
      <c r="N86" s="876"/>
      <c r="O86" s="876"/>
      <c r="P86" s="40"/>
      <c r="Q86" s="438"/>
    </row>
    <row r="87" spans="1:17" ht="15.75" thickBot="1">
      <c r="A87" s="374"/>
      <c r="B87" s="499"/>
      <c r="C87" s="500"/>
      <c r="D87" s="500"/>
      <c r="E87" s="500"/>
      <c r="F87" s="500"/>
      <c r="G87" s="520"/>
      <c r="H87" s="520"/>
      <c r="I87" s="520"/>
      <c r="J87" s="520"/>
      <c r="K87" s="520"/>
      <c r="L87" s="520"/>
      <c r="M87" s="521"/>
      <c r="N87" s="877"/>
      <c r="O87" s="877"/>
      <c r="P87" s="40"/>
      <c r="Q87" s="438"/>
    </row>
    <row r="88" spans="1:17">
      <c r="A88" s="378" t="s">
        <v>1694</v>
      </c>
      <c r="B88" s="459" t="s">
        <v>1736</v>
      </c>
      <c r="C88" s="461"/>
      <c r="D88" s="461"/>
      <c r="E88" s="461"/>
      <c r="F88" s="461"/>
      <c r="G88" s="461"/>
      <c r="H88" s="461"/>
      <c r="I88" s="461"/>
      <c r="J88" s="461"/>
      <c r="K88" s="462"/>
      <c r="L88" s="463"/>
      <c r="M88" s="464"/>
      <c r="N88" s="876"/>
      <c r="O88" s="876"/>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7"/>
      <c r="O106" s="877"/>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40"/>
      <c r="Q110" s="438"/>
    </row>
    <row r="111" spans="1:17" ht="15.75" thickBot="1">
      <c r="A111" s="366"/>
      <c r="B111" s="473"/>
      <c r="C111" s="490"/>
      <c r="D111" s="466"/>
      <c r="E111" s="466"/>
      <c r="F111" s="466"/>
      <c r="G111" s="490"/>
      <c r="H111" s="492"/>
      <c r="I111" s="492"/>
      <c r="J111" s="492"/>
      <c r="K111" s="492"/>
      <c r="L111" s="492"/>
      <c r="M111" s="493"/>
      <c r="N111" s="877"/>
      <c r="O111" s="877"/>
      <c r="P111" s="40"/>
      <c r="Q111" s="438"/>
    </row>
    <row r="112" spans="1:17" ht="15" thickTop="1">
      <c r="A112" s="408"/>
      <c r="B112" s="476">
        <f>B40</f>
        <v>111</v>
      </c>
      <c r="C112" s="31"/>
      <c r="D112" s="31"/>
      <c r="E112" s="31"/>
      <c r="F112" s="31"/>
      <c r="G112" s="516"/>
      <c r="H112" s="516"/>
      <c r="I112" s="516"/>
      <c r="J112" s="516"/>
      <c r="K112" s="31"/>
      <c r="L112" s="456"/>
      <c r="M112" s="519"/>
      <c r="N112" s="876"/>
      <c r="O112" s="876"/>
      <c r="P112" s="40"/>
      <c r="Q112" s="438"/>
    </row>
    <row r="113" spans="1:17" ht="15.75"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3322</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4"/>
      <c r="AC3" s="661"/>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87" t="s">
        <v>1775</v>
      </c>
      <c r="Q4" s="3488"/>
      <c r="R4" s="3483" t="s">
        <v>1771</v>
      </c>
      <c r="S4" s="3484"/>
      <c r="T4" s="3483" t="s">
        <v>1772</v>
      </c>
      <c r="U4" s="3484"/>
      <c r="V4" s="3440" t="s">
        <v>1773</v>
      </c>
      <c r="W4" s="3440"/>
      <c r="X4" s="1262"/>
      <c r="Y4" s="3483" t="s">
        <v>1775</v>
      </c>
      <c r="Z4" s="3484"/>
      <c r="AA4" s="3482" t="s">
        <v>1771</v>
      </c>
      <c r="AB4" s="3408" t="s">
        <v>1772</v>
      </c>
      <c r="AC4" s="3482" t="s">
        <v>1773</v>
      </c>
    </row>
    <row r="5" spans="1:29" ht="15">
      <c r="A5" s="347"/>
      <c r="B5" s="348"/>
      <c r="C5" s="3418" t="s">
        <v>1673</v>
      </c>
      <c r="D5" s="3417"/>
      <c r="E5" s="3485" t="s">
        <v>1674</v>
      </c>
      <c r="F5" s="3486"/>
      <c r="G5" s="3418" t="s">
        <v>1675</v>
      </c>
      <c r="H5" s="3417"/>
      <c r="I5" s="3418" t="s">
        <v>1676</v>
      </c>
      <c r="J5" s="3417"/>
      <c r="K5" s="536"/>
      <c r="L5" s="2484"/>
      <c r="M5" s="2485"/>
      <c r="N5" s="2485"/>
      <c r="O5" s="2485"/>
      <c r="P5" s="3489"/>
      <c r="Q5" s="3434"/>
      <c r="R5" s="3414"/>
      <c r="S5" s="3415"/>
      <c r="T5" s="3414"/>
      <c r="U5" s="3415"/>
      <c r="V5" s="3440"/>
      <c r="W5" s="3440"/>
      <c r="X5" s="1262"/>
      <c r="Y5" s="3414"/>
      <c r="Z5" s="3415"/>
      <c r="AA5" s="3408"/>
      <c r="AB5" s="3408"/>
      <c r="AC5" s="3408"/>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SUMIF(48:48,YEAR(E7)&amp;"-"&amp;MONTH(E7),49:49)</f>
        <v>0</v>
      </c>
      <c r="G7" s="355"/>
      <c r="H7" s="354">
        <f>SUMIF(48:48,YEAR(G7)&amp;"-"&amp;MONTH(G7),49:49)</f>
        <v>0</v>
      </c>
      <c r="I7" s="355"/>
      <c r="J7" s="354">
        <f>SUMIF(48:48,YEAR(I7)&amp;"-"&amp;MONTH(I7),49:49)</f>
        <v>0</v>
      </c>
      <c r="K7" s="38"/>
      <c r="L7" s="2486"/>
      <c r="M7" s="2437"/>
      <c r="N7" s="2437"/>
      <c r="O7" s="2437"/>
      <c r="P7" s="3410" t="s">
        <v>1680</v>
      </c>
      <c r="Q7" s="3442"/>
      <c r="R7" s="662" t="s">
        <v>14</v>
      </c>
      <c r="S7" s="663">
        <f t="shared" ref="S7:S14" si="0">F7</f>
        <v>0</v>
      </c>
      <c r="T7" s="662" t="s">
        <v>14</v>
      </c>
      <c r="U7" s="663">
        <f t="shared" ref="U7:U14" si="1">H7</f>
        <v>0</v>
      </c>
      <c r="V7" s="662" t="s">
        <v>14</v>
      </c>
      <c r="W7" s="663">
        <f t="shared" ref="W7:W14" si="2">J7</f>
        <v>0</v>
      </c>
      <c r="X7" s="664"/>
      <c r="Y7" s="3410" t="s">
        <v>1680</v>
      </c>
      <c r="Z7" s="3411"/>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10" t="s">
        <v>1683</v>
      </c>
      <c r="Q8" s="3411"/>
      <c r="R8" s="662" t="s">
        <v>14</v>
      </c>
      <c r="S8" s="663">
        <f t="shared" si="0"/>
        <v>100</v>
      </c>
      <c r="T8" s="662" t="s">
        <v>14</v>
      </c>
      <c r="U8" s="663">
        <f t="shared" si="1"/>
        <v>100</v>
      </c>
      <c r="V8" s="662" t="s">
        <v>14</v>
      </c>
      <c r="W8" s="663">
        <f t="shared" si="2"/>
        <v>100</v>
      </c>
      <c r="X8" s="664"/>
      <c r="Y8" s="3410" t="s">
        <v>1683</v>
      </c>
      <c r="Z8" s="3411"/>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52" t="s">
        <v>1686</v>
      </c>
      <c r="Q9" s="529" t="str">
        <f t="shared" ref="Q9:Q14" si="6">B9</f>
        <v>用途</v>
      </c>
      <c r="R9" s="662" t="s">
        <v>14</v>
      </c>
      <c r="S9" s="663">
        <f t="shared" si="0"/>
        <v>100</v>
      </c>
      <c r="T9" s="662" t="s">
        <v>14</v>
      </c>
      <c r="U9" s="663">
        <f t="shared" si="1"/>
        <v>100</v>
      </c>
      <c r="V9" s="662" t="s">
        <v>14</v>
      </c>
      <c r="W9" s="663">
        <f t="shared" si="2"/>
        <v>100</v>
      </c>
      <c r="X9" s="664"/>
      <c r="Y9" s="3361"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52"/>
      <c r="Q10" s="529" t="str">
        <f t="shared" si="6"/>
        <v>土地使用年限（年）</v>
      </c>
      <c r="R10" s="662" t="s">
        <v>14</v>
      </c>
      <c r="S10" s="663">
        <f t="shared" si="0"/>
        <v>100</v>
      </c>
      <c r="T10" s="662" t="s">
        <v>14</v>
      </c>
      <c r="U10" s="663">
        <f t="shared" si="1"/>
        <v>100</v>
      </c>
      <c r="V10" s="662" t="s">
        <v>14</v>
      </c>
      <c r="W10" s="663">
        <f t="shared" si="2"/>
        <v>100</v>
      </c>
      <c r="X10" s="664"/>
      <c r="Y10" s="336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52"/>
      <c r="Q11" s="529">
        <f t="shared" si="6"/>
        <v>111</v>
      </c>
      <c r="R11" s="662" t="s">
        <v>14</v>
      </c>
      <c r="S11" s="663">
        <f t="shared" si="0"/>
        <v>100</v>
      </c>
      <c r="T11" s="662" t="s">
        <v>14</v>
      </c>
      <c r="U11" s="663">
        <f t="shared" si="1"/>
        <v>100</v>
      </c>
      <c r="V11" s="662" t="s">
        <v>14</v>
      </c>
      <c r="W11" s="663">
        <f t="shared" si="2"/>
        <v>100</v>
      </c>
      <c r="X11" s="664"/>
      <c r="Y11" s="3361"/>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52"/>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52"/>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50">
        <f t="shared" si="5"/>
        <v>1</v>
      </c>
    </row>
    <row r="14" spans="1:29" ht="15">
      <c r="A14" s="344" t="s">
        <v>1690</v>
      </c>
      <c r="B14" s="553" t="s">
        <v>1833</v>
      </c>
      <c r="C14" s="1816">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46"/>
      <c r="Q15" s="1260"/>
      <c r="R15" s="665"/>
      <c r="S15" s="666"/>
      <c r="T15" s="665"/>
      <c r="U15" s="666"/>
      <c r="V15" s="665"/>
      <c r="W15" s="666"/>
      <c r="X15" s="1262"/>
      <c r="Y15" s="3446"/>
      <c r="Z15" s="1261"/>
      <c r="AA15" s="1261">
        <v>1</v>
      </c>
      <c r="AB15" s="1261">
        <v>1</v>
      </c>
      <c r="AC15" s="1261">
        <v>1</v>
      </c>
    </row>
    <row r="16" spans="1:29" ht="15">
      <c r="A16" s="347"/>
      <c r="B16" s="555" t="s">
        <v>1812</v>
      </c>
      <c r="C16" s="1751">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46"/>
      <c r="Q17" s="1260"/>
      <c r="R17" s="665"/>
      <c r="S17" s="666"/>
      <c r="T17" s="665"/>
      <c r="U17" s="666"/>
      <c r="V17" s="665"/>
      <c r="W17" s="666"/>
      <c r="X17" s="1262"/>
      <c r="Y17" s="3446"/>
      <c r="Z17" s="1261"/>
      <c r="AA17" s="1261">
        <v>1</v>
      </c>
      <c r="AB17" s="1261">
        <v>1</v>
      </c>
      <c r="AC17" s="1261">
        <v>1</v>
      </c>
    </row>
    <row r="18" spans="1:29" ht="15">
      <c r="A18" s="347"/>
      <c r="B18" s="556" t="s">
        <v>1813</v>
      </c>
      <c r="C18" s="1751">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90"/>
      <c r="M19" s="2485"/>
      <c r="N19" s="2485"/>
      <c r="O19" s="2485"/>
      <c r="P19" s="3446"/>
      <c r="Q19" s="1260"/>
      <c r="R19" s="665"/>
      <c r="S19" s="666"/>
      <c r="T19" s="665"/>
      <c r="U19" s="666"/>
      <c r="V19" s="665"/>
      <c r="W19" s="666"/>
      <c r="X19" s="1262"/>
      <c r="Y19" s="3446"/>
      <c r="Z19" s="1261"/>
      <c r="AA19" s="1261">
        <v>1</v>
      </c>
      <c r="AB19" s="1261">
        <v>1</v>
      </c>
      <c r="AC19" s="1261">
        <v>1</v>
      </c>
    </row>
    <row r="20" spans="1:29" ht="15">
      <c r="A20" s="347"/>
      <c r="B20" s="555" t="s">
        <v>1834</v>
      </c>
      <c r="C20" s="1751">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46"/>
      <c r="Q21" s="1260"/>
      <c r="R21" s="665"/>
      <c r="S21" s="666"/>
      <c r="T21" s="665"/>
      <c r="U21" s="666"/>
      <c r="V21" s="665"/>
      <c r="W21" s="666"/>
      <c r="X21" s="1262"/>
      <c r="Y21" s="3446"/>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46"/>
      <c r="Q24" s="1260">
        <f t="shared" ref="Q24:Q36"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46"/>
      <c r="Q25" s="529">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07"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0"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50"/>
      <c r="Q27" s="530" t="str">
        <f t="shared" si="11"/>
        <v>项目停车位配比</v>
      </c>
      <c r="R27" s="667" t="s">
        <v>14</v>
      </c>
      <c r="S27" s="668">
        <f t="shared" si="12"/>
        <v>100</v>
      </c>
      <c r="T27" s="667" t="s">
        <v>14</v>
      </c>
      <c r="U27" s="668">
        <f t="shared" si="13"/>
        <v>100</v>
      </c>
      <c r="V27" s="667" t="s">
        <v>14</v>
      </c>
      <c r="W27" s="668">
        <f t="shared" si="14"/>
        <v>100</v>
      </c>
      <c r="X27" s="669"/>
      <c r="Y27" s="3450"/>
      <c r="Z27" s="670"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50"/>
      <c r="Q28" s="1260" t="str">
        <f t="shared" si="11"/>
        <v>公共部分装修</v>
      </c>
      <c r="R28" s="665" t="s">
        <v>14</v>
      </c>
      <c r="S28" s="666">
        <f t="shared" si="12"/>
        <v>100</v>
      </c>
      <c r="T28" s="665" t="s">
        <v>14</v>
      </c>
      <c r="U28" s="666">
        <f t="shared" si="13"/>
        <v>100</v>
      </c>
      <c r="V28" s="665" t="s">
        <v>14</v>
      </c>
      <c r="W28" s="666">
        <f t="shared" si="14"/>
        <v>100</v>
      </c>
      <c r="X28" s="1262"/>
      <c r="Y28" s="3450"/>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50"/>
      <c r="Q29" s="1260" t="str">
        <f t="shared" si="11"/>
        <v>成新率</v>
      </c>
      <c r="R29" s="665" t="s">
        <v>14</v>
      </c>
      <c r="S29" s="666" t="e">
        <f t="shared" si="12"/>
        <v>#N/A</v>
      </c>
      <c r="T29" s="665" t="s">
        <v>14</v>
      </c>
      <c r="U29" s="666" t="e">
        <f t="shared" si="13"/>
        <v>#N/A</v>
      </c>
      <c r="V29" s="665" t="s">
        <v>14</v>
      </c>
      <c r="W29" s="666" t="e">
        <f t="shared" si="14"/>
        <v>#N/A</v>
      </c>
      <c r="X29" s="1262"/>
      <c r="Y29" s="3450"/>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50"/>
      <c r="Q30" s="1260" t="str">
        <f t="shared" si="11"/>
        <v>物业等级</v>
      </c>
      <c r="R30" s="665" t="s">
        <v>14</v>
      </c>
      <c r="S30" s="666">
        <f t="shared" si="12"/>
        <v>100</v>
      </c>
      <c r="T30" s="665" t="s">
        <v>14</v>
      </c>
      <c r="U30" s="666">
        <f t="shared" si="13"/>
        <v>100</v>
      </c>
      <c r="V30" s="665" t="s">
        <v>14</v>
      </c>
      <c r="W30" s="666">
        <f t="shared" si="14"/>
        <v>100</v>
      </c>
      <c r="X30" s="1262"/>
      <c r="Y30" s="3450"/>
      <c r="Z30" s="1261" t="str">
        <f t="shared" si="15"/>
        <v>物业等级</v>
      </c>
      <c r="AA30" s="1261">
        <f t="shared" si="3"/>
        <v>1</v>
      </c>
      <c r="AB30" s="1261">
        <f t="shared" si="4"/>
        <v>1</v>
      </c>
      <c r="AC30" s="1261">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50"/>
      <c r="Q31" s="529" t="str">
        <f t="shared" si="11"/>
        <v>停车位面积</v>
      </c>
      <c r="R31" s="662" t="s">
        <v>14</v>
      </c>
      <c r="S31" s="663" t="e">
        <f t="shared" si="12"/>
        <v>#N/A</v>
      </c>
      <c r="T31" s="662" t="s">
        <v>14</v>
      </c>
      <c r="U31" s="663" t="e">
        <f t="shared" si="13"/>
        <v>#N/A</v>
      </c>
      <c r="V31" s="662" t="s">
        <v>14</v>
      </c>
      <c r="W31" s="663" t="e">
        <f t="shared" si="14"/>
        <v>#N/A</v>
      </c>
      <c r="X31" s="664"/>
      <c r="Y31" s="345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50" t="s">
        <v>1696</v>
      </c>
      <c r="Q32" s="1260" t="str">
        <f t="shared" si="11"/>
        <v>车位类型</v>
      </c>
      <c r="R32" s="665" t="s">
        <v>14</v>
      </c>
      <c r="S32" s="666">
        <f t="shared" si="12"/>
        <v>100</v>
      </c>
      <c r="T32" s="665" t="s">
        <v>14</v>
      </c>
      <c r="U32" s="666">
        <f t="shared" si="13"/>
        <v>100</v>
      </c>
      <c r="V32" s="665" t="s">
        <v>14</v>
      </c>
      <c r="W32" s="666">
        <f t="shared" si="14"/>
        <v>100</v>
      </c>
      <c r="X32" s="1262"/>
      <c r="Y32" s="3450"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50"/>
      <c r="Q33" s="1260" t="str">
        <f t="shared" si="11"/>
        <v>是否直接入户</v>
      </c>
      <c r="R33" s="665" t="s">
        <v>14</v>
      </c>
      <c r="S33" s="666">
        <f t="shared" si="12"/>
        <v>100</v>
      </c>
      <c r="T33" s="665" t="s">
        <v>14</v>
      </c>
      <c r="U33" s="666">
        <f t="shared" si="13"/>
        <v>100</v>
      </c>
      <c r="V33" s="665" t="s">
        <v>14</v>
      </c>
      <c r="W33" s="666">
        <f t="shared" si="14"/>
        <v>100</v>
      </c>
      <c r="X33" s="1262"/>
      <c r="Y33" s="3450"/>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50"/>
      <c r="Q35" s="530">
        <f t="shared" si="11"/>
        <v>111</v>
      </c>
      <c r="R35" s="667" t="s">
        <v>14</v>
      </c>
      <c r="S35" s="668">
        <f t="shared" si="12"/>
        <v>100</v>
      </c>
      <c r="T35" s="667" t="s">
        <v>14</v>
      </c>
      <c r="U35" s="668">
        <f t="shared" si="13"/>
        <v>100</v>
      </c>
      <c r="V35" s="667" t="s">
        <v>14</v>
      </c>
      <c r="W35" s="668">
        <f t="shared" si="14"/>
        <v>100</v>
      </c>
      <c r="X35" s="669"/>
      <c r="Y35" s="3450"/>
      <c r="Z35" s="670">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50"/>
      <c r="Q36" s="1260">
        <f t="shared" si="11"/>
        <v>111</v>
      </c>
      <c r="R36" s="665" t="s">
        <v>14</v>
      </c>
      <c r="S36" s="666">
        <f t="shared" si="12"/>
        <v>100</v>
      </c>
      <c r="T36" s="665" t="s">
        <v>14</v>
      </c>
      <c r="U36" s="666">
        <f t="shared" si="13"/>
        <v>100</v>
      </c>
      <c r="V36" s="665" t="s">
        <v>14</v>
      </c>
      <c r="W36" s="666">
        <f t="shared" si="14"/>
        <v>100</v>
      </c>
      <c r="X36" s="1262"/>
      <c r="Y36" s="3450"/>
      <c r="Z36" s="1261">
        <f t="shared" si="15"/>
        <v>111</v>
      </c>
      <c r="AA36" s="1261">
        <f t="shared" si="3"/>
        <v>1</v>
      </c>
      <c r="AB36" s="1261">
        <f t="shared" si="4"/>
        <v>1</v>
      </c>
      <c r="AC36" s="1261">
        <f t="shared" si="5"/>
        <v>1</v>
      </c>
    </row>
    <row r="37" spans="1:29" ht="15">
      <c r="A37" s="415" t="s">
        <v>1844</v>
      </c>
      <c r="B37" s="1818" t="s">
        <v>3343</v>
      </c>
      <c r="C37" s="1078" t="s">
        <v>0</v>
      </c>
      <c r="D37" s="417"/>
      <c r="E37" s="418"/>
      <c r="F37" s="419"/>
      <c r="G37" s="420"/>
      <c r="H37" s="421"/>
      <c r="I37" s="418"/>
      <c r="J37" s="421"/>
      <c r="K37" s="544"/>
      <c r="L37" s="2492"/>
      <c r="M37" s="2485"/>
      <c r="N37" s="2485"/>
      <c r="O37" s="2485"/>
      <c r="P37" s="3452" t="str">
        <f>A37</f>
        <v>成交单价</v>
      </c>
      <c r="Q37" s="3452"/>
      <c r="R37" s="3440">
        <f>E37</f>
        <v>0</v>
      </c>
      <c r="S37" s="3440"/>
      <c r="T37" s="3440">
        <f>G37</f>
        <v>0</v>
      </c>
      <c r="U37" s="3440"/>
      <c r="V37" s="3440">
        <f>I37</f>
        <v>0</v>
      </c>
      <c r="W37" s="3440"/>
      <c r="X37" s="384"/>
      <c r="Y37" s="671"/>
      <c r="Z37" s="384"/>
      <c r="AA37" s="384"/>
      <c r="AB37" s="384"/>
      <c r="AC37" s="384"/>
    </row>
    <row r="38" spans="1:29" ht="15.75" thickBot="1">
      <c r="A38" s="422" t="s">
        <v>1845</v>
      </c>
      <c r="B38" s="423" t="str">
        <f>B37</f>
        <v>元/平方米</v>
      </c>
      <c r="C38" s="1079" t="e">
        <f>R39</f>
        <v>#DIV/0!</v>
      </c>
      <c r="D38" s="2138" t="s">
        <v>2136</v>
      </c>
      <c r="E38" s="1080" t="e">
        <f>R38</f>
        <v>#DIV/0!</v>
      </c>
      <c r="F38" s="2139"/>
      <c r="G38" s="1079" t="e">
        <f>T38</f>
        <v>#DIV/0!</v>
      </c>
      <c r="H38" s="2139"/>
      <c r="I38" s="1080" t="e">
        <f>V38</f>
        <v>#DIV/0!</v>
      </c>
      <c r="J38" s="2139"/>
      <c r="K38" s="2141">
        <f>F38+H38+J38</f>
        <v>0</v>
      </c>
      <c r="L38" s="2492"/>
      <c r="M38" s="2485"/>
      <c r="N38" s="2485"/>
      <c r="O38" s="2485"/>
      <c r="P38" s="3452" t="str">
        <f>A38</f>
        <v>比较价值（元/平方米）</v>
      </c>
      <c r="Q38" s="3452"/>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91" t="str">
        <f>A39</f>
        <v>估价对象XX用房的比较价值（楼面单价，元/平方米）</v>
      </c>
      <c r="Q39" s="3492"/>
      <c r="R39" s="3508" t="e">
        <f>IF(F1="售价",ROUND(IF(D38="简单平均",AVERAGE(R38:W38),R38*F38+T38*H38+V38*J38),0),ROUND(IF(D38="简单平均",AVERAGE(R38:V38),R38*F38+T38*H38+V38*J38),1))</f>
        <v>#DIV/0!</v>
      </c>
      <c r="S39" s="3508"/>
      <c r="T39" s="3508"/>
      <c r="U39" s="3508"/>
      <c r="V39" s="3508"/>
      <c r="W39" s="3508"/>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0" t="str">
        <f>YEAR(C7)&amp;"-"&amp;MONTH(C7)</f>
        <v>2025-8</v>
      </c>
      <c r="D48" s="1101">
        <f>EDATE(C48,-1)</f>
        <v>45839</v>
      </c>
      <c r="E48" s="1101">
        <f t="shared" ref="E48:O48" si="16">EDATE(D48,-1)</f>
        <v>45809</v>
      </c>
      <c r="F48" s="1101">
        <f t="shared" si="16"/>
        <v>45778</v>
      </c>
      <c r="G48" s="1101">
        <f t="shared" si="16"/>
        <v>45748</v>
      </c>
      <c r="H48" s="1101">
        <f t="shared" si="16"/>
        <v>45717</v>
      </c>
      <c r="I48" s="1101">
        <f t="shared" si="16"/>
        <v>45689</v>
      </c>
      <c r="J48" s="1101">
        <f t="shared" si="16"/>
        <v>45658</v>
      </c>
      <c r="K48" s="1101">
        <f t="shared" si="16"/>
        <v>45627</v>
      </c>
      <c r="L48" s="1101">
        <f t="shared" si="16"/>
        <v>45597</v>
      </c>
      <c r="M48" s="1101">
        <f t="shared" si="16"/>
        <v>45566</v>
      </c>
      <c r="N48" s="1101">
        <f t="shared" si="16"/>
        <v>45536</v>
      </c>
      <c r="O48" s="1101">
        <f t="shared" si="16"/>
        <v>45505</v>
      </c>
      <c r="P48" s="2525"/>
      <c r="Q48" s="2508"/>
      <c r="R48" s="2508"/>
      <c r="S48" s="2508"/>
      <c r="T48" s="2508"/>
      <c r="U48" s="2508"/>
      <c r="V48" s="2508"/>
      <c r="W48" s="2508"/>
      <c r="X48" s="2508"/>
      <c r="Y48" s="2508"/>
      <c r="Z48" s="2508"/>
      <c r="AA48" s="2508"/>
      <c r="AB48" s="2508"/>
      <c r="AC48" s="2508"/>
    </row>
    <row r="49" spans="1:29" s="102" customFormat="1" ht="15">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0"/>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3323</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501"/>
      <c r="M3" s="2502"/>
      <c r="N3" s="2502"/>
      <c r="O3" s="2502"/>
      <c r="P3" s="340"/>
      <c r="Q3" s="340"/>
      <c r="R3" s="340"/>
      <c r="S3" s="340"/>
      <c r="T3" s="340"/>
      <c r="U3" s="340"/>
      <c r="V3" s="340"/>
      <c r="W3" s="340"/>
      <c r="X3" s="340"/>
      <c r="Y3" s="340"/>
      <c r="Z3" s="340"/>
      <c r="AA3" s="340"/>
      <c r="AB3" s="674"/>
      <c r="AC3" s="661"/>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87" t="s">
        <v>1775</v>
      </c>
      <c r="Q4" s="3488"/>
      <c r="R4" s="3483" t="s">
        <v>1771</v>
      </c>
      <c r="S4" s="3484"/>
      <c r="T4" s="3483" t="s">
        <v>1772</v>
      </c>
      <c r="U4" s="3484"/>
      <c r="V4" s="3440" t="s">
        <v>1773</v>
      </c>
      <c r="W4" s="3440"/>
      <c r="X4" s="1262"/>
      <c r="Y4" s="3483" t="s">
        <v>1775</v>
      </c>
      <c r="Z4" s="3484"/>
      <c r="AA4" s="3482" t="s">
        <v>1771</v>
      </c>
      <c r="AB4" s="3408" t="s">
        <v>1772</v>
      </c>
      <c r="AC4" s="3482" t="s">
        <v>1773</v>
      </c>
    </row>
    <row r="5" spans="1:29" ht="15">
      <c r="A5" s="347"/>
      <c r="B5" s="348"/>
      <c r="C5" s="3418" t="s">
        <v>1673</v>
      </c>
      <c r="D5" s="3417"/>
      <c r="E5" s="3485" t="s">
        <v>1674</v>
      </c>
      <c r="F5" s="3486"/>
      <c r="G5" s="3418" t="s">
        <v>1675</v>
      </c>
      <c r="H5" s="3417"/>
      <c r="I5" s="3418" t="s">
        <v>1676</v>
      </c>
      <c r="J5" s="3417"/>
      <c r="K5" s="536"/>
      <c r="L5" s="2484"/>
      <c r="M5" s="2485"/>
      <c r="N5" s="2485"/>
      <c r="O5" s="2485"/>
      <c r="P5" s="3489"/>
      <c r="Q5" s="3434"/>
      <c r="R5" s="3414"/>
      <c r="S5" s="3415"/>
      <c r="T5" s="3414"/>
      <c r="U5" s="3415"/>
      <c r="V5" s="3440"/>
      <c r="W5" s="3440"/>
      <c r="X5" s="1262"/>
      <c r="Y5" s="3414"/>
      <c r="Z5" s="3415"/>
      <c r="AA5" s="3408"/>
      <c r="AB5" s="3408"/>
      <c r="AC5" s="3408"/>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10" t="s">
        <v>1680</v>
      </c>
      <c r="Q7" s="3442"/>
      <c r="R7" s="662" t="s">
        <v>14</v>
      </c>
      <c r="S7" s="663">
        <f t="shared" ref="S7:S14" si="0">F7</f>
        <v>0</v>
      </c>
      <c r="T7" s="662" t="s">
        <v>14</v>
      </c>
      <c r="U7" s="663">
        <f t="shared" ref="U7:U14" si="1">H7</f>
        <v>0</v>
      </c>
      <c r="V7" s="662" t="s">
        <v>14</v>
      </c>
      <c r="W7" s="663">
        <f t="shared" ref="W7:W14" si="2">J7</f>
        <v>0</v>
      </c>
      <c r="X7" s="664"/>
      <c r="Y7" s="3410" t="s">
        <v>1680</v>
      </c>
      <c r="Z7" s="3411"/>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10" t="s">
        <v>1683</v>
      </c>
      <c r="Q8" s="3411"/>
      <c r="R8" s="662" t="s">
        <v>14</v>
      </c>
      <c r="S8" s="663">
        <f t="shared" si="0"/>
        <v>100</v>
      </c>
      <c r="T8" s="662" t="s">
        <v>14</v>
      </c>
      <c r="U8" s="663">
        <f t="shared" si="1"/>
        <v>100</v>
      </c>
      <c r="V8" s="662" t="s">
        <v>14</v>
      </c>
      <c r="W8" s="663">
        <f t="shared" si="2"/>
        <v>100</v>
      </c>
      <c r="X8" s="664"/>
      <c r="Y8" s="3410" t="s">
        <v>1683</v>
      </c>
      <c r="Z8" s="3411"/>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52" t="s">
        <v>1686</v>
      </c>
      <c r="Q9" s="529" t="str">
        <f t="shared" ref="Q9:Q14" si="6">B9</f>
        <v>用途</v>
      </c>
      <c r="R9" s="662" t="s">
        <v>14</v>
      </c>
      <c r="S9" s="663">
        <f t="shared" si="0"/>
        <v>100</v>
      </c>
      <c r="T9" s="662" t="s">
        <v>14</v>
      </c>
      <c r="U9" s="663">
        <f t="shared" si="1"/>
        <v>100</v>
      </c>
      <c r="V9" s="662" t="s">
        <v>14</v>
      </c>
      <c r="W9" s="663">
        <f t="shared" si="2"/>
        <v>100</v>
      </c>
      <c r="X9" s="664"/>
      <c r="Y9" s="3361"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52"/>
      <c r="Q10" s="529" t="str">
        <f t="shared" si="6"/>
        <v>土地使用年限（年）</v>
      </c>
      <c r="R10" s="662" t="s">
        <v>14</v>
      </c>
      <c r="S10" s="663">
        <f t="shared" si="0"/>
        <v>100</v>
      </c>
      <c r="T10" s="662" t="s">
        <v>14</v>
      </c>
      <c r="U10" s="663">
        <f t="shared" si="1"/>
        <v>100</v>
      </c>
      <c r="V10" s="662" t="s">
        <v>14</v>
      </c>
      <c r="W10" s="663">
        <f t="shared" si="2"/>
        <v>100</v>
      </c>
      <c r="X10" s="664"/>
      <c r="Y10" s="336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52"/>
      <c r="Q11" s="529">
        <f t="shared" si="6"/>
        <v>111</v>
      </c>
      <c r="R11" s="662" t="s">
        <v>14</v>
      </c>
      <c r="S11" s="663">
        <f t="shared" si="0"/>
        <v>100</v>
      </c>
      <c r="T11" s="662" t="s">
        <v>14</v>
      </c>
      <c r="U11" s="663">
        <f t="shared" si="1"/>
        <v>100</v>
      </c>
      <c r="V11" s="662" t="s">
        <v>14</v>
      </c>
      <c r="W11" s="663">
        <f t="shared" si="2"/>
        <v>100</v>
      </c>
      <c r="X11" s="664"/>
      <c r="Y11" s="3361"/>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52"/>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52"/>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50">
        <f t="shared" si="5"/>
        <v>1</v>
      </c>
    </row>
    <row r="14" spans="1:29" ht="15">
      <c r="A14" s="378" t="s">
        <v>1690</v>
      </c>
      <c r="B14" s="58" t="s">
        <v>1833</v>
      </c>
      <c r="C14" s="1816">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46"/>
      <c r="Q15" s="1260"/>
      <c r="R15" s="665"/>
      <c r="S15" s="666"/>
      <c r="T15" s="665"/>
      <c r="U15" s="666"/>
      <c r="V15" s="665"/>
      <c r="W15" s="666"/>
      <c r="X15" s="1262"/>
      <c r="Y15" s="3446"/>
      <c r="Z15" s="1261"/>
      <c r="AA15" s="1261">
        <v>1</v>
      </c>
      <c r="AB15" s="1261">
        <v>1</v>
      </c>
      <c r="AC15" s="1261">
        <v>1</v>
      </c>
    </row>
    <row r="16" spans="1:29" ht="15">
      <c r="A16" s="366"/>
      <c r="B16" s="389" t="s">
        <v>1812</v>
      </c>
      <c r="C16" s="1751">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46"/>
      <c r="Q17" s="1260"/>
      <c r="R17" s="665"/>
      <c r="S17" s="666"/>
      <c r="T17" s="665"/>
      <c r="U17" s="666"/>
      <c r="V17" s="665"/>
      <c r="W17" s="666"/>
      <c r="X17" s="1262"/>
      <c r="Y17" s="3446"/>
      <c r="Z17" s="1261"/>
      <c r="AA17" s="1261">
        <v>1</v>
      </c>
      <c r="AB17" s="1261">
        <v>1</v>
      </c>
      <c r="AC17" s="1261">
        <v>1</v>
      </c>
    </row>
    <row r="18" spans="1:29" ht="15">
      <c r="A18" s="366"/>
      <c r="B18" s="585" t="s">
        <v>1813</v>
      </c>
      <c r="C18" s="1751">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90"/>
      <c r="M19" s="2485"/>
      <c r="N19" s="2485"/>
      <c r="O19" s="2540"/>
      <c r="P19" s="3446"/>
      <c r="Q19" s="1260"/>
      <c r="R19" s="665"/>
      <c r="S19" s="666"/>
      <c r="T19" s="665"/>
      <c r="U19" s="666"/>
      <c r="V19" s="665"/>
      <c r="W19" s="666"/>
      <c r="X19" s="1262"/>
      <c r="Y19" s="3446"/>
      <c r="Z19" s="1261"/>
      <c r="AA19" s="1261">
        <v>1</v>
      </c>
      <c r="AB19" s="1261">
        <v>1</v>
      </c>
      <c r="AC19" s="1261">
        <v>1</v>
      </c>
    </row>
    <row r="20" spans="1:29" ht="15">
      <c r="A20" s="366"/>
      <c r="B20" s="389" t="s">
        <v>1834</v>
      </c>
      <c r="C20" s="1751">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46"/>
      <c r="Q21" s="1260"/>
      <c r="R21" s="665"/>
      <c r="S21" s="666"/>
      <c r="T21" s="665"/>
      <c r="U21" s="666"/>
      <c r="V21" s="665"/>
      <c r="W21" s="666"/>
      <c r="X21" s="1262"/>
      <c r="Y21" s="3446"/>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46"/>
      <c r="Q24" s="1260">
        <f t="shared" ref="Q24:Q34"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2"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46"/>
      <c r="Q25" s="529">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507"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0"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50"/>
      <c r="Q27" s="530" t="str">
        <f t="shared" si="11"/>
        <v>成新率</v>
      </c>
      <c r="R27" s="667" t="s">
        <v>14</v>
      </c>
      <c r="S27" s="668" t="e">
        <f t="shared" si="12"/>
        <v>#N/A</v>
      </c>
      <c r="T27" s="667" t="s">
        <v>14</v>
      </c>
      <c r="U27" s="668" t="e">
        <f t="shared" si="13"/>
        <v>#N/A</v>
      </c>
      <c r="V27" s="667" t="s">
        <v>14</v>
      </c>
      <c r="W27" s="668" t="e">
        <f t="shared" si="14"/>
        <v>#N/A</v>
      </c>
      <c r="X27" s="669"/>
      <c r="Y27" s="3450"/>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50"/>
      <c r="Q28" s="1260" t="str">
        <f t="shared" si="11"/>
        <v>物业等级</v>
      </c>
      <c r="R28" s="665" t="s">
        <v>14</v>
      </c>
      <c r="S28" s="666">
        <f t="shared" si="12"/>
        <v>100</v>
      </c>
      <c r="T28" s="665" t="s">
        <v>14</v>
      </c>
      <c r="U28" s="666">
        <f t="shared" si="13"/>
        <v>100</v>
      </c>
      <c r="V28" s="665" t="s">
        <v>14</v>
      </c>
      <c r="W28" s="666">
        <f t="shared" si="14"/>
        <v>100</v>
      </c>
      <c r="X28" s="1262"/>
      <c r="Y28" s="3450"/>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50"/>
      <c r="Q29" s="1260" t="str">
        <f t="shared" si="11"/>
        <v>有无电梯</v>
      </c>
      <c r="R29" s="665" t="s">
        <v>14</v>
      </c>
      <c r="S29" s="666">
        <f t="shared" si="12"/>
        <v>100</v>
      </c>
      <c r="T29" s="665" t="s">
        <v>14</v>
      </c>
      <c r="U29" s="666">
        <f t="shared" si="13"/>
        <v>100</v>
      </c>
      <c r="V29" s="665" t="s">
        <v>14</v>
      </c>
      <c r="W29" s="666">
        <f t="shared" si="14"/>
        <v>100</v>
      </c>
      <c r="X29" s="1262"/>
      <c r="Y29" s="3450"/>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50"/>
      <c r="Q30" s="1260" t="str">
        <f t="shared" si="11"/>
        <v>建筑面积</v>
      </c>
      <c r="R30" s="665" t="s">
        <v>14</v>
      </c>
      <c r="S30" s="666" t="e">
        <f t="shared" si="12"/>
        <v>#N/A</v>
      </c>
      <c r="T30" s="665" t="s">
        <v>14</v>
      </c>
      <c r="U30" s="666" t="e">
        <f t="shared" si="13"/>
        <v>#N/A</v>
      </c>
      <c r="V30" s="665" t="s">
        <v>14</v>
      </c>
      <c r="W30" s="666" t="e">
        <f t="shared" si="14"/>
        <v>#N/A</v>
      </c>
      <c r="X30" s="1262"/>
      <c r="Y30" s="3450"/>
      <c r="Z30" s="1261" t="str">
        <f t="shared" si="15"/>
        <v>建筑面积</v>
      </c>
      <c r="AA30" s="1261" t="e">
        <f t="shared" si="3"/>
        <v>#N/A</v>
      </c>
      <c r="AB30" s="1261" t="e">
        <f t="shared" si="4"/>
        <v>#N/A</v>
      </c>
      <c r="AC30" s="1261"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50"/>
      <c r="Q31" s="529" t="str">
        <f t="shared" si="11"/>
        <v>是否封闭</v>
      </c>
      <c r="R31" s="662" t="s">
        <v>14</v>
      </c>
      <c r="S31" s="663">
        <f t="shared" si="12"/>
        <v>100</v>
      </c>
      <c r="T31" s="662" t="s">
        <v>14</v>
      </c>
      <c r="U31" s="663">
        <f t="shared" si="13"/>
        <v>100</v>
      </c>
      <c r="V31" s="662" t="s">
        <v>14</v>
      </c>
      <c r="W31" s="663">
        <f t="shared" si="14"/>
        <v>100</v>
      </c>
      <c r="X31" s="664"/>
      <c r="Y31" s="345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50" t="s">
        <v>1696</v>
      </c>
      <c r="Q32" s="1260">
        <f t="shared" si="11"/>
        <v>111</v>
      </c>
      <c r="R32" s="665" t="s">
        <v>14</v>
      </c>
      <c r="S32" s="666">
        <f t="shared" si="12"/>
        <v>100</v>
      </c>
      <c r="T32" s="665" t="s">
        <v>14</v>
      </c>
      <c r="U32" s="666">
        <f t="shared" si="13"/>
        <v>100</v>
      </c>
      <c r="V32" s="665" t="s">
        <v>14</v>
      </c>
      <c r="W32" s="666">
        <f t="shared" si="14"/>
        <v>100</v>
      </c>
      <c r="X32" s="1262"/>
      <c r="Y32" s="3450"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50"/>
      <c r="Q33" s="1260">
        <f t="shared" si="11"/>
        <v>111</v>
      </c>
      <c r="R33" s="665" t="s">
        <v>14</v>
      </c>
      <c r="S33" s="666">
        <f t="shared" si="12"/>
        <v>100</v>
      </c>
      <c r="T33" s="665" t="s">
        <v>14</v>
      </c>
      <c r="U33" s="666">
        <f t="shared" si="13"/>
        <v>100</v>
      </c>
      <c r="V33" s="665" t="s">
        <v>14</v>
      </c>
      <c r="W33" s="666">
        <f t="shared" si="14"/>
        <v>100</v>
      </c>
      <c r="X33" s="1262"/>
      <c r="Y33" s="3450"/>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92"/>
      <c r="M35" s="2485"/>
      <c r="N35" s="2485"/>
      <c r="O35" s="2485"/>
      <c r="P35" s="3452" t="str">
        <f>A35</f>
        <v>成交单价（元/平方米）</v>
      </c>
      <c r="Q35" s="3452"/>
      <c r="R35" s="3440">
        <f>E35</f>
        <v>0</v>
      </c>
      <c r="S35" s="3440"/>
      <c r="T35" s="3440">
        <f>G35</f>
        <v>0</v>
      </c>
      <c r="U35" s="3440"/>
      <c r="V35" s="3440">
        <f>I35</f>
        <v>0</v>
      </c>
      <c r="W35" s="3440"/>
      <c r="X35" s="384"/>
      <c r="Y35" s="671"/>
      <c r="Z35" s="384"/>
      <c r="AA35" s="384"/>
      <c r="AB35" s="384"/>
      <c r="AC35" s="384"/>
    </row>
    <row r="36" spans="1:30" ht="15.75" thickBot="1">
      <c r="A36" s="422" t="s">
        <v>1793</v>
      </c>
      <c r="B36" s="423"/>
      <c r="C36" s="1079" t="e">
        <f>R37</f>
        <v>#DIV/0!</v>
      </c>
      <c r="D36" s="2138" t="s">
        <v>2136</v>
      </c>
      <c r="E36" s="1080" t="e">
        <f>R36</f>
        <v>#DIV/0!</v>
      </c>
      <c r="F36" s="2139"/>
      <c r="G36" s="1079" t="e">
        <f>T36</f>
        <v>#DIV/0!</v>
      </c>
      <c r="H36" s="2139"/>
      <c r="I36" s="1080" t="e">
        <f>V36</f>
        <v>#DIV/0!</v>
      </c>
      <c r="J36" s="2139"/>
      <c r="K36" s="2141">
        <f>F36+H36+J36</f>
        <v>0</v>
      </c>
      <c r="L36" s="2492"/>
      <c r="M36" s="2485"/>
      <c r="N36" s="2485"/>
      <c r="O36" s="2485"/>
      <c r="P36" s="3452" t="str">
        <f>A36</f>
        <v>比较价值（元/平方米）</v>
      </c>
      <c r="Q36" s="3452"/>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92"/>
      <c r="M37" s="2485"/>
      <c r="N37" s="2485"/>
      <c r="O37" s="2485"/>
      <c r="P37" s="3491" t="str">
        <f>A37</f>
        <v>估价对象XX用房的比较价值（楼面单价，元/平方米）</v>
      </c>
      <c r="Q37" s="3492"/>
      <c r="R37" s="3508" t="e">
        <f>IF(F1="售价",ROUND(IF(D36="简单平均",AVERAGE(R36:W36),R36*F36+T36*H36+V36*J36),0),ROUND(IF(D36="简单平均",AVERAGE(R36:V36),R36*F36+T36*H36+V36*J36),1))</f>
        <v>#DIV/0!</v>
      </c>
      <c r="S37" s="3508"/>
      <c r="T37" s="3508"/>
      <c r="U37" s="3508"/>
      <c r="V37" s="3508"/>
      <c r="W37" s="3508"/>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1798</v>
      </c>
      <c r="B45" s="384"/>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0" t="str">
        <f>YEAR(C7)&amp;"-"&amp;MONTH(C7)</f>
        <v>2025-8</v>
      </c>
      <c r="D46" s="1101">
        <f>EDATE(C46,-1)</f>
        <v>45839</v>
      </c>
      <c r="E46" s="1101">
        <f t="shared" ref="E46:O46" si="16">EDATE(D46,-1)</f>
        <v>45809</v>
      </c>
      <c r="F46" s="1101">
        <f t="shared" si="16"/>
        <v>45778</v>
      </c>
      <c r="G46" s="1101">
        <f t="shared" si="16"/>
        <v>45748</v>
      </c>
      <c r="H46" s="1101">
        <f t="shared" si="16"/>
        <v>45717</v>
      </c>
      <c r="I46" s="1101">
        <f t="shared" si="16"/>
        <v>45689</v>
      </c>
      <c r="J46" s="1101">
        <f t="shared" si="16"/>
        <v>45658</v>
      </c>
      <c r="K46" s="1101">
        <f t="shared" si="16"/>
        <v>45627</v>
      </c>
      <c r="L46" s="1101">
        <f t="shared" si="16"/>
        <v>45597</v>
      </c>
      <c r="M46" s="1101">
        <f t="shared" si="16"/>
        <v>45566</v>
      </c>
      <c r="N46" s="1101">
        <f t="shared" si="16"/>
        <v>45536</v>
      </c>
      <c r="O46" s="1101">
        <f t="shared" si="16"/>
        <v>45505</v>
      </c>
      <c r="P46" s="2508"/>
      <c r="Q46" s="2508"/>
      <c r="R46" s="2508"/>
      <c r="S46" s="2508"/>
      <c r="T46" s="2508"/>
      <c r="U46" s="2508"/>
      <c r="V46" s="2508"/>
      <c r="W46" s="2508"/>
      <c r="X46" s="2508"/>
      <c r="Y46" s="2508"/>
      <c r="Z46" s="2508"/>
      <c r="AA46" s="2508"/>
      <c r="AB46" s="2508"/>
      <c r="AC46" s="2508"/>
      <c r="AD46" s="2508"/>
    </row>
    <row r="47" spans="1:30" s="102" customFormat="1" ht="15">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F65</f>
        <v>#DIV/0!</v>
      </c>
      <c r="C2" s="851"/>
      <c r="D2" s="851"/>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4"/>
      <c r="AC3" s="661"/>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87" t="s">
        <v>1775</v>
      </c>
      <c r="Q4" s="3488"/>
      <c r="R4" s="3483" t="s">
        <v>1771</v>
      </c>
      <c r="S4" s="3484"/>
      <c r="T4" s="3483" t="s">
        <v>1772</v>
      </c>
      <c r="U4" s="3484"/>
      <c r="V4" s="3440" t="s">
        <v>1773</v>
      </c>
      <c r="W4" s="3440"/>
      <c r="X4" s="1262"/>
      <c r="Y4" s="3483" t="s">
        <v>1775</v>
      </c>
      <c r="Z4" s="3484"/>
      <c r="AA4" s="3482" t="s">
        <v>1771</v>
      </c>
      <c r="AB4" s="3408" t="s">
        <v>1772</v>
      </c>
      <c r="AC4" s="3482" t="s">
        <v>1773</v>
      </c>
    </row>
    <row r="5" spans="1:29" ht="15">
      <c r="A5" s="347"/>
      <c r="B5" s="348"/>
      <c r="C5" s="3418" t="s">
        <v>1673</v>
      </c>
      <c r="D5" s="3417"/>
      <c r="E5" s="3485" t="s">
        <v>1674</v>
      </c>
      <c r="F5" s="3486"/>
      <c r="G5" s="3418" t="s">
        <v>1675</v>
      </c>
      <c r="H5" s="3417"/>
      <c r="I5" s="3418" t="s">
        <v>1676</v>
      </c>
      <c r="J5" s="3417"/>
      <c r="K5" s="536"/>
      <c r="L5" s="2484"/>
      <c r="M5" s="2485"/>
      <c r="N5" s="2485"/>
      <c r="O5" s="2485"/>
      <c r="P5" s="3489"/>
      <c r="Q5" s="3434"/>
      <c r="R5" s="3414"/>
      <c r="S5" s="3415"/>
      <c r="T5" s="3414"/>
      <c r="U5" s="3415"/>
      <c r="V5" s="3440"/>
      <c r="W5" s="3440"/>
      <c r="X5" s="1262"/>
      <c r="Y5" s="3414"/>
      <c r="Z5" s="3415"/>
      <c r="AA5" s="3408"/>
      <c r="AB5" s="3408"/>
      <c r="AC5" s="3408"/>
    </row>
    <row r="6" spans="1:29" ht="15.75" thickBot="1">
      <c r="A6" s="349"/>
      <c r="B6" s="350"/>
      <c r="C6" s="3419" t="s">
        <v>1677</v>
      </c>
      <c r="D6" s="3420"/>
      <c r="E6" s="3421" t="s">
        <v>1677</v>
      </c>
      <c r="F6" s="3422"/>
      <c r="G6" s="3419" t="s">
        <v>1677</v>
      </c>
      <c r="H6" s="3420"/>
      <c r="I6" s="3419" t="s">
        <v>1677</v>
      </c>
      <c r="J6" s="3420"/>
      <c r="K6" s="536" t="s">
        <v>1678</v>
      </c>
      <c r="L6" s="2484"/>
      <c r="M6" s="2485"/>
      <c r="N6" s="2485"/>
      <c r="O6" s="2485"/>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10" t="s">
        <v>1680</v>
      </c>
      <c r="Q7" s="3442"/>
      <c r="R7" s="662" t="s">
        <v>14</v>
      </c>
      <c r="S7" s="663">
        <f t="shared" ref="S7:S15" si="0">F7</f>
        <v>0</v>
      </c>
      <c r="T7" s="662" t="s">
        <v>14</v>
      </c>
      <c r="U7" s="663">
        <f t="shared" ref="U7:U15" si="1">H7</f>
        <v>0</v>
      </c>
      <c r="V7" s="662" t="s">
        <v>14</v>
      </c>
      <c r="W7" s="663">
        <f t="shared" ref="W7:W15" si="2">J7</f>
        <v>0</v>
      </c>
      <c r="X7" s="664"/>
      <c r="Y7" s="3410" t="s">
        <v>1680</v>
      </c>
      <c r="Z7" s="3411"/>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10" t="s">
        <v>1683</v>
      </c>
      <c r="Q8" s="3411"/>
      <c r="R8" s="662" t="s">
        <v>14</v>
      </c>
      <c r="S8" s="663">
        <f t="shared" si="0"/>
        <v>0</v>
      </c>
      <c r="T8" s="662" t="s">
        <v>14</v>
      </c>
      <c r="U8" s="663">
        <f t="shared" si="1"/>
        <v>0</v>
      </c>
      <c r="V8" s="662" t="s">
        <v>14</v>
      </c>
      <c r="W8" s="663">
        <f t="shared" si="2"/>
        <v>0</v>
      </c>
      <c r="X8" s="664"/>
      <c r="Y8" s="3410" t="s">
        <v>1683</v>
      </c>
      <c r="Z8" s="3411"/>
      <c r="AA8" s="50" t="e">
        <f t="shared" ref="AA8:AA45" si="3">D8/F8</f>
        <v>#DIV/0!</v>
      </c>
      <c r="AB8" s="50" t="e">
        <f t="shared" ref="AB8:AB45" si="4">D8/H8</f>
        <v>#DIV/0!</v>
      </c>
      <c r="AC8" s="50" t="e">
        <f t="shared" ref="AC8:AC45" si="5">D8/J8</f>
        <v>#DIV/0!</v>
      </c>
    </row>
    <row r="9" spans="1:29" s="102"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52"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120</v>
      </c>
      <c r="G10" s="401"/>
      <c r="H10" s="118">
        <f>ROUND(100/'数据-取费表'!G16,0)</f>
        <v>120</v>
      </c>
      <c r="I10" s="401"/>
      <c r="J10" s="118">
        <f>ROUND(100/'数据-取费表'!G16,0)</f>
        <v>120</v>
      </c>
      <c r="K10" s="591"/>
      <c r="L10" s="2487"/>
      <c r="M10" s="2488"/>
      <c r="N10" s="2488"/>
      <c r="O10" s="2539"/>
      <c r="P10" s="3452"/>
      <c r="Q10" s="529" t="str">
        <f t="shared" si="6"/>
        <v>土地使用年限（年）</v>
      </c>
      <c r="R10" s="662" t="s">
        <v>14</v>
      </c>
      <c r="S10" s="663">
        <f t="shared" si="0"/>
        <v>120</v>
      </c>
      <c r="T10" s="662" t="s">
        <v>14</v>
      </c>
      <c r="U10" s="663">
        <f t="shared" si="1"/>
        <v>120</v>
      </c>
      <c r="V10" s="662" t="s">
        <v>14</v>
      </c>
      <c r="W10" s="663">
        <f t="shared" si="2"/>
        <v>120</v>
      </c>
      <c r="X10" s="664"/>
      <c r="Y10" s="3361"/>
      <c r="Z10" s="50" t="str">
        <f t="shared" si="7"/>
        <v>土地使用年限（年）</v>
      </c>
      <c r="AA10" s="50">
        <f t="shared" si="3"/>
        <v>0.83333333333333337</v>
      </c>
      <c r="AB10" s="50">
        <f t="shared" si="4"/>
        <v>0.83333333333333337</v>
      </c>
      <c r="AC10" s="50">
        <f t="shared" si="5"/>
        <v>0.83333333333333337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52"/>
      <c r="Q11" s="529" t="str">
        <f t="shared" si="6"/>
        <v>容积率</v>
      </c>
      <c r="R11" s="662" t="s">
        <v>14</v>
      </c>
      <c r="S11" s="663" t="e">
        <f t="shared" si="0"/>
        <v>#N/A</v>
      </c>
      <c r="T11" s="662" t="s">
        <v>14</v>
      </c>
      <c r="U11" s="663" t="e">
        <f t="shared" si="1"/>
        <v>#N/A</v>
      </c>
      <c r="V11" s="662" t="s">
        <v>14</v>
      </c>
      <c r="W11" s="663" t="e">
        <f t="shared" si="2"/>
        <v>#N/A</v>
      </c>
      <c r="X11" s="664"/>
      <c r="Y11" s="3361"/>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52"/>
      <c r="Q12" s="529" t="str">
        <f t="shared" si="6"/>
        <v>配建</v>
      </c>
      <c r="R12" s="662" t="s">
        <v>14</v>
      </c>
      <c r="S12" s="663">
        <f t="shared" si="0"/>
        <v>100</v>
      </c>
      <c r="T12" s="662" t="s">
        <v>14</v>
      </c>
      <c r="U12" s="663">
        <f t="shared" si="1"/>
        <v>100</v>
      </c>
      <c r="V12" s="662" t="s">
        <v>14</v>
      </c>
      <c r="W12" s="663">
        <f t="shared" si="2"/>
        <v>100</v>
      </c>
      <c r="X12" s="664"/>
      <c r="Y12" s="336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52"/>
      <c r="Q13" s="529">
        <f t="shared" si="6"/>
        <v>111</v>
      </c>
      <c r="R13" s="662" t="s">
        <v>14</v>
      </c>
      <c r="S13" s="663">
        <f t="shared" si="0"/>
        <v>100</v>
      </c>
      <c r="T13" s="662" t="s">
        <v>14</v>
      </c>
      <c r="U13" s="663">
        <f t="shared" si="1"/>
        <v>100</v>
      </c>
      <c r="V13" s="662" t="s">
        <v>14</v>
      </c>
      <c r="W13" s="663">
        <f t="shared" si="2"/>
        <v>100</v>
      </c>
      <c r="X13" s="664"/>
      <c r="Y13" s="3361"/>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52"/>
      <c r="Q14" s="529">
        <f t="shared" si="6"/>
        <v>111</v>
      </c>
      <c r="R14" s="662" t="s">
        <v>14</v>
      </c>
      <c r="S14" s="663">
        <f t="shared" si="0"/>
        <v>100</v>
      </c>
      <c r="T14" s="662" t="s">
        <v>14</v>
      </c>
      <c r="U14" s="663">
        <f t="shared" si="1"/>
        <v>100</v>
      </c>
      <c r="V14" s="662" t="s">
        <v>14</v>
      </c>
      <c r="W14" s="663">
        <f t="shared" si="2"/>
        <v>100</v>
      </c>
      <c r="X14" s="664"/>
      <c r="Y14" s="3361"/>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45" t="s">
        <v>1691</v>
      </c>
      <c r="Q15" s="1260" t="str">
        <f t="shared" si="6"/>
        <v>居住社区成熟度</v>
      </c>
      <c r="R15" s="665" t="s">
        <v>14</v>
      </c>
      <c r="S15" s="666">
        <f t="shared" si="0"/>
        <v>100</v>
      </c>
      <c r="T15" s="665" t="s">
        <v>14</v>
      </c>
      <c r="U15" s="666">
        <f t="shared" si="1"/>
        <v>100</v>
      </c>
      <c r="V15" s="665" t="s">
        <v>14</v>
      </c>
      <c r="W15" s="666">
        <f t="shared" si="2"/>
        <v>100</v>
      </c>
      <c r="X15" s="1262"/>
      <c r="Y15" s="3445"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46"/>
      <c r="Q16" s="1260"/>
      <c r="R16" s="665"/>
      <c r="S16" s="666"/>
      <c r="T16" s="665"/>
      <c r="U16" s="666"/>
      <c r="V16" s="665"/>
      <c r="W16" s="666"/>
      <c r="X16" s="1262"/>
      <c r="Y16" s="3446"/>
      <c r="Z16" s="1261"/>
      <c r="AA16" s="1261">
        <v>1</v>
      </c>
      <c r="AB16" s="1261">
        <v>1</v>
      </c>
      <c r="AC16" s="1261">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46"/>
      <c r="Q17" s="1260" t="str">
        <f>B17</f>
        <v>商业繁华度</v>
      </c>
      <c r="R17" s="665" t="s">
        <v>14</v>
      </c>
      <c r="S17" s="666">
        <f>F17</f>
        <v>100</v>
      </c>
      <c r="T17" s="665" t="s">
        <v>14</v>
      </c>
      <c r="U17" s="666">
        <f>H17</f>
        <v>100</v>
      </c>
      <c r="V17" s="665" t="s">
        <v>14</v>
      </c>
      <c r="W17" s="666">
        <f>J17</f>
        <v>100</v>
      </c>
      <c r="X17" s="1262"/>
      <c r="Y17" s="3446"/>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46"/>
      <c r="Q18" s="1260"/>
      <c r="R18" s="665"/>
      <c r="S18" s="666"/>
      <c r="T18" s="665"/>
      <c r="U18" s="666"/>
      <c r="V18" s="665"/>
      <c r="W18" s="666"/>
      <c r="X18" s="1262"/>
      <c r="Y18" s="3446"/>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46"/>
      <c r="Q19" s="1260" t="str">
        <f>B19</f>
        <v>办公集聚程度</v>
      </c>
      <c r="R19" s="665" t="s">
        <v>14</v>
      </c>
      <c r="S19" s="666">
        <f>F19</f>
        <v>100</v>
      </c>
      <c r="T19" s="665" t="s">
        <v>14</v>
      </c>
      <c r="U19" s="666">
        <f>H19</f>
        <v>100</v>
      </c>
      <c r="V19" s="665" t="s">
        <v>14</v>
      </c>
      <c r="W19" s="666">
        <f>J19</f>
        <v>100</v>
      </c>
      <c r="X19" s="1262"/>
      <c r="Y19" s="3446"/>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46"/>
      <c r="Q20" s="1260"/>
      <c r="R20" s="665"/>
      <c r="S20" s="666"/>
      <c r="T20" s="665"/>
      <c r="U20" s="666"/>
      <c r="V20" s="665"/>
      <c r="W20" s="666"/>
      <c r="X20" s="1262"/>
      <c r="Y20" s="3446"/>
      <c r="Z20" s="1261"/>
      <c r="AA20" s="1261">
        <v>1</v>
      </c>
      <c r="AB20" s="1261">
        <v>1</v>
      </c>
      <c r="AC20" s="1261">
        <v>1</v>
      </c>
    </row>
    <row r="21" spans="1:29" ht="15">
      <c r="A21" s="366"/>
      <c r="B21" s="389" t="s">
        <v>1833</v>
      </c>
      <c r="C21" s="1751">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46"/>
      <c r="Q21" s="1260" t="str">
        <f>B21</f>
        <v>交通便捷度</v>
      </c>
      <c r="R21" s="665" t="s">
        <v>14</v>
      </c>
      <c r="S21" s="666">
        <f>F21</f>
        <v>100</v>
      </c>
      <c r="T21" s="665" t="s">
        <v>14</v>
      </c>
      <c r="U21" s="666">
        <f>H21</f>
        <v>100</v>
      </c>
      <c r="V21" s="665" t="s">
        <v>14</v>
      </c>
      <c r="W21" s="666">
        <f>J21</f>
        <v>100</v>
      </c>
      <c r="X21" s="1262"/>
      <c r="Y21" s="3446"/>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46"/>
      <c r="Q22" s="1260"/>
      <c r="R22" s="665"/>
      <c r="S22" s="666"/>
      <c r="T22" s="665"/>
      <c r="U22" s="666"/>
      <c r="V22" s="665"/>
      <c r="W22" s="666"/>
      <c r="X22" s="1262"/>
      <c r="Y22" s="3446"/>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46"/>
      <c r="Q23" s="1260" t="str">
        <f t="shared" ref="Q23:Q37" si="8">B23</f>
        <v>区域土地利用方向</v>
      </c>
      <c r="R23" s="665" t="s">
        <v>14</v>
      </c>
      <c r="S23" s="666">
        <f>F23</f>
        <v>100</v>
      </c>
      <c r="T23" s="665" t="s">
        <v>14</v>
      </c>
      <c r="U23" s="666">
        <f>H23</f>
        <v>100</v>
      </c>
      <c r="V23" s="665" t="s">
        <v>14</v>
      </c>
      <c r="W23" s="666">
        <f>J23</f>
        <v>100</v>
      </c>
      <c r="X23" s="1262"/>
      <c r="Y23" s="3446"/>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90"/>
      <c r="M24" s="2485"/>
      <c r="N24" s="2485"/>
      <c r="O24" s="2540"/>
      <c r="P24" s="3446"/>
      <c r="Q24" s="1260"/>
      <c r="R24" s="665"/>
      <c r="S24" s="666"/>
      <c r="T24" s="665"/>
      <c r="U24" s="666"/>
      <c r="V24" s="665"/>
      <c r="W24" s="666"/>
      <c r="X24" s="1262"/>
      <c r="Y24" s="3446"/>
      <c r="Z24" s="1261"/>
      <c r="AA24" s="1261"/>
      <c r="AB24" s="1261"/>
      <c r="AC24" s="1261"/>
    </row>
    <row r="25" spans="1:29" ht="27">
      <c r="A25" s="347"/>
      <c r="B25" s="585" t="s">
        <v>1872</v>
      </c>
      <c r="C25" s="1803">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46"/>
      <c r="Q25" s="1260" t="str">
        <f t="shared" si="8"/>
        <v>自然及人文环境状况</v>
      </c>
      <c r="R25" s="665" t="s">
        <v>14</v>
      </c>
      <c r="S25" s="666">
        <f>F25</f>
        <v>100</v>
      </c>
      <c r="T25" s="665" t="s">
        <v>14</v>
      </c>
      <c r="U25" s="666">
        <f>H25</f>
        <v>100</v>
      </c>
      <c r="V25" s="665" t="s">
        <v>14</v>
      </c>
      <c r="W25" s="666">
        <f>J25</f>
        <v>100</v>
      </c>
      <c r="X25" s="1262"/>
      <c r="Y25" s="3446"/>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46"/>
      <c r="Q26" s="1260"/>
      <c r="R26" s="665"/>
      <c r="S26" s="666"/>
      <c r="T26" s="665"/>
      <c r="U26" s="666"/>
      <c r="V26" s="665"/>
      <c r="W26" s="666"/>
      <c r="X26" s="1262"/>
      <c r="Y26" s="3446"/>
      <c r="Z26" s="1261"/>
      <c r="AA26" s="1261">
        <v>1</v>
      </c>
      <c r="AB26" s="1261">
        <v>1</v>
      </c>
      <c r="AC26" s="1261">
        <v>1</v>
      </c>
    </row>
    <row r="27" spans="1:29" s="102" customFormat="1" ht="15">
      <c r="A27" s="442"/>
      <c r="B27" s="585" t="s">
        <v>1778</v>
      </c>
      <c r="C27" s="1751">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46"/>
      <c r="Q27" s="529" t="str">
        <f t="shared" si="8"/>
        <v>公共配套设施</v>
      </c>
      <c r="R27" s="662" t="s">
        <v>14</v>
      </c>
      <c r="S27" s="663">
        <f>F27</f>
        <v>100</v>
      </c>
      <c r="T27" s="662" t="s">
        <v>14</v>
      </c>
      <c r="U27" s="663">
        <f>H27</f>
        <v>100</v>
      </c>
      <c r="V27" s="662" t="s">
        <v>14</v>
      </c>
      <c r="W27" s="663">
        <f>J27</f>
        <v>100</v>
      </c>
      <c r="X27" s="664"/>
      <c r="Y27" s="3446"/>
      <c r="Z27" s="50" t="str">
        <f>Q27</f>
        <v>公共配套设施</v>
      </c>
      <c r="AA27" s="1261">
        <f>D27/F27</f>
        <v>1</v>
      </c>
      <c r="AB27" s="1261">
        <f>D27/H27</f>
        <v>1</v>
      </c>
      <c r="AC27" s="1261">
        <f>D27/J27</f>
        <v>1</v>
      </c>
    </row>
    <row r="28" spans="1:29" s="102" customFormat="1" ht="15">
      <c r="A28" s="442"/>
      <c r="B28" s="394"/>
      <c r="C28" s="1823"/>
      <c r="D28" s="386"/>
      <c r="E28" s="1755"/>
      <c r="F28" s="386"/>
      <c r="G28" s="1755"/>
      <c r="H28" s="386"/>
      <c r="I28" s="385"/>
      <c r="J28" s="386"/>
      <c r="K28" s="591"/>
      <c r="L28" s="2486"/>
      <c r="M28" s="2437"/>
      <c r="N28" s="2437"/>
      <c r="O28" s="2538"/>
      <c r="P28" s="3446"/>
      <c r="Q28" s="529"/>
      <c r="R28" s="662"/>
      <c r="S28" s="663"/>
      <c r="T28" s="662"/>
      <c r="U28" s="663"/>
      <c r="V28" s="662"/>
      <c r="W28" s="663"/>
      <c r="X28" s="664"/>
      <c r="Y28" s="3446"/>
      <c r="Z28" s="50"/>
      <c r="AA28" s="1261">
        <v>1</v>
      </c>
      <c r="AB28" s="1261">
        <v>1</v>
      </c>
      <c r="AC28" s="1261">
        <v>1</v>
      </c>
    </row>
    <row r="29" spans="1:29" s="102" customFormat="1" ht="15">
      <c r="A29" s="442"/>
      <c r="B29" s="585" t="s">
        <v>1779</v>
      </c>
      <c r="C29" s="1751">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46"/>
      <c r="Q29" s="529" t="str">
        <f t="shared" ref="Q29" si="9">B29</f>
        <v>基础设施水平</v>
      </c>
      <c r="R29" s="662" t="s">
        <v>14</v>
      </c>
      <c r="S29" s="663">
        <f>F29</f>
        <v>100</v>
      </c>
      <c r="T29" s="662" t="s">
        <v>14</v>
      </c>
      <c r="U29" s="663">
        <f>H29</f>
        <v>100</v>
      </c>
      <c r="V29" s="662" t="s">
        <v>14</v>
      </c>
      <c r="W29" s="663">
        <f>J29</f>
        <v>100</v>
      </c>
      <c r="X29" s="664"/>
      <c r="Y29" s="3446"/>
      <c r="Z29" s="50" t="str">
        <f>Q29</f>
        <v>基础设施水平</v>
      </c>
      <c r="AA29" s="1261">
        <f>D29/F29</f>
        <v>1</v>
      </c>
      <c r="AB29" s="1261">
        <f>D29/H29</f>
        <v>1</v>
      </c>
      <c r="AC29" s="1261">
        <f>D29/J29</f>
        <v>1</v>
      </c>
    </row>
    <row r="30" spans="1:29" s="102" customFormat="1" ht="15">
      <c r="A30" s="442"/>
      <c r="B30" s="394"/>
      <c r="C30" s="1823"/>
      <c r="D30" s="386"/>
      <c r="E30" s="1824"/>
      <c r="F30" s="386"/>
      <c r="G30" s="1824"/>
      <c r="H30" s="386"/>
      <c r="I30" s="1824"/>
      <c r="J30" s="386"/>
      <c r="K30" s="591"/>
      <c r="L30" s="2486"/>
      <c r="M30" s="2437"/>
      <c r="N30" s="2437"/>
      <c r="O30" s="2538"/>
      <c r="P30" s="3446"/>
      <c r="Q30" s="529"/>
      <c r="R30" s="662"/>
      <c r="S30" s="663"/>
      <c r="T30" s="662"/>
      <c r="U30" s="663"/>
      <c r="V30" s="662"/>
      <c r="W30" s="663"/>
      <c r="X30" s="664"/>
      <c r="Y30" s="3446"/>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4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46"/>
      <c r="Z31" s="1261" t="str">
        <f t="shared" ref="Z31:Z45" si="13">Q31</f>
        <v>临街状况</v>
      </c>
      <c r="AA31" s="1261">
        <f t="shared" si="3"/>
        <v>1</v>
      </c>
      <c r="AB31" s="1261">
        <f t="shared" si="4"/>
        <v>1</v>
      </c>
      <c r="AC31" s="1261">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46"/>
      <c r="Q32" s="1260" t="str">
        <f t="shared" si="8"/>
        <v>毗邻道路的类型与等级</v>
      </c>
      <c r="R32" s="665" t="s">
        <v>14</v>
      </c>
      <c r="S32" s="666">
        <f t="shared" si="10"/>
        <v>100</v>
      </c>
      <c r="T32" s="665" t="s">
        <v>14</v>
      </c>
      <c r="U32" s="666">
        <f t="shared" si="11"/>
        <v>100</v>
      </c>
      <c r="V32" s="665" t="s">
        <v>14</v>
      </c>
      <c r="W32" s="666">
        <f t="shared" si="12"/>
        <v>100</v>
      </c>
      <c r="X32" s="1262"/>
      <c r="Y32" s="3446"/>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46"/>
      <c r="Q33" s="1260"/>
      <c r="R33" s="665"/>
      <c r="S33" s="666"/>
      <c r="T33" s="665"/>
      <c r="U33" s="666"/>
      <c r="V33" s="665"/>
      <c r="W33" s="666"/>
      <c r="X33" s="1262"/>
      <c r="Y33" s="3446"/>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46"/>
      <c r="Q34" s="1260" t="str">
        <f t="shared" si="8"/>
        <v>土地级别</v>
      </c>
      <c r="R34" s="665" t="s">
        <v>14</v>
      </c>
      <c r="S34" s="666">
        <f t="shared" si="10"/>
        <v>100</v>
      </c>
      <c r="T34" s="665" t="s">
        <v>14</v>
      </c>
      <c r="U34" s="666">
        <f t="shared" si="11"/>
        <v>100</v>
      </c>
      <c r="V34" s="665" t="s">
        <v>14</v>
      </c>
      <c r="W34" s="666">
        <f t="shared" si="12"/>
        <v>100</v>
      </c>
      <c r="X34" s="1262"/>
      <c r="Y34" s="3446"/>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46"/>
      <c r="Q35" s="1260">
        <f t="shared" si="8"/>
        <v>111</v>
      </c>
      <c r="R35" s="665" t="s">
        <v>14</v>
      </c>
      <c r="S35" s="666">
        <f t="shared" si="10"/>
        <v>100</v>
      </c>
      <c r="T35" s="665" t="s">
        <v>14</v>
      </c>
      <c r="U35" s="666">
        <f t="shared" si="11"/>
        <v>100</v>
      </c>
      <c r="V35" s="665" t="s">
        <v>14</v>
      </c>
      <c r="W35" s="666">
        <f t="shared" si="12"/>
        <v>100</v>
      </c>
      <c r="X35" s="1262"/>
      <c r="Y35" s="3446"/>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07" t="s">
        <v>1696</v>
      </c>
      <c r="Q36" s="1260">
        <f t="shared" si="8"/>
        <v>111</v>
      </c>
      <c r="R36" s="665" t="s">
        <v>14</v>
      </c>
      <c r="S36" s="666">
        <f t="shared" si="10"/>
        <v>100</v>
      </c>
      <c r="T36" s="665" t="s">
        <v>14</v>
      </c>
      <c r="U36" s="666">
        <f t="shared" si="11"/>
        <v>100</v>
      </c>
      <c r="V36" s="665" t="s">
        <v>14</v>
      </c>
      <c r="W36" s="666">
        <f t="shared" si="12"/>
        <v>100</v>
      </c>
      <c r="X36" s="1262"/>
      <c r="Y36" s="3450" t="s">
        <v>1696</v>
      </c>
      <c r="Z36" s="1261">
        <f t="shared" si="13"/>
        <v>111</v>
      </c>
      <c r="AA36" s="1261">
        <f t="shared" si="3"/>
        <v>1</v>
      </c>
      <c r="AB36" s="1261">
        <f t="shared" si="4"/>
        <v>1</v>
      </c>
      <c r="AC36" s="1261">
        <f t="shared" si="5"/>
        <v>1</v>
      </c>
    </row>
    <row r="37" spans="1:29" s="407" customFormat="1" ht="15.75"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50"/>
      <c r="Q37" s="1260">
        <f t="shared" si="8"/>
        <v>111</v>
      </c>
      <c r="R37" s="667" t="s">
        <v>14</v>
      </c>
      <c r="S37" s="668">
        <f t="shared" si="10"/>
        <v>100</v>
      </c>
      <c r="T37" s="667" t="s">
        <v>14</v>
      </c>
      <c r="U37" s="668">
        <f t="shared" si="11"/>
        <v>100</v>
      </c>
      <c r="V37" s="667" t="s">
        <v>14</v>
      </c>
      <c r="W37" s="668">
        <f t="shared" si="12"/>
        <v>100</v>
      </c>
      <c r="X37" s="669"/>
      <c r="Y37" s="3450"/>
      <c r="Z37" s="670">
        <f t="shared" si="13"/>
        <v>111</v>
      </c>
      <c r="AA37" s="1261">
        <f t="shared" si="3"/>
        <v>1</v>
      </c>
      <c r="AB37" s="1261">
        <f t="shared" si="4"/>
        <v>1</v>
      </c>
      <c r="AC37" s="1261">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50"/>
      <c r="Q38" s="1260" t="str">
        <f>B38</f>
        <v>宗地面积</v>
      </c>
      <c r="R38" s="665" t="s">
        <v>14</v>
      </c>
      <c r="S38" s="666" t="e">
        <f t="shared" si="10"/>
        <v>#N/A</v>
      </c>
      <c r="T38" s="665" t="s">
        <v>14</v>
      </c>
      <c r="U38" s="666" t="e">
        <f t="shared" si="11"/>
        <v>#N/A</v>
      </c>
      <c r="V38" s="665" t="s">
        <v>14</v>
      </c>
      <c r="W38" s="666" t="e">
        <f t="shared" si="12"/>
        <v>#N/A</v>
      </c>
      <c r="X38" s="1262"/>
      <c r="Y38" s="3450"/>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50"/>
      <c r="Q39" s="1260" t="str">
        <f t="shared" ref="Q39:Q45" si="14">B39</f>
        <v>宗地形状</v>
      </c>
      <c r="R39" s="665" t="s">
        <v>14</v>
      </c>
      <c r="S39" s="666">
        <f t="shared" si="10"/>
        <v>100</v>
      </c>
      <c r="T39" s="665" t="s">
        <v>14</v>
      </c>
      <c r="U39" s="666">
        <f t="shared" si="11"/>
        <v>100</v>
      </c>
      <c r="V39" s="665" t="s">
        <v>14</v>
      </c>
      <c r="W39" s="666">
        <f t="shared" si="12"/>
        <v>100</v>
      </c>
      <c r="X39" s="1262"/>
      <c r="Y39" s="3450"/>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50"/>
      <c r="Q40" s="1260" t="str">
        <f t="shared" si="14"/>
        <v>临街宽度及深度</v>
      </c>
      <c r="R40" s="665" t="s">
        <v>14</v>
      </c>
      <c r="S40" s="666">
        <f t="shared" si="10"/>
        <v>100</v>
      </c>
      <c r="T40" s="665" t="s">
        <v>14</v>
      </c>
      <c r="U40" s="666">
        <f t="shared" si="11"/>
        <v>100</v>
      </c>
      <c r="V40" s="665" t="s">
        <v>14</v>
      </c>
      <c r="W40" s="666">
        <f t="shared" si="12"/>
        <v>100</v>
      </c>
      <c r="X40" s="1262"/>
      <c r="Y40" s="3450"/>
      <c r="Z40" s="1261" t="str">
        <f t="shared" si="13"/>
        <v>临街宽度及深度</v>
      </c>
      <c r="AA40" s="1261">
        <f t="shared" si="3"/>
        <v>1</v>
      </c>
      <c r="AB40" s="1261">
        <f t="shared" si="4"/>
        <v>1</v>
      </c>
      <c r="AC40" s="1261">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50"/>
      <c r="Q41" s="1260" t="str">
        <f t="shared" si="14"/>
        <v>宗地开发程度</v>
      </c>
      <c r="R41" s="662" t="s">
        <v>14</v>
      </c>
      <c r="S41" s="663">
        <f t="shared" si="10"/>
        <v>100</v>
      </c>
      <c r="T41" s="662" t="s">
        <v>14</v>
      </c>
      <c r="U41" s="663">
        <f t="shared" si="11"/>
        <v>100</v>
      </c>
      <c r="V41" s="662" t="s">
        <v>14</v>
      </c>
      <c r="W41" s="663">
        <f t="shared" si="12"/>
        <v>100</v>
      </c>
      <c r="X41" s="664"/>
      <c r="Y41" s="3450"/>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50" t="s">
        <v>1696</v>
      </c>
      <c r="Q42" s="1260" t="str">
        <f t="shared" si="14"/>
        <v>工程地质条件</v>
      </c>
      <c r="R42" s="665" t="s">
        <v>14</v>
      </c>
      <c r="S42" s="666">
        <f t="shared" si="10"/>
        <v>100</v>
      </c>
      <c r="T42" s="665" t="s">
        <v>14</v>
      </c>
      <c r="U42" s="666">
        <f t="shared" si="11"/>
        <v>100</v>
      </c>
      <c r="V42" s="665" t="s">
        <v>14</v>
      </c>
      <c r="W42" s="666">
        <f t="shared" si="12"/>
        <v>100</v>
      </c>
      <c r="X42" s="1262"/>
      <c r="Y42" s="3450"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50"/>
      <c r="Q43" s="1260">
        <f t="shared" si="14"/>
        <v>111</v>
      </c>
      <c r="R43" s="665" t="s">
        <v>14</v>
      </c>
      <c r="S43" s="666">
        <f t="shared" si="10"/>
        <v>100</v>
      </c>
      <c r="T43" s="665" t="s">
        <v>14</v>
      </c>
      <c r="U43" s="666">
        <f t="shared" si="11"/>
        <v>100</v>
      </c>
      <c r="V43" s="665" t="s">
        <v>14</v>
      </c>
      <c r="W43" s="666">
        <f t="shared" si="12"/>
        <v>100</v>
      </c>
      <c r="X43" s="1262"/>
      <c r="Y43" s="3450"/>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50"/>
      <c r="Q44" s="1260">
        <f t="shared" si="14"/>
        <v>111</v>
      </c>
      <c r="R44" s="665" t="s">
        <v>14</v>
      </c>
      <c r="S44" s="666">
        <f t="shared" si="10"/>
        <v>100</v>
      </c>
      <c r="T44" s="665" t="s">
        <v>14</v>
      </c>
      <c r="U44" s="666">
        <f t="shared" si="11"/>
        <v>100</v>
      </c>
      <c r="V44" s="665" t="s">
        <v>14</v>
      </c>
      <c r="W44" s="666">
        <f t="shared" si="12"/>
        <v>100</v>
      </c>
      <c r="X44" s="1262"/>
      <c r="Y44" s="3450"/>
      <c r="Z44" s="1261">
        <f t="shared" si="13"/>
        <v>111</v>
      </c>
      <c r="AA44" s="1261">
        <f t="shared" si="3"/>
        <v>1</v>
      </c>
      <c r="AB44" s="1261">
        <f t="shared" si="4"/>
        <v>1</v>
      </c>
      <c r="AC44" s="1261">
        <f t="shared" si="5"/>
        <v>1</v>
      </c>
    </row>
    <row r="45" spans="1:29" s="407" customFormat="1" ht="15.75"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50"/>
      <c r="Q45" s="1260">
        <f t="shared" si="14"/>
        <v>111</v>
      </c>
      <c r="R45" s="667" t="s">
        <v>14</v>
      </c>
      <c r="S45" s="668">
        <f t="shared" si="10"/>
        <v>100</v>
      </c>
      <c r="T45" s="667" t="s">
        <v>14</v>
      </c>
      <c r="U45" s="668">
        <f t="shared" si="11"/>
        <v>100</v>
      </c>
      <c r="V45" s="667" t="s">
        <v>14</v>
      </c>
      <c r="W45" s="668">
        <f t="shared" si="12"/>
        <v>100</v>
      </c>
      <c r="X45" s="669"/>
      <c r="Y45" s="3450"/>
      <c r="Z45" s="670">
        <f t="shared" si="13"/>
        <v>111</v>
      </c>
      <c r="AA45" s="1261">
        <f t="shared" si="3"/>
        <v>1</v>
      </c>
      <c r="AB45" s="1261">
        <f t="shared" si="4"/>
        <v>1</v>
      </c>
      <c r="AC45" s="1261">
        <f t="shared" si="5"/>
        <v>1</v>
      </c>
    </row>
    <row r="46" spans="1:29" ht="15">
      <c r="A46" s="415" t="s">
        <v>1844</v>
      </c>
      <c r="B46" s="1827" t="s">
        <v>1879</v>
      </c>
      <c r="C46" s="601" t="s">
        <v>0</v>
      </c>
      <c r="D46" s="417"/>
      <c r="E46" s="418"/>
      <c r="F46" s="419"/>
      <c r="G46" s="420"/>
      <c r="H46" s="421"/>
      <c r="I46" s="418"/>
      <c r="J46" s="421"/>
      <c r="K46" s="672"/>
      <c r="L46" s="2492"/>
      <c r="M46" s="2485"/>
      <c r="N46" s="2485"/>
      <c r="O46" s="2485"/>
      <c r="P46" s="3452" t="str">
        <f>A46</f>
        <v>成交单价</v>
      </c>
      <c r="Q46" s="3452"/>
      <c r="R46" s="3440">
        <f>E46</f>
        <v>0</v>
      </c>
      <c r="S46" s="3440"/>
      <c r="T46" s="3440">
        <f>G46</f>
        <v>0</v>
      </c>
      <c r="U46" s="3440"/>
      <c r="V46" s="3440">
        <f>I46</f>
        <v>0</v>
      </c>
      <c r="W46" s="3440"/>
      <c r="X46" s="384"/>
      <c r="Y46" s="671"/>
      <c r="Z46" s="384"/>
      <c r="AA46" s="384"/>
      <c r="AB46" s="384"/>
      <c r="AC46" s="384"/>
    </row>
    <row r="47" spans="1:29" ht="15.75" thickBot="1">
      <c r="A47" s="422" t="s">
        <v>1793</v>
      </c>
      <c r="B47" s="602"/>
      <c r="C47" s="425" t="e">
        <f>R48</f>
        <v>#DIV/0!</v>
      </c>
      <c r="D47" s="2138" t="s">
        <v>2136</v>
      </c>
      <c r="E47" s="425" t="e">
        <f>R47</f>
        <v>#DIV/0!</v>
      </c>
      <c r="F47" s="2139"/>
      <c r="G47" s="424" t="e">
        <f>T47</f>
        <v>#DIV/0!</v>
      </c>
      <c r="H47" s="2139"/>
      <c r="I47" s="425" t="e">
        <f>V47</f>
        <v>#DIV/0!</v>
      </c>
      <c r="J47" s="2139"/>
      <c r="K47" s="2141">
        <f>F47+H47+J47</f>
        <v>0</v>
      </c>
      <c r="L47" s="2492"/>
      <c r="M47" s="2485"/>
      <c r="N47" s="2485"/>
      <c r="O47" s="2485"/>
      <c r="P47" s="3452" t="str">
        <f>A47</f>
        <v>比较价值（元/平方米）</v>
      </c>
      <c r="Q47" s="3452"/>
      <c r="R47" s="3509" t="e">
        <f>ROUND(PRODUCT(R46,AA7:AA45),0)</f>
        <v>#DIV/0!</v>
      </c>
      <c r="S47" s="3509"/>
      <c r="T47" s="3509" t="e">
        <f>ROUND(PRODUCT(T46,AB7:AB45),0)</f>
        <v>#DIV/0!</v>
      </c>
      <c r="U47" s="3509"/>
      <c r="V47" s="3509" t="e">
        <f>ROUND(PRODUCT(V46,AC7:AC45),0)</f>
        <v>#DIV/0!</v>
      </c>
      <c r="W47" s="3509"/>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92"/>
      <c r="M48" s="2485"/>
      <c r="N48" s="2485"/>
      <c r="O48" s="2485"/>
      <c r="P48" s="3491" t="str">
        <f>A48</f>
        <v>估价对象XX用房的比较价值（楼面单价，元/平方米）</v>
      </c>
      <c r="Q48" s="3492"/>
      <c r="R48" s="3510" t="e">
        <f>ROUND(IF(D47="简单平均",AVERAGE(R47:W47),R47*F47+T47*H47+V47*J47),0)</f>
        <v>#DIV/0!</v>
      </c>
      <c r="S48" s="3510"/>
      <c r="T48" s="3510"/>
      <c r="U48" s="3510"/>
      <c r="V48" s="3510"/>
      <c r="W48" s="3510"/>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5" t="s">
        <v>1886</v>
      </c>
      <c r="G55" s="3427" t="s">
        <v>1887</v>
      </c>
      <c r="H55" s="3511"/>
      <c r="I55" s="126"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7">
        <v>1</v>
      </c>
      <c r="E56" s="609">
        <f>'数据-汇总表'!E8+'数据-汇总表'!E9</f>
        <v>77841.440000000002</v>
      </c>
      <c r="F56" s="831" t="e">
        <f t="shared" ref="F56:F64" si="15">ROUND(B56*E56/10000,0)</f>
        <v>#DIV/0!</v>
      </c>
      <c r="G56" s="3423"/>
      <c r="H56" s="3452"/>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88">
        <v>0.25</v>
      </c>
      <c r="E57" s="613"/>
      <c r="F57" s="831" t="e">
        <f t="shared" si="15"/>
        <v>#DIV/0!</v>
      </c>
      <c r="G57" s="2748" t="s">
        <v>1892</v>
      </c>
      <c r="H57" s="832" t="str">
        <f>项目基本情况!B37</f>
        <v>二级</v>
      </c>
      <c r="I57" s="836">
        <f>SUMIF(修正!A59:A70,H57,修正!B59:B70)</f>
        <v>0.7</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88">
        <v>0.25</v>
      </c>
      <c r="E58" s="613"/>
      <c r="F58" s="831" t="e">
        <f t="shared" si="15"/>
        <v>#DIV/0!</v>
      </c>
      <c r="G58" s="2749"/>
      <c r="H58" s="832" t="str">
        <f>项目基本情况!B37</f>
        <v>二级</v>
      </c>
      <c r="I58" s="836">
        <f>SUMIF(修正!A59:A70,H58,修正!C59:C70)</f>
        <v>0.4</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88">
        <v>0.25</v>
      </c>
      <c r="E59" s="613"/>
      <c r="F59" s="831" t="e">
        <f t="shared" si="15"/>
        <v>#DIV/0!</v>
      </c>
      <c r="G59" s="2749"/>
      <c r="H59" s="832" t="str">
        <f>项目基本情况!B37</f>
        <v>二级</v>
      </c>
      <c r="I59" s="836">
        <f>SUMIF(修正!A59:A70,H59,修正!D59:D70)</f>
        <v>0.3</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88">
        <v>0.25</v>
      </c>
      <c r="E60" s="208">
        <f>'数据-汇总表'!E11</f>
        <v>2104.87</v>
      </c>
      <c r="F60" s="831" t="e">
        <f t="shared" si="15"/>
        <v>#DIV/0!</v>
      </c>
      <c r="G60" s="1832" t="s">
        <v>1896</v>
      </c>
      <c r="H60" s="832" t="str">
        <f>项目基本情况!C37</f>
        <v>二级</v>
      </c>
      <c r="I60" s="836">
        <f>SUMIF(修正!A59:A70,H60,修正!E59:E70)</f>
        <v>0.3</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88">
        <v>0.25</v>
      </c>
      <c r="E61" s="208">
        <f>'数据-汇总表'!E12</f>
        <v>967.29000000000008</v>
      </c>
      <c r="F61" s="831" t="e">
        <f t="shared" si="15"/>
        <v>#DIV/0!</v>
      </c>
      <c r="G61" s="837" t="s">
        <v>1898</v>
      </c>
      <c r="H61" s="832" t="str">
        <f>IF(G61="商业",项目基本情况!B37,IF(G61="办公",项目基本情况!C37,IF(G61="住宅",项目基本情况!D37,项目基本情况!E37)))</f>
        <v>二级</v>
      </c>
      <c r="I61" s="836">
        <f>SUMIF(修正!A59:A70,H61,修正!F59:F70)</f>
        <v>0.3</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8">
        <v>0.25</v>
      </c>
      <c r="E62" s="208">
        <f>'数据-汇总表'!E13</f>
        <v>2588.69</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88">
        <v>0.25</v>
      </c>
      <c r="E63" s="208">
        <f>'数据-汇总表'!E14</f>
        <v>0</v>
      </c>
      <c r="F63" s="831" t="e">
        <f t="shared" si="15"/>
        <v>#DIV/0!</v>
      </c>
      <c r="G63" s="1832" t="s">
        <v>1892</v>
      </c>
      <c r="H63" s="832" t="str">
        <f>项目基本情况!B37</f>
        <v>二级</v>
      </c>
      <c r="I63" s="836">
        <f>SUMIF(修正!A59:A70,H63,修正!G59:G70)</f>
        <v>0.2</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0.2</v>
      </c>
      <c r="D64" s="888">
        <v>0.25</v>
      </c>
      <c r="E64" s="208">
        <f>'数据-汇总表'!E15</f>
        <v>0</v>
      </c>
      <c r="F64" s="831" t="e">
        <f t="shared" si="15"/>
        <v>#DIV/0!</v>
      </c>
      <c r="G64" s="1833" t="s">
        <v>1896</v>
      </c>
      <c r="H64" s="842" t="str">
        <f>项目基本情况!C37</f>
        <v>二级</v>
      </c>
      <c r="I64" s="838">
        <f>SUMIF(修正!A59:A70,H64,修正!G59:G70)</f>
        <v>0.2</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83502.289999999994</v>
      </c>
      <c r="F65" s="616"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4"/>
      <c r="C66" s="655"/>
      <c r="D66" s="384"/>
      <c r="E66" s="384"/>
      <c r="F66" s="384"/>
      <c r="G66" s="384"/>
      <c r="H66" s="384"/>
      <c r="I66" s="384"/>
      <c r="J66" s="858"/>
      <c r="K66" s="833"/>
      <c r="L66" s="834"/>
      <c r="M66" s="858"/>
      <c r="N66" s="858"/>
      <c r="O66" s="858"/>
      <c r="P66" s="2485"/>
      <c r="Q66" s="2485"/>
      <c r="R66" s="2485"/>
      <c r="S66" s="2485"/>
      <c r="T66" s="2485"/>
      <c r="U66" s="2485"/>
      <c r="V66" s="2485"/>
      <c r="W66" s="2485"/>
      <c r="X66" s="2485"/>
      <c r="Y66" s="2485"/>
      <c r="Z66" s="2485"/>
      <c r="AA66" s="2485"/>
      <c r="AB66" s="2485"/>
      <c r="AC66" s="2485"/>
    </row>
    <row r="67" spans="1:29">
      <c r="A67" s="384"/>
      <c r="B67" s="654"/>
      <c r="C67" s="654" t="str">
        <f>YEAR(C7)&amp;"-"&amp;MONTH(C7)&amp;"-1"</f>
        <v>2025-8-1</v>
      </c>
      <c r="D67" s="654">
        <f>EDATE(C67,-3)</f>
        <v>45778</v>
      </c>
      <c r="E67" s="654">
        <f>EDATE(D67,-3)</f>
        <v>45689</v>
      </c>
      <c r="F67" s="654">
        <f t="shared" ref="F67:O67" si="18">EDATE(E67,-3)</f>
        <v>45597</v>
      </c>
      <c r="G67" s="654">
        <f t="shared" si="18"/>
        <v>45505</v>
      </c>
      <c r="H67" s="654">
        <f t="shared" si="18"/>
        <v>45413</v>
      </c>
      <c r="I67" s="654">
        <f t="shared" si="18"/>
        <v>45323</v>
      </c>
      <c r="J67" s="654">
        <f t="shared" si="18"/>
        <v>45231</v>
      </c>
      <c r="K67" s="654">
        <f t="shared" si="18"/>
        <v>45139</v>
      </c>
      <c r="L67" s="654">
        <f t="shared" si="18"/>
        <v>45047</v>
      </c>
      <c r="M67" s="654">
        <f t="shared" si="18"/>
        <v>44958</v>
      </c>
      <c r="N67" s="654">
        <f t="shared" si="18"/>
        <v>44866</v>
      </c>
      <c r="O67" s="654">
        <f t="shared" si="18"/>
        <v>44774</v>
      </c>
      <c r="P67" s="2485"/>
      <c r="Q67" s="2485"/>
      <c r="R67" s="2485"/>
      <c r="S67" s="2485"/>
      <c r="T67" s="2485"/>
      <c r="U67" s="2485"/>
      <c r="V67" s="2485"/>
      <c r="W67" s="2485"/>
      <c r="X67" s="2485"/>
      <c r="Y67" s="2485"/>
      <c r="Z67" s="2485"/>
      <c r="AA67" s="2485"/>
      <c r="AB67" s="2485"/>
      <c r="AC67" s="2485"/>
    </row>
    <row r="68" spans="1:29" ht="21.75" thickBot="1">
      <c r="A68" s="656" t="s">
        <v>1798</v>
      </c>
      <c r="B68" s="384"/>
      <c r="C68" s="657"/>
      <c r="D68" s="657"/>
      <c r="E68" s="657"/>
      <c r="F68" s="658"/>
      <c r="G68" s="658"/>
      <c r="H68" s="657"/>
      <c r="I68" s="657"/>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1" customFormat="1" ht="15">
      <c r="A69" s="1627" t="s">
        <v>1904</v>
      </c>
      <c r="B69" s="1043"/>
      <c r="C69" s="1098" t="str">
        <f>YEAR(C67)&amp;"-"&amp;ROUNDUP(MONTH(C67)/3,0)</f>
        <v>2025-3</v>
      </c>
      <c r="D69" s="1098" t="str">
        <f>YEAR(D67)&amp;"-"&amp;ROUNDUP(MONTH(D67)/3,0)</f>
        <v>2025-2</v>
      </c>
      <c r="E69" s="1098" t="str">
        <f t="shared" ref="E69:O69" si="19">YEAR(E67)&amp;"-"&amp;ROUNDUP(MONTH(E67)/3,0)</f>
        <v>2025-1</v>
      </c>
      <c r="F69" s="1098" t="str">
        <f t="shared" si="19"/>
        <v>2024-4</v>
      </c>
      <c r="G69" s="1098" t="str">
        <f t="shared" si="19"/>
        <v>2024-3</v>
      </c>
      <c r="H69" s="1098" t="str">
        <f t="shared" si="19"/>
        <v>2024-2</v>
      </c>
      <c r="I69" s="1098" t="str">
        <f t="shared" si="19"/>
        <v>2024-1</v>
      </c>
      <c r="J69" s="1098" t="str">
        <f t="shared" si="19"/>
        <v>2023-4</v>
      </c>
      <c r="K69" s="1098" t="str">
        <f t="shared" si="19"/>
        <v>2023-3</v>
      </c>
      <c r="L69" s="1098" t="str">
        <f t="shared" si="19"/>
        <v>2023-2</v>
      </c>
      <c r="M69" s="1098" t="str">
        <f t="shared" si="19"/>
        <v>2023-1</v>
      </c>
      <c r="N69" s="1098" t="str">
        <f t="shared" si="19"/>
        <v>2022-4</v>
      </c>
      <c r="O69" s="1098"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6"/>
      <c r="P71" s="2506"/>
      <c r="Q71" s="2506"/>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2"/>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2"/>
      <c r="D2" s="852"/>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4"/>
      <c r="AC3" s="661"/>
    </row>
    <row r="4" spans="1:29" ht="15">
      <c r="A4" s="344" t="s">
        <v>1769</v>
      </c>
      <c r="B4" s="345"/>
      <c r="C4" s="3427" t="s">
        <v>1770</v>
      </c>
      <c r="D4" s="3428"/>
      <c r="E4" s="3429" t="s">
        <v>1771</v>
      </c>
      <c r="F4" s="3430"/>
      <c r="G4" s="3427" t="s">
        <v>1772</v>
      </c>
      <c r="H4" s="3428"/>
      <c r="I4" s="3427" t="s">
        <v>1773</v>
      </c>
      <c r="J4" s="3428"/>
      <c r="K4" s="536" t="s">
        <v>1774</v>
      </c>
      <c r="L4" s="2484"/>
      <c r="M4" s="2485"/>
      <c r="N4" s="2485"/>
      <c r="O4" s="2485"/>
      <c r="P4" s="3487" t="s">
        <v>1775</v>
      </c>
      <c r="Q4" s="3488"/>
      <c r="R4" s="3483" t="s">
        <v>1771</v>
      </c>
      <c r="S4" s="3484"/>
      <c r="T4" s="3483" t="s">
        <v>1772</v>
      </c>
      <c r="U4" s="3484"/>
      <c r="V4" s="3440" t="s">
        <v>1773</v>
      </c>
      <c r="W4" s="3440"/>
      <c r="X4" s="1262"/>
      <c r="Y4" s="3483" t="s">
        <v>1775</v>
      </c>
      <c r="Z4" s="3484"/>
      <c r="AA4" s="3482" t="s">
        <v>1771</v>
      </c>
      <c r="AB4" s="3408" t="s">
        <v>1772</v>
      </c>
      <c r="AC4" s="3482" t="s">
        <v>1773</v>
      </c>
    </row>
    <row r="5" spans="1:29" ht="15">
      <c r="A5" s="347"/>
      <c r="B5" s="348"/>
      <c r="C5" s="3418" t="s">
        <v>1673</v>
      </c>
      <c r="D5" s="3417"/>
      <c r="E5" s="3485" t="s">
        <v>1674</v>
      </c>
      <c r="F5" s="3486"/>
      <c r="G5" s="3418" t="s">
        <v>1675</v>
      </c>
      <c r="H5" s="3417"/>
      <c r="I5" s="3418" t="s">
        <v>1676</v>
      </c>
      <c r="J5" s="3417"/>
      <c r="K5" s="536"/>
      <c r="L5" s="2484"/>
      <c r="M5" s="2485"/>
      <c r="N5" s="2485"/>
      <c r="O5" s="2485"/>
      <c r="P5" s="3489"/>
      <c r="Q5" s="3434"/>
      <c r="R5" s="3414"/>
      <c r="S5" s="3415"/>
      <c r="T5" s="3414"/>
      <c r="U5" s="3415"/>
      <c r="V5" s="3440"/>
      <c r="W5" s="3440"/>
      <c r="X5" s="1262"/>
      <c r="Y5" s="3414"/>
      <c r="Z5" s="3415"/>
      <c r="AA5" s="3408"/>
      <c r="AB5" s="3408"/>
      <c r="AC5" s="3408"/>
    </row>
    <row r="6" spans="1:29" ht="15.75" thickBot="1">
      <c r="A6" s="349"/>
      <c r="B6" s="350"/>
      <c r="C6" s="3512" t="s">
        <v>1919</v>
      </c>
      <c r="D6" s="3513"/>
      <c r="E6" s="3514" t="s">
        <v>1919</v>
      </c>
      <c r="F6" s="3515"/>
      <c r="G6" s="3512" t="s">
        <v>1919</v>
      </c>
      <c r="H6" s="3513"/>
      <c r="I6" s="3512" t="s">
        <v>1919</v>
      </c>
      <c r="J6" s="3513"/>
      <c r="K6" s="536" t="s">
        <v>1678</v>
      </c>
      <c r="L6" s="2484"/>
      <c r="M6" s="2485"/>
      <c r="N6" s="2485"/>
      <c r="O6" s="2485"/>
      <c r="P6" s="3490"/>
      <c r="Q6" s="3436"/>
      <c r="R6" s="3414"/>
      <c r="S6" s="3415"/>
      <c r="T6" s="3437"/>
      <c r="U6" s="3438"/>
      <c r="V6" s="3440"/>
      <c r="W6" s="3440"/>
      <c r="X6" s="1262"/>
      <c r="Y6" s="3437"/>
      <c r="Z6" s="3438"/>
      <c r="AA6" s="3409"/>
      <c r="AB6" s="3409"/>
      <c r="AC6" s="3409"/>
    </row>
    <row r="7" spans="1:29" s="102" customFormat="1" ht="15.75" thickBot="1">
      <c r="A7" s="351" t="s">
        <v>1679</v>
      </c>
      <c r="B7" s="352"/>
      <c r="C7" s="353">
        <f>'数据-取费表'!B2</f>
        <v>45881</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10" t="s">
        <v>1680</v>
      </c>
      <c r="Q7" s="3442"/>
      <c r="R7" s="662" t="s">
        <v>14</v>
      </c>
      <c r="S7" s="663">
        <f t="shared" ref="S7:S15" si="0">F7</f>
        <v>0</v>
      </c>
      <c r="T7" s="662" t="s">
        <v>14</v>
      </c>
      <c r="U7" s="663">
        <f t="shared" ref="U7:U15" si="1">H7</f>
        <v>0</v>
      </c>
      <c r="V7" s="662" t="s">
        <v>14</v>
      </c>
      <c r="W7" s="663">
        <f t="shared" ref="W7:W15" si="2">J7</f>
        <v>0</v>
      </c>
      <c r="X7" s="664"/>
      <c r="Y7" s="3410" t="s">
        <v>1680</v>
      </c>
      <c r="Z7" s="3411"/>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10" t="s">
        <v>1683</v>
      </c>
      <c r="Q8" s="3411"/>
      <c r="R8" s="662" t="s">
        <v>14</v>
      </c>
      <c r="S8" s="663">
        <f t="shared" si="0"/>
        <v>0</v>
      </c>
      <c r="T8" s="662" t="s">
        <v>14</v>
      </c>
      <c r="U8" s="663">
        <f t="shared" si="1"/>
        <v>0</v>
      </c>
      <c r="V8" s="662" t="s">
        <v>14</v>
      </c>
      <c r="W8" s="663">
        <f t="shared" si="2"/>
        <v>0</v>
      </c>
      <c r="X8" s="664"/>
      <c r="Y8" s="3410" t="s">
        <v>1683</v>
      </c>
      <c r="Z8" s="3411"/>
      <c r="AA8" s="50" t="e">
        <f t="shared" ref="AA8:AA40" si="3">D8/F8</f>
        <v>#DIV/0!</v>
      </c>
      <c r="AB8" s="50" t="e">
        <f t="shared" ref="AB8:AB40" si="4">D8/H8</f>
        <v>#DIV/0!</v>
      </c>
      <c r="AC8" s="50" t="e">
        <f t="shared" ref="AC8:AC40" si="5">D8/J8</f>
        <v>#DIV/0!</v>
      </c>
    </row>
    <row r="9" spans="1:29" s="102"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52" t="s">
        <v>1686</v>
      </c>
      <c r="Q9" s="529" t="str">
        <f t="shared" ref="Q9:Q15" si="6">B9</f>
        <v>用途</v>
      </c>
      <c r="R9" s="662" t="s">
        <v>14</v>
      </c>
      <c r="S9" s="663">
        <f t="shared" si="0"/>
        <v>100</v>
      </c>
      <c r="T9" s="662" t="s">
        <v>14</v>
      </c>
      <c r="U9" s="663">
        <f t="shared" si="1"/>
        <v>100</v>
      </c>
      <c r="V9" s="662" t="s">
        <v>14</v>
      </c>
      <c r="W9" s="663">
        <f t="shared" si="2"/>
        <v>100</v>
      </c>
      <c r="X9" s="664"/>
      <c r="Y9" s="33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120</v>
      </c>
      <c r="G10" s="370"/>
      <c r="H10" s="118">
        <f>ROUND(100/'数据-取费表'!G16,0)</f>
        <v>120</v>
      </c>
      <c r="I10" s="370"/>
      <c r="J10" s="118">
        <f>ROUND(100/'数据-取费表'!G16,0)</f>
        <v>120</v>
      </c>
      <c r="K10" s="591"/>
      <c r="L10" s="2487"/>
      <c r="M10" s="2488"/>
      <c r="N10" s="2488"/>
      <c r="O10" s="2539"/>
      <c r="P10" s="3452"/>
      <c r="Q10" s="529" t="str">
        <f t="shared" si="6"/>
        <v>土地使用年限（年）</v>
      </c>
      <c r="R10" s="662" t="s">
        <v>14</v>
      </c>
      <c r="S10" s="663">
        <f t="shared" si="0"/>
        <v>120</v>
      </c>
      <c r="T10" s="662" t="s">
        <v>14</v>
      </c>
      <c r="U10" s="663">
        <f t="shared" si="1"/>
        <v>120</v>
      </c>
      <c r="V10" s="662" t="s">
        <v>14</v>
      </c>
      <c r="W10" s="663">
        <f t="shared" si="2"/>
        <v>120</v>
      </c>
      <c r="X10" s="664"/>
      <c r="Y10" s="3361"/>
      <c r="Z10" s="50" t="str">
        <f t="shared" si="7"/>
        <v>土地使用年限（年）</v>
      </c>
      <c r="AA10" s="50">
        <f t="shared" si="3"/>
        <v>0.83333333333333337</v>
      </c>
      <c r="AB10" s="50">
        <f t="shared" si="4"/>
        <v>0.83333333333333337</v>
      </c>
      <c r="AC10" s="50">
        <f t="shared" si="5"/>
        <v>0.83333333333333337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52"/>
      <c r="Q11" s="529" t="str">
        <f t="shared" si="6"/>
        <v>容积率</v>
      </c>
      <c r="R11" s="662" t="s">
        <v>14</v>
      </c>
      <c r="S11" s="663" t="e">
        <f t="shared" si="0"/>
        <v>#N/A</v>
      </c>
      <c r="T11" s="662" t="s">
        <v>14</v>
      </c>
      <c r="U11" s="663" t="e">
        <f t="shared" si="1"/>
        <v>#N/A</v>
      </c>
      <c r="V11" s="662" t="s">
        <v>14</v>
      </c>
      <c r="W11" s="663" t="e">
        <f t="shared" si="2"/>
        <v>#N/A</v>
      </c>
      <c r="X11" s="664"/>
      <c r="Y11" s="3361"/>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52"/>
      <c r="Q12" s="529">
        <f t="shared" si="6"/>
        <v>111</v>
      </c>
      <c r="R12" s="662" t="s">
        <v>14</v>
      </c>
      <c r="S12" s="663">
        <f t="shared" si="0"/>
        <v>100</v>
      </c>
      <c r="T12" s="662" t="s">
        <v>14</v>
      </c>
      <c r="U12" s="663">
        <f t="shared" si="1"/>
        <v>100</v>
      </c>
      <c r="V12" s="662" t="s">
        <v>14</v>
      </c>
      <c r="W12" s="663">
        <f t="shared" si="2"/>
        <v>100</v>
      </c>
      <c r="X12" s="664"/>
      <c r="Y12" s="336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52"/>
      <c r="Q13" s="529">
        <f t="shared" si="6"/>
        <v>111</v>
      </c>
      <c r="R13" s="662" t="s">
        <v>14</v>
      </c>
      <c r="S13" s="663">
        <f t="shared" si="0"/>
        <v>100</v>
      </c>
      <c r="T13" s="662" t="s">
        <v>14</v>
      </c>
      <c r="U13" s="663">
        <f t="shared" si="1"/>
        <v>100</v>
      </c>
      <c r="V13" s="662" t="s">
        <v>14</v>
      </c>
      <c r="W13" s="663">
        <f t="shared" si="2"/>
        <v>100</v>
      </c>
      <c r="X13" s="664"/>
      <c r="Y13" s="3361"/>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52"/>
      <c r="Q14" s="529">
        <f t="shared" si="6"/>
        <v>111</v>
      </c>
      <c r="R14" s="662" t="s">
        <v>14</v>
      </c>
      <c r="S14" s="663">
        <f t="shared" si="0"/>
        <v>100</v>
      </c>
      <c r="T14" s="662" t="s">
        <v>14</v>
      </c>
      <c r="U14" s="663">
        <f t="shared" si="1"/>
        <v>100</v>
      </c>
      <c r="V14" s="662" t="s">
        <v>14</v>
      </c>
      <c r="W14" s="663">
        <f t="shared" si="2"/>
        <v>100</v>
      </c>
      <c r="X14" s="664"/>
      <c r="Y14" s="3361"/>
      <c r="Z14" s="50">
        <f t="shared" si="7"/>
        <v>111</v>
      </c>
      <c r="AA14" s="50">
        <f t="shared" si="3"/>
        <v>1</v>
      </c>
      <c r="AB14" s="50">
        <f t="shared" si="4"/>
        <v>1</v>
      </c>
      <c r="AC14" s="50">
        <f t="shared" si="5"/>
        <v>1</v>
      </c>
    </row>
    <row r="15" spans="1:29" ht="15">
      <c r="A15" s="378" t="s">
        <v>1690</v>
      </c>
      <c r="B15" s="553"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46"/>
      <c r="Q16" s="1260"/>
      <c r="R16" s="665"/>
      <c r="S16" s="666"/>
      <c r="T16" s="665"/>
      <c r="U16" s="666"/>
      <c r="V16" s="665"/>
      <c r="W16" s="666"/>
      <c r="X16" s="1262"/>
      <c r="Y16" s="3446"/>
      <c r="Z16" s="1261"/>
      <c r="AA16" s="1261">
        <v>1</v>
      </c>
      <c r="AB16" s="1261">
        <v>1</v>
      </c>
      <c r="AC16" s="1261">
        <v>1</v>
      </c>
    </row>
    <row r="17" spans="1:29" ht="15">
      <c r="A17" s="366"/>
      <c r="B17" s="555"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46"/>
      <c r="Q18" s="1260"/>
      <c r="R18" s="665"/>
      <c r="S18" s="666"/>
      <c r="T18" s="665"/>
      <c r="U18" s="666"/>
      <c r="V18" s="665"/>
      <c r="W18" s="666"/>
      <c r="X18" s="1262"/>
      <c r="Y18" s="3446"/>
      <c r="Z18" s="1261"/>
      <c r="AA18" s="1261">
        <v>1</v>
      </c>
      <c r="AB18" s="1261">
        <v>1</v>
      </c>
      <c r="AC18" s="1261">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46"/>
      <c r="Q19" s="1260" t="str">
        <f t="shared" ref="Q19:Q33" si="8">B19</f>
        <v>区域土地利用方向</v>
      </c>
      <c r="R19" s="665" t="s">
        <v>14</v>
      </c>
      <c r="S19" s="666">
        <f>F19</f>
        <v>100</v>
      </c>
      <c r="T19" s="665" t="s">
        <v>14</v>
      </c>
      <c r="U19" s="666">
        <f>H19</f>
        <v>100</v>
      </c>
      <c r="V19" s="665" t="s">
        <v>14</v>
      </c>
      <c r="W19" s="666">
        <f>J19</f>
        <v>100</v>
      </c>
      <c r="X19" s="1262"/>
      <c r="Y19" s="3446"/>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90"/>
      <c r="M20" s="2485"/>
      <c r="N20" s="2485"/>
      <c r="O20" s="2540"/>
      <c r="P20" s="3446"/>
      <c r="Q20" s="1260"/>
      <c r="R20" s="665"/>
      <c r="S20" s="666"/>
      <c r="T20" s="665"/>
      <c r="U20" s="666"/>
      <c r="V20" s="665"/>
      <c r="W20" s="666"/>
      <c r="X20" s="1262"/>
      <c r="Y20" s="3446"/>
      <c r="Z20" s="1261"/>
      <c r="AA20" s="1261"/>
      <c r="AB20" s="1261"/>
      <c r="AC20" s="1261"/>
    </row>
    <row r="21" spans="1:29" ht="15">
      <c r="A21" s="347"/>
      <c r="B21" s="555"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46"/>
      <c r="Q21" s="1260" t="str">
        <f t="shared" si="8"/>
        <v>环境状况</v>
      </c>
      <c r="R21" s="665" t="s">
        <v>14</v>
      </c>
      <c r="S21" s="666">
        <f>F21</f>
        <v>100</v>
      </c>
      <c r="T21" s="665" t="s">
        <v>14</v>
      </c>
      <c r="U21" s="666">
        <f>H21</f>
        <v>100</v>
      </c>
      <c r="V21" s="665" t="s">
        <v>14</v>
      </c>
      <c r="W21" s="666">
        <f>J21</f>
        <v>100</v>
      </c>
      <c r="X21" s="1262"/>
      <c r="Y21" s="3446"/>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46"/>
      <c r="Q22" s="1260"/>
      <c r="R22" s="665"/>
      <c r="S22" s="666"/>
      <c r="T22" s="665"/>
      <c r="U22" s="666"/>
      <c r="V22" s="665"/>
      <c r="W22" s="666"/>
      <c r="X22" s="1262"/>
      <c r="Y22" s="3446"/>
      <c r="Z22" s="1261"/>
      <c r="AA22" s="1261">
        <v>1</v>
      </c>
      <c r="AB22" s="1261">
        <v>1</v>
      </c>
      <c r="AC22" s="1261">
        <v>1</v>
      </c>
    </row>
    <row r="23" spans="1:29" s="102" customFormat="1" ht="15">
      <c r="A23" s="442"/>
      <c r="B23" s="556"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46"/>
      <c r="Q23" s="529" t="str">
        <f t="shared" si="8"/>
        <v>公共配套设施</v>
      </c>
      <c r="R23" s="662" t="s">
        <v>14</v>
      </c>
      <c r="S23" s="663">
        <f>F23</f>
        <v>100</v>
      </c>
      <c r="T23" s="662" t="s">
        <v>14</v>
      </c>
      <c r="U23" s="663">
        <f>H23</f>
        <v>100</v>
      </c>
      <c r="V23" s="662" t="s">
        <v>14</v>
      </c>
      <c r="W23" s="663">
        <f>J23</f>
        <v>100</v>
      </c>
      <c r="X23" s="664"/>
      <c r="Y23" s="3446"/>
      <c r="Z23" s="50" t="str">
        <f>Q23</f>
        <v>公共配套设施</v>
      </c>
      <c r="AA23" s="1261">
        <f>D23/F23</f>
        <v>1</v>
      </c>
      <c r="AB23" s="1261">
        <f>D23/H23</f>
        <v>1</v>
      </c>
      <c r="AC23" s="1261">
        <f>D23/J23</f>
        <v>1</v>
      </c>
    </row>
    <row r="24" spans="1:29" s="102" customFormat="1" ht="15">
      <c r="A24" s="442"/>
      <c r="B24" s="400"/>
      <c r="C24" s="1823"/>
      <c r="D24" s="386"/>
      <c r="E24" s="1755"/>
      <c r="F24" s="386"/>
      <c r="G24" s="1755"/>
      <c r="H24" s="386"/>
      <c r="I24" s="385"/>
      <c r="J24" s="386"/>
      <c r="K24" s="591"/>
      <c r="L24" s="2486"/>
      <c r="M24" s="2437"/>
      <c r="N24" s="2437"/>
      <c r="O24" s="2538"/>
      <c r="P24" s="3446"/>
      <c r="Q24" s="529"/>
      <c r="R24" s="662"/>
      <c r="S24" s="663"/>
      <c r="T24" s="662"/>
      <c r="U24" s="663"/>
      <c r="V24" s="662"/>
      <c r="W24" s="663"/>
      <c r="X24" s="664"/>
      <c r="Y24" s="3446"/>
      <c r="Z24" s="50"/>
      <c r="AA24" s="50">
        <v>1</v>
      </c>
      <c r="AB24" s="50">
        <v>1</v>
      </c>
      <c r="AC24" s="50">
        <v>1</v>
      </c>
    </row>
    <row r="25" spans="1:29" s="102" customFormat="1" ht="15">
      <c r="A25" s="442"/>
      <c r="B25" s="556"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46"/>
      <c r="Q25" s="529" t="str">
        <f t="shared" ref="Q25" si="9">B25</f>
        <v>基础设施水平</v>
      </c>
      <c r="R25" s="662" t="s">
        <v>14</v>
      </c>
      <c r="S25" s="663">
        <f>F25</f>
        <v>100</v>
      </c>
      <c r="T25" s="662" t="s">
        <v>14</v>
      </c>
      <c r="U25" s="663">
        <f>H25</f>
        <v>100</v>
      </c>
      <c r="V25" s="662" t="s">
        <v>14</v>
      </c>
      <c r="W25" s="663">
        <f>J25</f>
        <v>100</v>
      </c>
      <c r="X25" s="664"/>
      <c r="Y25" s="3446"/>
      <c r="Z25" s="50" t="str">
        <f>Q25</f>
        <v>基础设施水平</v>
      </c>
      <c r="AA25" s="1261">
        <f>D25/F25</f>
        <v>1</v>
      </c>
      <c r="AB25" s="1261">
        <f>D25/H25</f>
        <v>1</v>
      </c>
      <c r="AC25" s="1261">
        <f>D25/J25</f>
        <v>1</v>
      </c>
    </row>
    <row r="26" spans="1:29" s="102" customFormat="1" ht="15">
      <c r="A26" s="442"/>
      <c r="B26" s="400"/>
      <c r="C26" s="1823"/>
      <c r="D26" s="386"/>
      <c r="E26" s="1824"/>
      <c r="F26" s="386"/>
      <c r="G26" s="1824"/>
      <c r="H26" s="386"/>
      <c r="I26" s="1824"/>
      <c r="J26" s="386"/>
      <c r="K26" s="591"/>
      <c r="L26" s="2486"/>
      <c r="M26" s="2437"/>
      <c r="N26" s="2437"/>
      <c r="O26" s="2538"/>
      <c r="P26" s="3446"/>
      <c r="Q26" s="529"/>
      <c r="R26" s="662"/>
      <c r="S26" s="663"/>
      <c r="T26" s="662"/>
      <c r="U26" s="663"/>
      <c r="V26" s="662"/>
      <c r="W26" s="663"/>
      <c r="X26" s="664"/>
      <c r="Y26" s="344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4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46"/>
      <c r="Z27" s="1261" t="str">
        <f t="shared" ref="Z27:Z40" si="13">Q27</f>
        <v>临街状况</v>
      </c>
      <c r="AA27" s="1261">
        <f t="shared" si="3"/>
        <v>1</v>
      </c>
      <c r="AB27" s="1261">
        <f t="shared" si="4"/>
        <v>1</v>
      </c>
      <c r="AC27" s="1261">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46"/>
      <c r="Q28" s="1260" t="str">
        <f t="shared" si="8"/>
        <v>毗邻道路的类型与等级</v>
      </c>
      <c r="R28" s="665" t="s">
        <v>14</v>
      </c>
      <c r="S28" s="666">
        <f t="shared" si="10"/>
        <v>100</v>
      </c>
      <c r="T28" s="665" t="s">
        <v>14</v>
      </c>
      <c r="U28" s="666">
        <f t="shared" si="11"/>
        <v>100</v>
      </c>
      <c r="V28" s="665" t="s">
        <v>14</v>
      </c>
      <c r="W28" s="666">
        <f t="shared" si="12"/>
        <v>100</v>
      </c>
      <c r="X28" s="1262"/>
      <c r="Y28" s="3446"/>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46"/>
      <c r="Q29" s="1260"/>
      <c r="R29" s="665"/>
      <c r="S29" s="666"/>
      <c r="T29" s="665"/>
      <c r="U29" s="666"/>
      <c r="V29" s="665"/>
      <c r="W29" s="666"/>
      <c r="X29" s="1262"/>
      <c r="Y29" s="3446"/>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46"/>
      <c r="Q30" s="1260" t="str">
        <f t="shared" si="8"/>
        <v>土地级别</v>
      </c>
      <c r="R30" s="665" t="s">
        <v>14</v>
      </c>
      <c r="S30" s="666">
        <f t="shared" si="10"/>
        <v>100</v>
      </c>
      <c r="T30" s="665" t="s">
        <v>14</v>
      </c>
      <c r="U30" s="666">
        <f t="shared" si="11"/>
        <v>100</v>
      </c>
      <c r="V30" s="665" t="s">
        <v>14</v>
      </c>
      <c r="W30" s="666">
        <f t="shared" si="12"/>
        <v>100</v>
      </c>
      <c r="X30" s="1262"/>
      <c r="Y30" s="3446"/>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46"/>
      <c r="Q31" s="1260">
        <f t="shared" si="8"/>
        <v>111</v>
      </c>
      <c r="R31" s="665" t="s">
        <v>14</v>
      </c>
      <c r="S31" s="666">
        <f t="shared" si="10"/>
        <v>100</v>
      </c>
      <c r="T31" s="665" t="s">
        <v>14</v>
      </c>
      <c r="U31" s="666">
        <f t="shared" si="11"/>
        <v>100</v>
      </c>
      <c r="V31" s="665" t="s">
        <v>14</v>
      </c>
      <c r="W31" s="666">
        <f t="shared" si="12"/>
        <v>100</v>
      </c>
      <c r="X31" s="1262"/>
      <c r="Y31" s="3446"/>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07" t="s">
        <v>1696</v>
      </c>
      <c r="Q32" s="1260">
        <f t="shared" si="8"/>
        <v>111</v>
      </c>
      <c r="R32" s="665" t="s">
        <v>14</v>
      </c>
      <c r="S32" s="666">
        <f t="shared" si="10"/>
        <v>100</v>
      </c>
      <c r="T32" s="665" t="s">
        <v>14</v>
      </c>
      <c r="U32" s="666">
        <f t="shared" si="11"/>
        <v>100</v>
      </c>
      <c r="V32" s="665" t="s">
        <v>14</v>
      </c>
      <c r="W32" s="666">
        <f t="shared" si="12"/>
        <v>100</v>
      </c>
      <c r="X32" s="1262"/>
      <c r="Y32" s="3450" t="s">
        <v>1696</v>
      </c>
      <c r="Z32" s="1261">
        <f t="shared" si="13"/>
        <v>111</v>
      </c>
      <c r="AA32" s="1261">
        <f t="shared" si="3"/>
        <v>1</v>
      </c>
      <c r="AB32" s="1261">
        <f t="shared" si="4"/>
        <v>1</v>
      </c>
      <c r="AC32" s="1261">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50"/>
      <c r="Q33" s="1260">
        <f t="shared" si="8"/>
        <v>111</v>
      </c>
      <c r="R33" s="667" t="s">
        <v>14</v>
      </c>
      <c r="S33" s="668">
        <f t="shared" si="10"/>
        <v>100</v>
      </c>
      <c r="T33" s="667" t="s">
        <v>14</v>
      </c>
      <c r="U33" s="668">
        <f t="shared" si="11"/>
        <v>100</v>
      </c>
      <c r="V33" s="667" t="s">
        <v>14</v>
      </c>
      <c r="W33" s="668">
        <f t="shared" si="12"/>
        <v>100</v>
      </c>
      <c r="X33" s="669"/>
      <c r="Y33" s="3450"/>
      <c r="Z33" s="670">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50"/>
      <c r="Q34" s="1260" t="str">
        <f>B34</f>
        <v>宗地面积</v>
      </c>
      <c r="R34" s="665" t="s">
        <v>14</v>
      </c>
      <c r="S34" s="666" t="e">
        <f t="shared" si="10"/>
        <v>#N/A</v>
      </c>
      <c r="T34" s="665" t="s">
        <v>14</v>
      </c>
      <c r="U34" s="666" t="e">
        <f t="shared" si="11"/>
        <v>#N/A</v>
      </c>
      <c r="V34" s="665" t="s">
        <v>14</v>
      </c>
      <c r="W34" s="666" t="e">
        <f t="shared" si="12"/>
        <v>#N/A</v>
      </c>
      <c r="X34" s="1262"/>
      <c r="Y34" s="3450"/>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50"/>
      <c r="Q35" s="1260" t="str">
        <f t="shared" ref="Q35:Q40" si="14">B35</f>
        <v>宗地形状</v>
      </c>
      <c r="R35" s="665" t="s">
        <v>14</v>
      </c>
      <c r="S35" s="666">
        <f t="shared" si="10"/>
        <v>100</v>
      </c>
      <c r="T35" s="665" t="s">
        <v>14</v>
      </c>
      <c r="U35" s="666">
        <f t="shared" si="11"/>
        <v>100</v>
      </c>
      <c r="V35" s="665" t="s">
        <v>14</v>
      </c>
      <c r="W35" s="666">
        <f t="shared" si="12"/>
        <v>100</v>
      </c>
      <c r="X35" s="1262"/>
      <c r="Y35" s="3450"/>
      <c r="Z35" s="1261" t="str">
        <f t="shared" si="13"/>
        <v>宗地形状</v>
      </c>
      <c r="AA35" s="1261">
        <f t="shared" si="3"/>
        <v>1</v>
      </c>
      <c r="AB35" s="1261">
        <f t="shared" si="4"/>
        <v>1</v>
      </c>
      <c r="AC35" s="1261">
        <f t="shared" si="5"/>
        <v>1</v>
      </c>
    </row>
    <row r="36" spans="1:31" s="102"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50"/>
      <c r="Q36" s="1260" t="str">
        <f t="shared" si="14"/>
        <v>宗地开发程度</v>
      </c>
      <c r="R36" s="662" t="s">
        <v>14</v>
      </c>
      <c r="S36" s="663">
        <f t="shared" si="10"/>
        <v>100</v>
      </c>
      <c r="T36" s="662" t="s">
        <v>14</v>
      </c>
      <c r="U36" s="663">
        <f t="shared" si="11"/>
        <v>100</v>
      </c>
      <c r="V36" s="662" t="s">
        <v>14</v>
      </c>
      <c r="W36" s="663">
        <f t="shared" si="12"/>
        <v>100</v>
      </c>
      <c r="X36" s="664"/>
      <c r="Y36" s="3450"/>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50" t="s">
        <v>1696</v>
      </c>
      <c r="Q37" s="1260" t="str">
        <f t="shared" si="14"/>
        <v>工程地质条件</v>
      </c>
      <c r="R37" s="665" t="s">
        <v>14</v>
      </c>
      <c r="S37" s="666">
        <f t="shared" si="10"/>
        <v>100</v>
      </c>
      <c r="T37" s="665" t="s">
        <v>14</v>
      </c>
      <c r="U37" s="666">
        <f t="shared" si="11"/>
        <v>100</v>
      </c>
      <c r="V37" s="665" t="s">
        <v>14</v>
      </c>
      <c r="W37" s="666">
        <f t="shared" si="12"/>
        <v>100</v>
      </c>
      <c r="X37" s="1262"/>
      <c r="Y37" s="3450"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50"/>
      <c r="Q38" s="1260">
        <f t="shared" si="14"/>
        <v>111</v>
      </c>
      <c r="R38" s="665" t="s">
        <v>14</v>
      </c>
      <c r="S38" s="666">
        <f t="shared" si="10"/>
        <v>100</v>
      </c>
      <c r="T38" s="665" t="s">
        <v>14</v>
      </c>
      <c r="U38" s="666">
        <f t="shared" si="11"/>
        <v>100</v>
      </c>
      <c r="V38" s="665" t="s">
        <v>14</v>
      </c>
      <c r="W38" s="666">
        <f t="shared" si="12"/>
        <v>100</v>
      </c>
      <c r="X38" s="1262"/>
      <c r="Y38" s="3450"/>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50"/>
      <c r="Q39" s="1260">
        <f t="shared" si="14"/>
        <v>111</v>
      </c>
      <c r="R39" s="665" t="s">
        <v>14</v>
      </c>
      <c r="S39" s="666">
        <f t="shared" si="10"/>
        <v>100</v>
      </c>
      <c r="T39" s="665" t="s">
        <v>14</v>
      </c>
      <c r="U39" s="666">
        <f t="shared" si="11"/>
        <v>100</v>
      </c>
      <c r="V39" s="665" t="s">
        <v>14</v>
      </c>
      <c r="W39" s="666">
        <f t="shared" si="12"/>
        <v>100</v>
      </c>
      <c r="X39" s="1262"/>
      <c r="Y39" s="3450"/>
      <c r="Z39" s="1261">
        <f t="shared" si="13"/>
        <v>111</v>
      </c>
      <c r="AA39" s="1261">
        <f t="shared" si="3"/>
        <v>1</v>
      </c>
      <c r="AB39" s="1261">
        <f t="shared" si="4"/>
        <v>1</v>
      </c>
      <c r="AC39" s="1261">
        <f t="shared" si="5"/>
        <v>1</v>
      </c>
    </row>
    <row r="40" spans="1:31" s="407" customFormat="1" ht="15.75"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50"/>
      <c r="Q40" s="1260">
        <f t="shared" si="14"/>
        <v>111</v>
      </c>
      <c r="R40" s="667" t="s">
        <v>14</v>
      </c>
      <c r="S40" s="668">
        <f t="shared" si="10"/>
        <v>100</v>
      </c>
      <c r="T40" s="667" t="s">
        <v>14</v>
      </c>
      <c r="U40" s="668">
        <f t="shared" si="11"/>
        <v>100</v>
      </c>
      <c r="V40" s="667" t="s">
        <v>14</v>
      </c>
      <c r="W40" s="668">
        <f t="shared" si="12"/>
        <v>100</v>
      </c>
      <c r="X40" s="669"/>
      <c r="Y40" s="3450"/>
      <c r="Z40" s="670">
        <f t="shared" si="13"/>
        <v>111</v>
      </c>
      <c r="AA40" s="1261">
        <f t="shared" si="3"/>
        <v>1</v>
      </c>
      <c r="AB40" s="1261">
        <f t="shared" si="4"/>
        <v>1</v>
      </c>
      <c r="AC40" s="1261">
        <f t="shared" si="5"/>
        <v>1</v>
      </c>
    </row>
    <row r="41" spans="1:31" ht="15">
      <c r="A41" s="415" t="s">
        <v>1844</v>
      </c>
      <c r="B41" s="1827" t="s">
        <v>1922</v>
      </c>
      <c r="C41" s="601" t="s">
        <v>0</v>
      </c>
      <c r="D41" s="417"/>
      <c r="E41" s="418"/>
      <c r="F41" s="419"/>
      <c r="G41" s="420"/>
      <c r="H41" s="421"/>
      <c r="I41" s="418"/>
      <c r="J41" s="421"/>
      <c r="K41" s="672"/>
      <c r="L41" s="2492"/>
      <c r="M41" s="2485"/>
      <c r="N41" s="2485"/>
      <c r="O41" s="2485"/>
      <c r="P41" s="3452" t="str">
        <f>A41</f>
        <v>成交单价</v>
      </c>
      <c r="Q41" s="3452"/>
      <c r="R41" s="3440">
        <f>E41</f>
        <v>0</v>
      </c>
      <c r="S41" s="3440"/>
      <c r="T41" s="3440">
        <f>G41</f>
        <v>0</v>
      </c>
      <c r="U41" s="3440"/>
      <c r="V41" s="3440">
        <f>I41</f>
        <v>0</v>
      </c>
      <c r="W41" s="3440"/>
      <c r="X41" s="384"/>
      <c r="Y41" s="671"/>
      <c r="Z41" s="384"/>
      <c r="AA41" s="384"/>
      <c r="AB41" s="384"/>
      <c r="AC41" s="384"/>
    </row>
    <row r="42" spans="1:31" ht="15.75" thickBot="1">
      <c r="A42" s="422" t="s">
        <v>1793</v>
      </c>
      <c r="B42" s="602"/>
      <c r="C42" s="425" t="e">
        <f>R43</f>
        <v>#DIV/0!</v>
      </c>
      <c r="D42" s="2138" t="s">
        <v>2136</v>
      </c>
      <c r="E42" s="425" t="e">
        <f>R42</f>
        <v>#DIV/0!</v>
      </c>
      <c r="F42" s="2139"/>
      <c r="G42" s="424" t="e">
        <f>T42</f>
        <v>#DIV/0!</v>
      </c>
      <c r="H42" s="2139"/>
      <c r="I42" s="425" t="e">
        <f>V42</f>
        <v>#DIV/0!</v>
      </c>
      <c r="J42" s="2139"/>
      <c r="K42" s="2141">
        <f>F42+H42+J42</f>
        <v>0</v>
      </c>
      <c r="L42" s="2492"/>
      <c r="M42" s="2485"/>
      <c r="N42" s="2485"/>
      <c r="O42" s="2485"/>
      <c r="P42" s="3452" t="str">
        <f>A42</f>
        <v>比较价值（元/平方米）</v>
      </c>
      <c r="Q42" s="3452"/>
      <c r="R42" s="3509" t="e">
        <f>ROUND(PRODUCT(R41,AA7:AA40),0)</f>
        <v>#DIV/0!</v>
      </c>
      <c r="S42" s="3509"/>
      <c r="T42" s="3509" t="e">
        <f>ROUND(PRODUCT(T41,AB7:AB40),0)</f>
        <v>#DIV/0!</v>
      </c>
      <c r="U42" s="3509"/>
      <c r="V42" s="3509" t="e">
        <f>ROUND(PRODUCT(V41,AC7:AC40),0)</f>
        <v>#DIV/0!</v>
      </c>
      <c r="W42" s="3509"/>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92"/>
      <c r="M43" s="2485"/>
      <c r="N43" s="2485"/>
      <c r="O43" s="2485"/>
      <c r="P43" s="3491" t="str">
        <f>A43</f>
        <v>估价对象XX用房的比较价值（楼面单价，元/平方米）</v>
      </c>
      <c r="Q43" s="3492"/>
      <c r="R43" s="3510" t="e">
        <f>ROUND(IF(D42="简单平均",AVERAGE(R42:W42),R42*F42+T42*H42+V42*J42),0)</f>
        <v>#DIV/0!</v>
      </c>
      <c r="S43" s="3510"/>
      <c r="T43" s="3510"/>
      <c r="U43" s="3510"/>
      <c r="V43" s="3510"/>
      <c r="W43" s="3510"/>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8" t="s">
        <v>1883</v>
      </c>
      <c r="D50" s="1829" t="s">
        <v>1884</v>
      </c>
      <c r="E50" s="605" t="s">
        <v>1885</v>
      </c>
      <c r="F50" s="606" t="s">
        <v>1886</v>
      </c>
      <c r="G50" s="3427" t="s">
        <v>1887</v>
      </c>
      <c r="H50" s="3511"/>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7">
        <v>1</v>
      </c>
      <c r="E51" s="609">
        <f>'数据-汇总表'!E8+'数据-汇总表'!E9</f>
        <v>77841.440000000002</v>
      </c>
      <c r="F51" s="610" t="e">
        <f t="shared" ref="F51:F60" si="15">ROUND(B51*E51/10000,0)</f>
        <v>#DIV/0!</v>
      </c>
      <c r="G51" s="3423"/>
      <c r="H51" s="3452"/>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88">
        <v>0.25</v>
      </c>
      <c r="E52" s="613"/>
      <c r="F52" s="610" t="e">
        <f t="shared" si="15"/>
        <v>#DIV/0!</v>
      </c>
      <c r="G52" s="2748" t="s">
        <v>1892</v>
      </c>
      <c r="H52" s="832" t="str">
        <f>项目基本情况!B37</f>
        <v>二级</v>
      </c>
      <c r="I52" s="725">
        <f>SUMIF(修正!A59:A70,H52,修正!B59:B70)</f>
        <v>0.7</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88">
        <v>0.25</v>
      </c>
      <c r="E53" s="613"/>
      <c r="F53" s="610" t="e">
        <f t="shared" si="15"/>
        <v>#DIV/0!</v>
      </c>
      <c r="G53" s="2749"/>
      <c r="H53" s="832" t="str">
        <f>项目基本情况!B37</f>
        <v>二级</v>
      </c>
      <c r="I53" s="725">
        <f>SUMIF(修正!A59:A70,H53,修正!C59:C70)</f>
        <v>0.4</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88">
        <v>0.25</v>
      </c>
      <c r="E54" s="613"/>
      <c r="F54" s="610" t="e">
        <f t="shared" si="15"/>
        <v>#DIV/0!</v>
      </c>
      <c r="G54" s="2749"/>
      <c r="H54" s="832" t="str">
        <f>项目基本情况!B37</f>
        <v>二级</v>
      </c>
      <c r="I54" s="725">
        <f>SUMIF(修正!A59:A70,H54,修正!D59:D70)</f>
        <v>0.3</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8"/>
      <c r="E55" s="613"/>
      <c r="F55" s="610"/>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88">
        <v>0.25</v>
      </c>
      <c r="E56" s="208">
        <f>'数据-汇总表'!E11</f>
        <v>2104.87</v>
      </c>
      <c r="F56" s="610" t="e">
        <f t="shared" si="15"/>
        <v>#DIV/0!</v>
      </c>
      <c r="G56" s="1832" t="s">
        <v>1896</v>
      </c>
      <c r="H56" s="832" t="str">
        <f>项目基本情况!C37</f>
        <v>二级</v>
      </c>
      <c r="I56" s="725">
        <f>SUMIF(修正!A59:A70,H56,修正!E59:E70)</f>
        <v>0.3</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88">
        <v>0.25</v>
      </c>
      <c r="E57" s="208">
        <f>'数据-汇总表'!E12</f>
        <v>967.29000000000008</v>
      </c>
      <c r="F57" s="610" t="e">
        <f t="shared" si="15"/>
        <v>#DIV/0!</v>
      </c>
      <c r="G57" s="837" t="s">
        <v>1898</v>
      </c>
      <c r="H57" s="832" t="str">
        <f>IF(G57="商业",项目基本情况!B37,IF(G57="办公",项目基本情况!C37,IF(G57="住宅",项目基本情况!D37,项目基本情况!E37)))</f>
        <v>二级</v>
      </c>
      <c r="I57" s="725">
        <f>SUMIF(修正!A59:A70,H57,修正!F59:F70)</f>
        <v>0.3</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8">
        <v>0.25</v>
      </c>
      <c r="E58" s="208">
        <f>'数据-汇总表'!E13</f>
        <v>2588.69</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88">
        <v>0.25</v>
      </c>
      <c r="E59" s="208">
        <f>'数据-汇总表'!E14</f>
        <v>0</v>
      </c>
      <c r="F59" s="610" t="e">
        <f t="shared" si="15"/>
        <v>#DIV/0!</v>
      </c>
      <c r="G59" s="1832" t="s">
        <v>1892</v>
      </c>
      <c r="H59" s="832" t="str">
        <f>项目基本情况!B37</f>
        <v>二级</v>
      </c>
      <c r="I59" s="725">
        <f>SUMIF(修正!A59:A70,H59,修正!G59:G70)</f>
        <v>0.2</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0.2</v>
      </c>
      <c r="D60" s="888">
        <v>0.25</v>
      </c>
      <c r="E60" s="208">
        <f>'数据-汇总表'!E15</f>
        <v>0</v>
      </c>
      <c r="F60" s="610" t="e">
        <f t="shared" si="15"/>
        <v>#DIV/0!</v>
      </c>
      <c r="G60" s="1833" t="s">
        <v>1896</v>
      </c>
      <c r="H60" s="842" t="str">
        <f>项目基本情况!C37</f>
        <v>二级</v>
      </c>
      <c r="I60" s="725">
        <f>SUMIF(修正!A59:A70,H60,修正!G59:G70)</f>
        <v>0.2</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3"/>
      <c r="L62" s="834"/>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4" t="str">
        <f>YEAR(C7)&amp;"-"&amp;MONTH(C7)&amp;"-1"</f>
        <v>2025-8-1</v>
      </c>
      <c r="D63" s="654">
        <f>EDATE(C63,-3)</f>
        <v>45778</v>
      </c>
      <c r="E63" s="654">
        <f>EDATE(D63,-3)</f>
        <v>45689</v>
      </c>
      <c r="F63" s="654">
        <f t="shared" ref="F63:O63" si="18">EDATE(E63,-3)</f>
        <v>45597</v>
      </c>
      <c r="G63" s="654">
        <f t="shared" si="18"/>
        <v>45505</v>
      </c>
      <c r="H63" s="654">
        <f t="shared" si="18"/>
        <v>45413</v>
      </c>
      <c r="I63" s="654">
        <f t="shared" si="18"/>
        <v>45323</v>
      </c>
      <c r="J63" s="654">
        <f t="shared" si="18"/>
        <v>45231</v>
      </c>
      <c r="K63" s="654">
        <f t="shared" si="18"/>
        <v>45139</v>
      </c>
      <c r="L63" s="654">
        <f t="shared" si="18"/>
        <v>45047</v>
      </c>
      <c r="M63" s="654">
        <f t="shared" si="18"/>
        <v>44958</v>
      </c>
      <c r="N63" s="654">
        <f t="shared" si="18"/>
        <v>44866</v>
      </c>
      <c r="O63" s="654">
        <f t="shared" si="18"/>
        <v>44774</v>
      </c>
      <c r="P63" s="2485"/>
      <c r="Q63" s="2485"/>
      <c r="R63" s="2485"/>
      <c r="S63" s="2485"/>
      <c r="T63" s="2485"/>
      <c r="U63" s="2485"/>
      <c r="V63" s="2485"/>
      <c r="W63" s="2485"/>
      <c r="X63" s="2485"/>
      <c r="Y63" s="2485"/>
      <c r="Z63" s="2485"/>
      <c r="AA63" s="2485"/>
      <c r="AB63" s="2485"/>
      <c r="AC63" s="2485"/>
      <c r="AD63" s="2485"/>
      <c r="AE63" s="2485"/>
    </row>
    <row r="64" spans="1:31" ht="21.75" thickBot="1">
      <c r="A64" s="656" t="s">
        <v>1798</v>
      </c>
      <c r="B64" s="384"/>
      <c r="C64" s="657"/>
      <c r="D64" s="657"/>
      <c r="E64" s="657"/>
      <c r="F64" s="658"/>
      <c r="G64" s="658"/>
      <c r="H64" s="657"/>
      <c r="I64" s="657"/>
      <c r="J64" s="657"/>
      <c r="K64" s="659"/>
      <c r="L64" s="660"/>
      <c r="M64" s="657"/>
      <c r="N64" s="657"/>
      <c r="O64" s="883"/>
      <c r="P64" s="2535"/>
      <c r="Q64" s="2506"/>
      <c r="R64" s="2485"/>
      <c r="S64" s="2485"/>
      <c r="T64" s="2485"/>
      <c r="U64" s="2485"/>
      <c r="V64" s="2485"/>
      <c r="W64" s="2485"/>
      <c r="X64" s="2485"/>
      <c r="Y64" s="2485"/>
      <c r="Z64" s="2485"/>
      <c r="AA64" s="2485"/>
      <c r="AB64" s="2485"/>
      <c r="AC64" s="2485"/>
      <c r="AD64" s="2485"/>
      <c r="AE64" s="2485"/>
    </row>
    <row r="65" spans="1:31" s="441" customFormat="1" ht="15">
      <c r="A65" s="1627" t="s">
        <v>1904</v>
      </c>
      <c r="B65" s="1043"/>
      <c r="C65" s="1098" t="str">
        <f>YEAR(C63)&amp;"-"&amp;ROUNDUP(MONTH(C63)/3,0)</f>
        <v>2025-3</v>
      </c>
      <c r="D65" s="1098" t="str">
        <f t="shared" ref="D65:O65" si="19">YEAR(D63)&amp;"-"&amp;ROUNDUP(MONTH(D63)/3,0)</f>
        <v>2025-2</v>
      </c>
      <c r="E65" s="1098" t="str">
        <f t="shared" si="19"/>
        <v>2025-1</v>
      </c>
      <c r="F65" s="1098" t="str">
        <f t="shared" si="19"/>
        <v>2024-4</v>
      </c>
      <c r="G65" s="1098" t="str">
        <f t="shared" si="19"/>
        <v>2024-3</v>
      </c>
      <c r="H65" s="1098" t="str">
        <f t="shared" si="19"/>
        <v>2024-2</v>
      </c>
      <c r="I65" s="1098" t="str">
        <f t="shared" si="19"/>
        <v>2024-1</v>
      </c>
      <c r="J65" s="1098" t="str">
        <f t="shared" si="19"/>
        <v>2023-4</v>
      </c>
      <c r="K65" s="1098" t="str">
        <f t="shared" si="19"/>
        <v>2023-3</v>
      </c>
      <c r="L65" s="1098" t="str">
        <f t="shared" si="19"/>
        <v>2023-2</v>
      </c>
      <c r="M65" s="1098" t="str">
        <f t="shared" si="19"/>
        <v>2023-1</v>
      </c>
      <c r="N65" s="1098" t="str">
        <f t="shared" si="19"/>
        <v>2022-4</v>
      </c>
      <c r="O65" s="1098"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81912</v>
      </c>
      <c r="C2" s="1981" t="s">
        <v>2074</v>
      </c>
      <c r="D2" s="1981" t="s">
        <v>2075</v>
      </c>
      <c r="E2" s="2395">
        <f ca="1">SUMIF(E6:E13,"&lt;&gt;#ref!",E6:E13)</f>
        <v>34499.08</v>
      </c>
      <c r="F2" s="2542"/>
      <c r="G2" s="2542"/>
      <c r="H2" s="2542"/>
      <c r="I2" s="2542"/>
      <c r="J2" s="2542"/>
      <c r="K2" s="2542"/>
      <c r="L2" s="2542"/>
      <c r="M2" s="2542"/>
      <c r="N2" s="2542"/>
      <c r="O2" s="2542"/>
      <c r="P2" s="2542"/>
    </row>
    <row r="3" spans="1:16" ht="15.75">
      <c r="A3" s="1981" t="s">
        <v>2076</v>
      </c>
      <c r="B3" s="2385">
        <f ca="1">ROUND(B2*10000/E2,0)</f>
        <v>23743</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81912</v>
      </c>
      <c r="C6" s="1981" t="s">
        <v>2074</v>
      </c>
      <c r="D6" s="2542"/>
      <c r="E6" s="2395">
        <f ca="1">SUMIF(INDIRECT("'"&amp;A6&amp;"'"&amp;"!C:C"),"建筑面积",INDIRECT("'"&amp;A6&amp;"'"&amp;"!D:D"))</f>
        <v>34499.08</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2583</v>
      </c>
      <c r="B1" s="2809" t="s">
        <v>2584</v>
      </c>
      <c r="C1" s="2809" t="s">
        <v>2585</v>
      </c>
      <c r="D1" s="2809" t="s">
        <v>2586</v>
      </c>
      <c r="E1" s="2809" t="s">
        <v>2587</v>
      </c>
      <c r="F1" s="2809" t="s">
        <v>2588</v>
      </c>
      <c r="G1" s="2809" t="s">
        <v>2589</v>
      </c>
      <c r="H1" s="2809" t="s">
        <v>2590</v>
      </c>
      <c r="I1" s="2809" t="s">
        <v>2591</v>
      </c>
      <c r="J1" s="2809" t="s">
        <v>2592</v>
      </c>
      <c r="K1" s="2809" t="s">
        <v>2593</v>
      </c>
      <c r="L1" s="2809" t="s">
        <v>2594</v>
      </c>
      <c r="M1" s="2810" t="s">
        <v>2595</v>
      </c>
    </row>
    <row r="2" spans="1:13" ht="19.5" customHeight="1">
      <c r="A2" s="2812" t="s">
        <v>2596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2612</v>
      </c>
      <c r="B18" s="2834"/>
      <c r="C18" s="2835"/>
      <c r="D18" s="2835"/>
      <c r="E18" s="2834"/>
      <c r="F18" s="2835"/>
      <c r="G18" s="2835"/>
    </row>
    <row r="19" spans="1:13" ht="19.5" customHeight="1" thickBot="1">
      <c r="A19" s="2832" t="s">
        <v>2613</v>
      </c>
      <c r="B19" s="2837" t="s">
        <v>2614</v>
      </c>
      <c r="C19" s="2837" t="s">
        <v>2615</v>
      </c>
      <c r="D19" s="2838"/>
      <c r="E19" s="2832" t="s">
        <v>2616</v>
      </c>
      <c r="F19" s="2839"/>
      <c r="G19" s="2839"/>
    </row>
    <row r="20" spans="1:13" ht="19.5" customHeight="1">
      <c r="A20" s="3526" t="s">
        <v>2596</v>
      </c>
      <c r="B20" s="3516" t="s">
        <v>2617</v>
      </c>
      <c r="C20" s="3166" t="s">
        <v>2428</v>
      </c>
      <c r="D20" s="3166"/>
      <c r="E20" s="2842">
        <v>1</v>
      </c>
      <c r="F20" s="2843" t="s">
        <v>2429</v>
      </c>
      <c r="G20" s="2843"/>
    </row>
    <row r="21" spans="1:13" ht="19.5" customHeight="1">
      <c r="A21" s="3527"/>
      <c r="B21" s="3517"/>
      <c r="C21" s="2855" t="s">
        <v>2430</v>
      </c>
      <c r="D21" s="2855"/>
      <c r="E21" s="2846">
        <v>1</v>
      </c>
      <c r="F21" s="2843" t="s">
        <v>2431</v>
      </c>
      <c r="G21" s="2843"/>
    </row>
    <row r="22" spans="1:13" ht="19.5" customHeight="1">
      <c r="A22" s="3527"/>
      <c r="B22" s="3517"/>
      <c r="C22" s="2855" t="s">
        <v>2432</v>
      </c>
      <c r="D22" s="2855"/>
      <c r="E22" s="2846">
        <v>0.9</v>
      </c>
      <c r="F22" s="2843" t="s">
        <v>2433</v>
      </c>
      <c r="G22" s="2843"/>
    </row>
    <row r="23" spans="1:13" ht="19.5" customHeight="1">
      <c r="A23" s="3527"/>
      <c r="B23" s="3517"/>
      <c r="C23" s="2855" t="s">
        <v>2434</v>
      </c>
      <c r="D23" s="2855"/>
      <c r="E23" s="2846">
        <v>0.9</v>
      </c>
      <c r="F23" s="2843" t="s">
        <v>2435</v>
      </c>
      <c r="G23" s="2843"/>
    </row>
    <row r="24" spans="1:13" ht="19.5" customHeight="1">
      <c r="A24" s="3527"/>
      <c r="B24" s="3517"/>
      <c r="C24" s="2855" t="s">
        <v>2436</v>
      </c>
      <c r="D24" s="2855"/>
      <c r="E24" s="2846">
        <v>0.8</v>
      </c>
      <c r="F24" s="2843" t="s">
        <v>2437</v>
      </c>
      <c r="G24" s="2843"/>
    </row>
    <row r="25" spans="1:13" ht="19.5" customHeight="1">
      <c r="A25" s="3527"/>
      <c r="B25" s="3517"/>
      <c r="C25" s="2855" t="s">
        <v>2438</v>
      </c>
      <c r="D25" s="2855"/>
      <c r="E25" s="2846">
        <v>0.8</v>
      </c>
      <c r="F25" s="2843"/>
      <c r="G25" s="2843"/>
    </row>
    <row r="26" spans="1:13" ht="19.5" customHeight="1">
      <c r="A26" s="3527"/>
      <c r="B26" s="3517"/>
      <c r="C26" s="2855" t="s">
        <v>3401</v>
      </c>
      <c r="D26" s="2855"/>
      <c r="E26" s="2846">
        <v>0.43</v>
      </c>
      <c r="F26" s="2843"/>
      <c r="G26" s="2843"/>
    </row>
    <row r="27" spans="1:13" ht="19.5" customHeight="1" thickBot="1">
      <c r="A27" s="3528"/>
      <c r="B27" s="3518"/>
      <c r="C27" s="3162" t="s">
        <v>3402</v>
      </c>
      <c r="D27" s="3162"/>
      <c r="E27" s="2849">
        <f>E26*0.9</f>
        <v>0.38700000000000001</v>
      </c>
      <c r="F27" s="2843" t="s">
        <v>2439</v>
      </c>
      <c r="G27" s="2843"/>
    </row>
    <row r="28" spans="1:13" ht="19.5" customHeight="1" thickBot="1">
      <c r="A28" s="3161" t="s">
        <v>2618</v>
      </c>
      <c r="B28" s="3160" t="s">
        <v>2617</v>
      </c>
      <c r="C28" s="3163" t="s">
        <v>2619</v>
      </c>
      <c r="D28" s="3164"/>
      <c r="E28" s="3165">
        <v>1</v>
      </c>
      <c r="F28" s="2843" t="s">
        <v>2440</v>
      </c>
      <c r="G28" s="2843"/>
    </row>
    <row r="29" spans="1:13" ht="19.5" customHeight="1">
      <c r="A29" s="3519" t="s">
        <v>2620</v>
      </c>
      <c r="B29" s="3522" t="s">
        <v>2601</v>
      </c>
      <c r="C29" s="2840" t="s">
        <v>2441</v>
      </c>
      <c r="D29" s="2841"/>
      <c r="E29" s="2842">
        <v>1</v>
      </c>
      <c r="F29" s="2843" t="s">
        <v>2442</v>
      </c>
      <c r="G29" s="2843"/>
    </row>
    <row r="30" spans="1:13" ht="19.5" customHeight="1">
      <c r="A30" s="3520"/>
      <c r="B30" s="3523"/>
      <c r="C30" s="2844" t="s">
        <v>2443</v>
      </c>
      <c r="D30" s="2845"/>
      <c r="E30" s="2846">
        <v>1</v>
      </c>
      <c r="F30" s="2843" t="s">
        <v>2444</v>
      </c>
      <c r="G30" s="2843"/>
    </row>
    <row r="31" spans="1:13" ht="19.5" customHeight="1">
      <c r="A31" s="3520"/>
      <c r="B31" s="3523"/>
      <c r="C31" s="2844" t="s">
        <v>2445</v>
      </c>
      <c r="D31" s="2845"/>
      <c r="E31" s="2846">
        <v>0.8</v>
      </c>
      <c r="F31" s="2843" t="s">
        <v>2446</v>
      </c>
      <c r="G31" s="2843"/>
    </row>
    <row r="32" spans="1:13" ht="19.5" customHeight="1">
      <c r="A32" s="3520"/>
      <c r="B32" s="3523"/>
      <c r="C32" s="2844" t="s">
        <v>2447</v>
      </c>
      <c r="D32" s="2845"/>
      <c r="E32" s="2846">
        <v>0.8</v>
      </c>
      <c r="F32" s="2843" t="s">
        <v>2448</v>
      </c>
      <c r="G32" s="2843"/>
    </row>
    <row r="33" spans="1:7" ht="19.5" customHeight="1">
      <c r="A33" s="3520"/>
      <c r="B33" s="3523"/>
      <c r="C33" s="2844" t="s">
        <v>2449</v>
      </c>
      <c r="D33" s="2845"/>
      <c r="E33" s="2846">
        <v>0.8</v>
      </c>
      <c r="F33" s="2843" t="s">
        <v>2450</v>
      </c>
      <c r="G33" s="2843"/>
    </row>
    <row r="34" spans="1:7" ht="19.5" customHeight="1">
      <c r="A34" s="3520"/>
      <c r="B34" s="3523"/>
      <c r="C34" s="2844" t="s">
        <v>2451</v>
      </c>
      <c r="D34" s="2845"/>
      <c r="E34" s="2846">
        <v>0.7</v>
      </c>
      <c r="F34" s="2843" t="s">
        <v>2452</v>
      </c>
      <c r="G34" s="2843"/>
    </row>
    <row r="35" spans="1:7" ht="19.5" customHeight="1">
      <c r="A35" s="3520"/>
      <c r="B35" s="3523"/>
      <c r="C35" s="2844" t="s">
        <v>2453</v>
      </c>
      <c r="D35" s="2845"/>
      <c r="E35" s="2846">
        <v>0.8</v>
      </c>
      <c r="F35" s="2843" t="s">
        <v>2454</v>
      </c>
      <c r="G35" s="2843"/>
    </row>
    <row r="36" spans="1:7" ht="19.5" customHeight="1">
      <c r="A36" s="3520"/>
      <c r="B36" s="3523"/>
      <c r="C36" s="2844" t="s">
        <v>2455</v>
      </c>
      <c r="D36" s="2845"/>
      <c r="E36" s="2846">
        <v>0.6</v>
      </c>
      <c r="F36" s="2843" t="s">
        <v>2456</v>
      </c>
      <c r="G36" s="2843"/>
    </row>
    <row r="37" spans="1:7" ht="19.5" customHeight="1">
      <c r="A37" s="3520"/>
      <c r="B37" s="3523"/>
      <c r="C37" s="2844" t="s">
        <v>2457</v>
      </c>
      <c r="D37" s="2845"/>
      <c r="E37" s="2846">
        <v>0.2</v>
      </c>
      <c r="F37" s="2843" t="s">
        <v>2458</v>
      </c>
      <c r="G37" s="2843"/>
    </row>
    <row r="38" spans="1:7" ht="19.5" customHeight="1">
      <c r="A38" s="3520"/>
      <c r="B38" s="3523"/>
      <c r="C38" s="2844" t="s">
        <v>2459</v>
      </c>
      <c r="D38" s="2845"/>
      <c r="E38" s="2846">
        <v>0.2</v>
      </c>
      <c r="F38" s="2843" t="s">
        <v>2460</v>
      </c>
      <c r="G38" s="2843"/>
    </row>
    <row r="39" spans="1:7" ht="19.5" customHeight="1">
      <c r="A39" s="3520"/>
      <c r="B39" s="3524" t="s">
        <v>2621</v>
      </c>
      <c r="C39" s="2844" t="s">
        <v>2461</v>
      </c>
      <c r="D39" s="2845"/>
      <c r="E39" s="2846">
        <v>0.6</v>
      </c>
      <c r="F39" s="2843" t="s">
        <v>2462</v>
      </c>
      <c r="G39" s="2843"/>
    </row>
    <row r="40" spans="1:7" ht="19.5" customHeight="1">
      <c r="A40" s="3520"/>
      <c r="B40" s="3523"/>
      <c r="C40" s="2844" t="s">
        <v>2463</v>
      </c>
      <c r="D40" s="2845"/>
      <c r="E40" s="2846">
        <v>0.6</v>
      </c>
      <c r="F40" s="2843" t="s">
        <v>2464</v>
      </c>
      <c r="G40" s="2843"/>
    </row>
    <row r="41" spans="1:7" ht="19.5" customHeight="1" thickBot="1">
      <c r="A41" s="3521"/>
      <c r="B41" s="3525"/>
      <c r="C41" s="2847" t="s">
        <v>2465</v>
      </c>
      <c r="D41" s="2848"/>
      <c r="E41" s="2849">
        <v>0.6</v>
      </c>
      <c r="F41" s="2843" t="s">
        <v>2466</v>
      </c>
      <c r="G41" s="2843"/>
    </row>
    <row r="42" spans="1:7" ht="19.5" customHeight="1" thickBot="1">
      <c r="A42" s="2850" t="s">
        <v>2598</v>
      </c>
      <c r="B42" s="2851" t="s">
        <v>2598</v>
      </c>
      <c r="C42" s="2852" t="s">
        <v>2622</v>
      </c>
      <c r="D42" s="2853"/>
      <c r="E42" s="2854">
        <v>1</v>
      </c>
      <c r="F42" s="2843" t="s">
        <v>2467</v>
      </c>
      <c r="G42" s="2843"/>
    </row>
    <row r="43" spans="1:7" ht="19.5" customHeight="1">
      <c r="A43" s="3526" t="s">
        <v>2599</v>
      </c>
      <c r="B43" s="3522" t="s">
        <v>2623</v>
      </c>
      <c r="C43" s="2840" t="s">
        <v>2468</v>
      </c>
      <c r="D43" s="2841"/>
      <c r="E43" s="2842">
        <v>1</v>
      </c>
      <c r="F43" s="2843" t="s">
        <v>2469</v>
      </c>
      <c r="G43" s="2843"/>
    </row>
    <row r="44" spans="1:7" ht="19.5" customHeight="1">
      <c r="A44" s="3527"/>
      <c r="B44" s="3523"/>
      <c r="C44" s="2844" t="s">
        <v>2470</v>
      </c>
      <c r="D44" s="2845"/>
      <c r="E44" s="2846">
        <v>1</v>
      </c>
      <c r="F44" s="2843" t="s">
        <v>2471</v>
      </c>
      <c r="G44" s="2843"/>
    </row>
    <row r="45" spans="1:7" ht="19.5" customHeight="1">
      <c r="A45" s="3527"/>
      <c r="B45" s="3529"/>
      <c r="C45" s="2844" t="s">
        <v>2472</v>
      </c>
      <c r="D45" s="2845"/>
      <c r="E45" s="2846">
        <v>1.5</v>
      </c>
      <c r="F45" s="2843" t="s">
        <v>2473</v>
      </c>
      <c r="G45" s="2843"/>
    </row>
    <row r="46" spans="1:7" ht="19.5" customHeight="1">
      <c r="A46" s="3527"/>
      <c r="B46" s="2855" t="s">
        <v>2624</v>
      </c>
      <c r="C46" s="2844" t="s">
        <v>2625</v>
      </c>
      <c r="D46" s="2845"/>
      <c r="E46" s="2846">
        <v>2</v>
      </c>
      <c r="F46" s="2843" t="s">
        <v>2474</v>
      </c>
      <c r="G46" s="2843"/>
    </row>
    <row r="47" spans="1:7" ht="19.5" customHeight="1">
      <c r="A47" s="3527"/>
      <c r="B47" s="3524" t="s">
        <v>2626</v>
      </c>
      <c r="C47" s="2844" t="s">
        <v>2475</v>
      </c>
      <c r="D47" s="2845"/>
      <c r="E47" s="2846">
        <v>1</v>
      </c>
      <c r="F47" s="2843" t="s">
        <v>2476</v>
      </c>
      <c r="G47" s="2843"/>
    </row>
    <row r="48" spans="1:7" ht="19.5" customHeight="1">
      <c r="A48" s="3527"/>
      <c r="B48" s="3523"/>
      <c r="C48" s="2844" t="s">
        <v>2477</v>
      </c>
      <c r="D48" s="2845"/>
      <c r="E48" s="2846">
        <v>1</v>
      </c>
      <c r="F48" s="2843" t="s">
        <v>2478</v>
      </c>
      <c r="G48" s="2843"/>
    </row>
    <row r="49" spans="1:7" ht="19.5" customHeight="1">
      <c r="A49" s="3527"/>
      <c r="B49" s="3523"/>
      <c r="C49" s="2844" t="s">
        <v>2479</v>
      </c>
      <c r="D49" s="2845"/>
      <c r="E49" s="2846">
        <v>1</v>
      </c>
      <c r="F49" s="2843" t="s">
        <v>2480</v>
      </c>
      <c r="G49" s="2843"/>
    </row>
    <row r="50" spans="1:7" ht="19.5" customHeight="1">
      <c r="A50" s="3527"/>
      <c r="B50" s="3523"/>
      <c r="C50" s="2844" t="s">
        <v>2481</v>
      </c>
      <c r="D50" s="2845"/>
      <c r="E50" s="2846">
        <v>1</v>
      </c>
      <c r="F50" s="2843" t="s">
        <v>2482</v>
      </c>
      <c r="G50" s="2843"/>
    </row>
    <row r="51" spans="1:7" ht="19.5" customHeight="1">
      <c r="A51" s="3527"/>
      <c r="B51" s="3523"/>
      <c r="C51" s="2844" t="s">
        <v>2483</v>
      </c>
      <c r="D51" s="2845"/>
      <c r="E51" s="2846">
        <v>1</v>
      </c>
      <c r="F51" s="2843" t="s">
        <v>2484</v>
      </c>
      <c r="G51" s="2843"/>
    </row>
    <row r="52" spans="1:7" ht="19.5" customHeight="1">
      <c r="A52" s="3527"/>
      <c r="B52" s="3523"/>
      <c r="C52" s="2844" t="s">
        <v>2485</v>
      </c>
      <c r="D52" s="2845"/>
      <c r="E52" s="2846">
        <v>1</v>
      </c>
      <c r="F52" s="2843" t="s">
        <v>2486</v>
      </c>
      <c r="G52" s="2843"/>
    </row>
    <row r="53" spans="1:7" ht="19.5" customHeight="1" thickBot="1">
      <c r="A53" s="3528"/>
      <c r="B53" s="3525"/>
      <c r="C53" s="2847" t="s">
        <v>2487</v>
      </c>
      <c r="D53" s="2848"/>
      <c r="E53" s="2849">
        <v>1</v>
      </c>
      <c r="F53" s="2843" t="s">
        <v>2488</v>
      </c>
      <c r="G53" s="2843"/>
    </row>
    <row r="54" spans="1:7" ht="19.5" customHeight="1">
      <c r="A54" s="2856"/>
      <c r="B54" s="2856"/>
      <c r="C54" s="2856"/>
      <c r="D54" s="2856"/>
      <c r="E54" s="2856"/>
      <c r="F54" s="2856"/>
      <c r="G54" s="2856"/>
    </row>
    <row r="56" spans="1:7" ht="19.5" customHeight="1">
      <c r="A56" s="2857"/>
      <c r="B56" s="2829" t="s">
        <v>2627</v>
      </c>
      <c r="C56" s="2829" t="s">
        <v>2627</v>
      </c>
      <c r="D56" s="2829" t="s">
        <v>2627</v>
      </c>
      <c r="E56" s="2832" t="s">
        <v>2627</v>
      </c>
      <c r="F56" s="2832" t="s">
        <v>2628</v>
      </c>
      <c r="G56" s="2832" t="s">
        <v>2629</v>
      </c>
    </row>
    <row r="57" spans="1:7" ht="19.5" customHeight="1">
      <c r="A57" s="2858"/>
      <c r="B57" s="2832" t="s">
        <v>2596</v>
      </c>
      <c r="C57" s="2832" t="s">
        <v>2596</v>
      </c>
      <c r="D57" s="2832" t="s">
        <v>2596</v>
      </c>
      <c r="E57" s="2829" t="s">
        <v>2597</v>
      </c>
      <c r="F57" s="2829" t="s">
        <v>2599</v>
      </c>
      <c r="G57" s="2829" t="s">
        <v>2630</v>
      </c>
    </row>
    <row r="58" spans="1:7" ht="19.5" customHeight="1">
      <c r="A58" s="2859"/>
      <c r="B58" s="2829">
        <v>1</v>
      </c>
      <c r="C58" s="2829">
        <v>2</v>
      </c>
      <c r="D58" s="2829">
        <v>3</v>
      </c>
      <c r="E58" s="2860" t="s">
        <v>2631</v>
      </c>
      <c r="F58" s="2860" t="s">
        <v>2631</v>
      </c>
      <c r="G58" s="2860" t="s">
        <v>2631</v>
      </c>
    </row>
    <row r="59" spans="1:7" ht="19.5" customHeight="1">
      <c r="A59" s="2861" t="s">
        <v>2584</v>
      </c>
      <c r="B59" s="2829">
        <v>0.7</v>
      </c>
      <c r="C59" s="2829">
        <v>0.4</v>
      </c>
      <c r="D59" s="2829">
        <v>0.3</v>
      </c>
      <c r="E59" s="2860">
        <v>0.3</v>
      </c>
      <c r="F59" s="2829">
        <v>0.3</v>
      </c>
      <c r="G59" s="2829">
        <v>0.2</v>
      </c>
    </row>
    <row r="60" spans="1:7" ht="19.5" customHeight="1">
      <c r="A60" s="2861" t="s">
        <v>2585</v>
      </c>
      <c r="B60" s="2829">
        <v>0.7</v>
      </c>
      <c r="C60" s="2829">
        <v>0.4</v>
      </c>
      <c r="D60" s="2829">
        <v>0.3</v>
      </c>
      <c r="E60" s="2829">
        <v>0.3</v>
      </c>
      <c r="F60" s="2829">
        <v>0.3</v>
      </c>
      <c r="G60" s="2829">
        <v>0.2</v>
      </c>
    </row>
    <row r="61" spans="1:7" ht="19.5" customHeight="1">
      <c r="A61" s="2861" t="s">
        <v>2586</v>
      </c>
      <c r="B61" s="2829">
        <v>0.6</v>
      </c>
      <c r="C61" s="2829">
        <v>0.3</v>
      </c>
      <c r="D61" s="2829">
        <v>0.25</v>
      </c>
      <c r="E61" s="2829">
        <v>0.25</v>
      </c>
      <c r="F61" s="2829">
        <v>0.25</v>
      </c>
      <c r="G61" s="2829">
        <v>0.15</v>
      </c>
    </row>
    <row r="62" spans="1:7" ht="19.5" customHeight="1">
      <c r="A62" s="2861" t="s">
        <v>2587</v>
      </c>
      <c r="B62" s="2829">
        <v>0.6</v>
      </c>
      <c r="C62" s="2829">
        <v>0.3</v>
      </c>
      <c r="D62" s="2829">
        <v>0.25</v>
      </c>
      <c r="E62" s="2829">
        <v>0.25</v>
      </c>
      <c r="F62" s="2829">
        <v>0.25</v>
      </c>
      <c r="G62" s="2829">
        <v>0.15</v>
      </c>
    </row>
    <row r="63" spans="1:7" ht="19.5" customHeight="1">
      <c r="A63" s="2861" t="s">
        <v>2588</v>
      </c>
      <c r="B63" s="2829">
        <v>0.6</v>
      </c>
      <c r="C63" s="2829">
        <v>0.3</v>
      </c>
      <c r="D63" s="2829">
        <v>0.25</v>
      </c>
      <c r="E63" s="2829">
        <v>0.25</v>
      </c>
      <c r="F63" s="2829">
        <v>0.25</v>
      </c>
      <c r="G63" s="2829">
        <v>0.15</v>
      </c>
    </row>
    <row r="64" spans="1:7" ht="19.5" customHeight="1">
      <c r="A64" s="2861" t="s">
        <v>2589</v>
      </c>
      <c r="B64" s="2829">
        <v>0.6</v>
      </c>
      <c r="C64" s="2829">
        <v>0.3</v>
      </c>
      <c r="D64" s="2829">
        <v>0.25</v>
      </c>
      <c r="E64" s="2829">
        <v>0.25</v>
      </c>
      <c r="F64" s="2829">
        <v>0.25</v>
      </c>
      <c r="G64" s="2829">
        <v>0.15</v>
      </c>
    </row>
    <row r="65" spans="1:7" ht="19.5" customHeight="1">
      <c r="A65" s="2861" t="s">
        <v>2590</v>
      </c>
      <c r="B65" s="2829">
        <v>0.6</v>
      </c>
      <c r="C65" s="2829">
        <v>0.3</v>
      </c>
      <c r="D65" s="2829">
        <v>0.25</v>
      </c>
      <c r="E65" s="2829">
        <v>0.25</v>
      </c>
      <c r="F65" s="2829">
        <v>0.25</v>
      </c>
      <c r="G65" s="2829">
        <v>0.15</v>
      </c>
    </row>
    <row r="66" spans="1:7" ht="19.5" customHeight="1">
      <c r="A66" s="2861" t="s">
        <v>2591</v>
      </c>
      <c r="B66" s="2829">
        <v>0.5</v>
      </c>
      <c r="C66" s="2829">
        <v>0.2</v>
      </c>
      <c r="D66" s="2829">
        <v>0.2</v>
      </c>
      <c r="E66" s="2829">
        <v>0.2</v>
      </c>
      <c r="F66" s="2829">
        <v>0.2</v>
      </c>
      <c r="G66" s="2829">
        <v>0.1</v>
      </c>
    </row>
    <row r="67" spans="1:7" ht="19.5" customHeight="1">
      <c r="A67" s="2861" t="s">
        <v>2592</v>
      </c>
      <c r="B67" s="2829">
        <v>0.5</v>
      </c>
      <c r="C67" s="2829">
        <v>0.2</v>
      </c>
      <c r="D67" s="2829">
        <v>0.2</v>
      </c>
      <c r="E67" s="2829">
        <v>0.2</v>
      </c>
      <c r="F67" s="2829">
        <v>0.2</v>
      </c>
      <c r="G67" s="2829">
        <v>0.1</v>
      </c>
    </row>
    <row r="68" spans="1:7" ht="19.5" customHeight="1">
      <c r="A68" s="2861" t="s">
        <v>2593</v>
      </c>
      <c r="B68" s="2829">
        <v>0.5</v>
      </c>
      <c r="C68" s="2829">
        <v>0.2</v>
      </c>
      <c r="D68" s="2829">
        <v>0.2</v>
      </c>
      <c r="E68" s="2829">
        <v>0.2</v>
      </c>
      <c r="F68" s="2829">
        <v>0.2</v>
      </c>
      <c r="G68" s="2829">
        <v>0.1</v>
      </c>
    </row>
    <row r="69" spans="1:7" ht="19.5" customHeight="1">
      <c r="A69" s="2861" t="s">
        <v>2594</v>
      </c>
      <c r="B69" s="2829">
        <v>0.5</v>
      </c>
      <c r="C69" s="2829">
        <v>0.2</v>
      </c>
      <c r="D69" s="2829">
        <v>0.2</v>
      </c>
      <c r="E69" s="2829">
        <v>0.2</v>
      </c>
      <c r="F69" s="2829">
        <v>0.2</v>
      </c>
      <c r="G69" s="2829">
        <v>0.1</v>
      </c>
    </row>
    <row r="70" spans="1:7" ht="19.5" customHeight="1">
      <c r="A70" s="2861" t="s">
        <v>2595</v>
      </c>
      <c r="B70" s="2829">
        <v>0.5</v>
      </c>
      <c r="C70" s="2829">
        <v>0.2</v>
      </c>
      <c r="D70" s="2829">
        <v>0.2</v>
      </c>
      <c r="E70" s="2829">
        <v>0.2</v>
      </c>
      <c r="F70" s="2829">
        <v>0.2</v>
      </c>
      <c r="G70" s="2829">
        <v>0.1</v>
      </c>
    </row>
    <row r="72" spans="1:7" ht="19.5" customHeight="1">
      <c r="A72" s="2843"/>
      <c r="B72" s="2862"/>
      <c r="C72" s="2862"/>
      <c r="D72" s="2862" t="s">
        <v>2632</v>
      </c>
      <c r="E72" s="2862"/>
      <c r="F72" s="2862"/>
    </row>
    <row r="73" spans="1:7" ht="19.5" customHeight="1">
      <c r="A73" s="2855" t="s">
        <v>2633</v>
      </c>
      <c r="B73" s="2855" t="s">
        <v>2634</v>
      </c>
      <c r="C73" s="2855" t="s">
        <v>2635</v>
      </c>
      <c r="D73" s="2855" t="s">
        <v>2636</v>
      </c>
      <c r="E73" s="2855" t="s">
        <v>2637</v>
      </c>
      <c r="F73" s="2855" t="s">
        <v>2638</v>
      </c>
    </row>
    <row r="74" spans="1:7" ht="13.5">
      <c r="A74" s="2855"/>
      <c r="B74" s="2855"/>
      <c r="C74" s="2855" t="s">
        <v>2639</v>
      </c>
      <c r="D74" s="2855"/>
      <c r="E74" s="2855" t="s">
        <v>2610</v>
      </c>
      <c r="F74" s="2855" t="s">
        <v>2610</v>
      </c>
    </row>
    <row r="75" spans="1:7" ht="13.5">
      <c r="A75" s="2855">
        <v>1</v>
      </c>
      <c r="B75" s="3524" t="s">
        <v>2640</v>
      </c>
      <c r="C75" s="2829" t="s">
        <v>2641</v>
      </c>
      <c r="D75" s="2829" t="s">
        <v>2642</v>
      </c>
      <c r="E75" s="2855">
        <v>0.2</v>
      </c>
      <c r="F75" s="2855">
        <v>25</v>
      </c>
    </row>
    <row r="76" spans="1:7" ht="24">
      <c r="A76" s="2855">
        <v>2</v>
      </c>
      <c r="B76" s="3523"/>
      <c r="C76" s="2829" t="s">
        <v>2643</v>
      </c>
      <c r="D76" s="2829" t="s">
        <v>2644</v>
      </c>
      <c r="E76" s="2855">
        <v>0.2</v>
      </c>
      <c r="F76" s="2855">
        <v>25</v>
      </c>
    </row>
    <row r="77" spans="1:7" ht="24">
      <c r="A77" s="2855">
        <v>3</v>
      </c>
      <c r="B77" s="3523"/>
      <c r="C77" s="2829" t="s">
        <v>2645</v>
      </c>
      <c r="D77" s="2829" t="s">
        <v>2646</v>
      </c>
      <c r="E77" s="2855">
        <v>0.2</v>
      </c>
      <c r="F77" s="2855">
        <v>25</v>
      </c>
    </row>
    <row r="78" spans="1:7" ht="13.5">
      <c r="A78" s="2855">
        <v>4</v>
      </c>
      <c r="B78" s="3523"/>
      <c r="C78" s="2829" t="s">
        <v>2647</v>
      </c>
      <c r="D78" s="2829" t="s">
        <v>2648</v>
      </c>
      <c r="E78" s="2855">
        <v>0.15</v>
      </c>
      <c r="F78" s="2855">
        <v>20</v>
      </c>
    </row>
    <row r="79" spans="1:7" ht="24">
      <c r="A79" s="2855">
        <v>5</v>
      </c>
      <c r="B79" s="3523"/>
      <c r="C79" s="2829" t="s">
        <v>2649</v>
      </c>
      <c r="D79" s="2829" t="s">
        <v>2650</v>
      </c>
      <c r="E79" s="2855">
        <v>0.15</v>
      </c>
      <c r="F79" s="2855">
        <v>20</v>
      </c>
    </row>
    <row r="80" spans="1:7" ht="24">
      <c r="A80" s="2855">
        <v>6</v>
      </c>
      <c r="B80" s="3523"/>
      <c r="C80" s="2829" t="s">
        <v>2651</v>
      </c>
      <c r="D80" s="2829" t="s">
        <v>2652</v>
      </c>
      <c r="E80" s="2855">
        <v>0.15</v>
      </c>
      <c r="F80" s="2855">
        <v>20</v>
      </c>
    </row>
    <row r="81" spans="1:6" ht="24">
      <c r="A81" s="2855">
        <v>7</v>
      </c>
      <c r="B81" s="3523"/>
      <c r="C81" s="2829" t="s">
        <v>2653</v>
      </c>
      <c r="D81" s="2829" t="s">
        <v>2654</v>
      </c>
      <c r="E81" s="2855">
        <v>0.15</v>
      </c>
      <c r="F81" s="2855">
        <v>20</v>
      </c>
    </row>
    <row r="82" spans="1:6" ht="24">
      <c r="A82" s="2855">
        <v>8</v>
      </c>
      <c r="B82" s="3523"/>
      <c r="C82" s="2829" t="s">
        <v>2655</v>
      </c>
      <c r="D82" s="2829" t="s">
        <v>2656</v>
      </c>
      <c r="E82" s="2855">
        <v>0.1</v>
      </c>
      <c r="F82" s="2855">
        <v>15</v>
      </c>
    </row>
    <row r="83" spans="1:6" ht="24">
      <c r="A83" s="2855">
        <v>9</v>
      </c>
      <c r="B83" s="3523"/>
      <c r="C83" s="2829" t="s">
        <v>2657</v>
      </c>
      <c r="D83" s="2829" t="s">
        <v>2658</v>
      </c>
      <c r="E83" s="2855">
        <v>0.1</v>
      </c>
      <c r="F83" s="2855">
        <v>15</v>
      </c>
    </row>
    <row r="84" spans="1:6" ht="24">
      <c r="A84" s="2855">
        <v>10</v>
      </c>
      <c r="B84" s="3523"/>
      <c r="C84" s="2829" t="s">
        <v>2659</v>
      </c>
      <c r="D84" s="2829" t="s">
        <v>2660</v>
      </c>
      <c r="E84" s="2855">
        <v>0.1</v>
      </c>
      <c r="F84" s="2855">
        <v>15</v>
      </c>
    </row>
    <row r="85" spans="1:6" ht="24">
      <c r="A85" s="2855">
        <v>11</v>
      </c>
      <c r="B85" s="3523"/>
      <c r="C85" s="2829" t="s">
        <v>2661</v>
      </c>
      <c r="D85" s="2829" t="s">
        <v>2662</v>
      </c>
      <c r="E85" s="2855">
        <v>0.1</v>
      </c>
      <c r="F85" s="2855">
        <v>15</v>
      </c>
    </row>
    <row r="86" spans="1:6" ht="24">
      <c r="A86" s="2855">
        <v>12</v>
      </c>
      <c r="B86" s="3523"/>
      <c r="C86" s="2829" t="s">
        <v>2663</v>
      </c>
      <c r="D86" s="2829" t="s">
        <v>2664</v>
      </c>
      <c r="E86" s="2855">
        <v>0.1</v>
      </c>
      <c r="F86" s="2855">
        <v>15</v>
      </c>
    </row>
    <row r="87" spans="1:6" ht="13.5">
      <c r="A87" s="2855">
        <v>13</v>
      </c>
      <c r="B87" s="3523"/>
      <c r="C87" s="2829" t="s">
        <v>2665</v>
      </c>
      <c r="D87" s="2829" t="s">
        <v>2666</v>
      </c>
      <c r="E87" s="2855">
        <v>0.1</v>
      </c>
      <c r="F87" s="2855">
        <v>15</v>
      </c>
    </row>
    <row r="88" spans="1:6" ht="13.5">
      <c r="A88" s="2855">
        <v>14</v>
      </c>
      <c r="B88" s="3523"/>
      <c r="C88" s="2829" t="s">
        <v>2667</v>
      </c>
      <c r="D88" s="2829" t="s">
        <v>2668</v>
      </c>
      <c r="E88" s="2855">
        <v>0.1</v>
      </c>
      <c r="F88" s="2855">
        <v>15</v>
      </c>
    </row>
    <row r="89" spans="1:6" ht="13.5">
      <c r="A89" s="2855">
        <v>15</v>
      </c>
      <c r="B89" s="3523"/>
      <c r="C89" s="2829" t="s">
        <v>2669</v>
      </c>
      <c r="D89" s="2829" t="s">
        <v>2670</v>
      </c>
      <c r="E89" s="2855">
        <v>0.1</v>
      </c>
      <c r="F89" s="2855">
        <v>15</v>
      </c>
    </row>
    <row r="90" spans="1:6" ht="24">
      <c r="A90" s="2855">
        <v>16</v>
      </c>
      <c r="B90" s="3523"/>
      <c r="C90" s="2829" t="s">
        <v>2671</v>
      </c>
      <c r="D90" s="2829" t="s">
        <v>2672</v>
      </c>
      <c r="E90" s="2855">
        <v>0.1</v>
      </c>
      <c r="F90" s="2855">
        <v>15</v>
      </c>
    </row>
    <row r="91" spans="1:6" ht="24">
      <c r="A91" s="2855">
        <v>17</v>
      </c>
      <c r="B91" s="3529"/>
      <c r="C91" s="2829" t="s">
        <v>2673</v>
      </c>
      <c r="D91" s="2829" t="s">
        <v>2674</v>
      </c>
      <c r="E91" s="2855">
        <v>0.1</v>
      </c>
      <c r="F91" s="2855">
        <v>15</v>
      </c>
    </row>
    <row r="92" spans="1:6" ht="13.5">
      <c r="A92" s="2855">
        <v>18</v>
      </c>
      <c r="B92" s="3524" t="s">
        <v>2675</v>
      </c>
      <c r="C92" s="2829" t="s">
        <v>2676</v>
      </c>
      <c r="D92" s="2829" t="s">
        <v>2677</v>
      </c>
      <c r="E92" s="2855">
        <v>0.2</v>
      </c>
      <c r="F92" s="2855">
        <v>25</v>
      </c>
    </row>
    <row r="93" spans="1:6" ht="24">
      <c r="A93" s="2855">
        <v>19</v>
      </c>
      <c r="B93" s="3523"/>
      <c r="C93" s="2829" t="s">
        <v>2678</v>
      </c>
      <c r="D93" s="2829" t="s">
        <v>2679</v>
      </c>
      <c r="E93" s="2855">
        <v>0.2</v>
      </c>
      <c r="F93" s="2855">
        <v>25</v>
      </c>
    </row>
    <row r="94" spans="1:6" ht="13.5">
      <c r="A94" s="2855">
        <v>20</v>
      </c>
      <c r="B94" s="3523"/>
      <c r="C94" s="2829" t="s">
        <v>2680</v>
      </c>
      <c r="D94" s="2829" t="s">
        <v>2681</v>
      </c>
      <c r="E94" s="2855">
        <v>0.15</v>
      </c>
      <c r="F94" s="2855">
        <v>20</v>
      </c>
    </row>
    <row r="95" spans="1:6" ht="13.5">
      <c r="A95" s="2855">
        <v>21</v>
      </c>
      <c r="B95" s="3523"/>
      <c r="C95" s="2829" t="s">
        <v>2682</v>
      </c>
      <c r="D95" s="2829" t="s">
        <v>2683</v>
      </c>
      <c r="E95" s="2855">
        <v>0.15</v>
      </c>
      <c r="F95" s="2855">
        <v>20</v>
      </c>
    </row>
    <row r="96" spans="1:6" ht="13.5">
      <c r="A96" s="2855">
        <v>22</v>
      </c>
      <c r="B96" s="3523"/>
      <c r="C96" s="2829" t="s">
        <v>2684</v>
      </c>
      <c r="D96" s="2829" t="s">
        <v>2685</v>
      </c>
      <c r="E96" s="2855">
        <v>0.15</v>
      </c>
      <c r="F96" s="2855">
        <v>20</v>
      </c>
    </row>
    <row r="97" spans="1:6" ht="36">
      <c r="A97" s="2855">
        <v>23</v>
      </c>
      <c r="B97" s="3523"/>
      <c r="C97" s="2829" t="s">
        <v>2686</v>
      </c>
      <c r="D97" s="2829" t="s">
        <v>2687</v>
      </c>
      <c r="E97" s="2855">
        <v>0.15</v>
      </c>
      <c r="F97" s="2855">
        <v>20</v>
      </c>
    </row>
    <row r="98" spans="1:6" ht="13.5">
      <c r="A98" s="2855">
        <v>24</v>
      </c>
      <c r="B98" s="3523"/>
      <c r="C98" s="2829" t="s">
        <v>2688</v>
      </c>
      <c r="D98" s="2829" t="s">
        <v>2689</v>
      </c>
      <c r="E98" s="2855">
        <v>0.1</v>
      </c>
      <c r="F98" s="2855">
        <v>15</v>
      </c>
    </row>
    <row r="99" spans="1:6" ht="13.5">
      <c r="A99" s="2855">
        <v>25</v>
      </c>
      <c r="B99" s="3523"/>
      <c r="C99" s="2829" t="s">
        <v>2690</v>
      </c>
      <c r="D99" s="2829" t="s">
        <v>2691</v>
      </c>
      <c r="E99" s="2855">
        <v>0.1</v>
      </c>
      <c r="F99" s="2855">
        <v>15</v>
      </c>
    </row>
    <row r="100" spans="1:6" ht="24">
      <c r="A100" s="2855">
        <v>26</v>
      </c>
      <c r="B100" s="3523"/>
      <c r="C100" s="2829" t="s">
        <v>2692</v>
      </c>
      <c r="D100" s="2829" t="s">
        <v>2693</v>
      </c>
      <c r="E100" s="2855">
        <v>0.1</v>
      </c>
      <c r="F100" s="2855">
        <v>15</v>
      </c>
    </row>
    <row r="101" spans="1:6" ht="24">
      <c r="A101" s="2855">
        <v>27</v>
      </c>
      <c r="B101" s="3523"/>
      <c r="C101" s="2829" t="s">
        <v>2694</v>
      </c>
      <c r="D101" s="2829" t="s">
        <v>2695</v>
      </c>
      <c r="E101" s="2855">
        <v>0.1</v>
      </c>
      <c r="F101" s="2855">
        <v>15</v>
      </c>
    </row>
    <row r="102" spans="1:6" ht="13.5">
      <c r="A102" s="2855">
        <v>28</v>
      </c>
      <c r="B102" s="3523"/>
      <c r="C102" s="2829" t="s">
        <v>2696</v>
      </c>
      <c r="D102" s="2829" t="s">
        <v>2697</v>
      </c>
      <c r="E102" s="2855">
        <v>0.1</v>
      </c>
      <c r="F102" s="2855">
        <v>15</v>
      </c>
    </row>
    <row r="103" spans="1:6" ht="13.5">
      <c r="A103" s="2855">
        <v>29</v>
      </c>
      <c r="B103" s="3523"/>
      <c r="C103" s="2829" t="s">
        <v>2698</v>
      </c>
      <c r="D103" s="2829" t="s">
        <v>2699</v>
      </c>
      <c r="E103" s="2855">
        <v>0.1</v>
      </c>
      <c r="F103" s="2855">
        <v>15</v>
      </c>
    </row>
    <row r="104" spans="1:6" ht="13.5">
      <c r="A104" s="2855">
        <v>30</v>
      </c>
      <c r="B104" s="3523"/>
      <c r="C104" s="2829" t="s">
        <v>2700</v>
      </c>
      <c r="D104" s="2829" t="s">
        <v>2701</v>
      </c>
      <c r="E104" s="2855">
        <v>0.1</v>
      </c>
      <c r="F104" s="2855">
        <v>15</v>
      </c>
    </row>
    <row r="105" spans="1:6" ht="24">
      <c r="A105" s="2855">
        <v>31</v>
      </c>
      <c r="B105" s="3523"/>
      <c r="C105" s="2829" t="s">
        <v>2702</v>
      </c>
      <c r="D105" s="2829" t="s">
        <v>2703</v>
      </c>
      <c r="E105" s="2855">
        <v>0.1</v>
      </c>
      <c r="F105" s="2855">
        <v>15</v>
      </c>
    </row>
    <row r="106" spans="1:6" ht="24">
      <c r="A106" s="2855">
        <v>32</v>
      </c>
      <c r="B106" s="3523"/>
      <c r="C106" s="2829" t="s">
        <v>2704</v>
      </c>
      <c r="D106" s="2829" t="s">
        <v>2705</v>
      </c>
      <c r="E106" s="2855">
        <v>0.1</v>
      </c>
      <c r="F106" s="2855">
        <v>15</v>
      </c>
    </row>
    <row r="107" spans="1:6" ht="24">
      <c r="A107" s="2855">
        <v>33</v>
      </c>
      <c r="B107" s="3523"/>
      <c r="C107" s="2829" t="s">
        <v>2706</v>
      </c>
      <c r="D107" s="2829" t="s">
        <v>2707</v>
      </c>
      <c r="E107" s="2855">
        <v>0.1</v>
      </c>
      <c r="F107" s="2855">
        <v>15</v>
      </c>
    </row>
    <row r="108" spans="1:6" ht="24">
      <c r="A108" s="2855">
        <v>34</v>
      </c>
      <c r="B108" s="3529"/>
      <c r="C108" s="2829" t="s">
        <v>2708</v>
      </c>
      <c r="D108" s="2829" t="s">
        <v>2709</v>
      </c>
      <c r="E108" s="2855">
        <v>0.1</v>
      </c>
      <c r="F108" s="2855">
        <v>15</v>
      </c>
    </row>
    <row r="109" spans="1:6" ht="24">
      <c r="A109" s="2855">
        <v>35</v>
      </c>
      <c r="B109" s="3524" t="s">
        <v>2710</v>
      </c>
      <c r="C109" s="2855" t="s">
        <v>2711</v>
      </c>
      <c r="D109" s="2829" t="s">
        <v>2712</v>
      </c>
      <c r="E109" s="2855">
        <v>0.15</v>
      </c>
      <c r="F109" s="2855">
        <v>20</v>
      </c>
    </row>
    <row r="110" spans="1:6" ht="13.5">
      <c r="A110" s="2855">
        <v>36</v>
      </c>
      <c r="B110" s="3523"/>
      <c r="C110" s="2855" t="s">
        <v>2713</v>
      </c>
      <c r="D110" s="2829" t="s">
        <v>2714</v>
      </c>
      <c r="E110" s="2855">
        <v>0.15</v>
      </c>
      <c r="F110" s="2855">
        <v>20</v>
      </c>
    </row>
    <row r="111" spans="1:6" ht="13.5">
      <c r="A111" s="2855">
        <v>37</v>
      </c>
      <c r="B111" s="3523"/>
      <c r="C111" s="2855" t="s">
        <v>2715</v>
      </c>
      <c r="D111" s="2829" t="s">
        <v>2716</v>
      </c>
      <c r="E111" s="2855">
        <v>0.15</v>
      </c>
      <c r="F111" s="2855">
        <v>20</v>
      </c>
    </row>
    <row r="112" spans="1:6" ht="13.5">
      <c r="A112" s="2855">
        <v>38</v>
      </c>
      <c r="B112" s="3523"/>
      <c r="C112" s="2855" t="s">
        <v>2717</v>
      </c>
      <c r="D112" s="2829" t="s">
        <v>2718</v>
      </c>
      <c r="E112" s="2855">
        <v>0.1</v>
      </c>
      <c r="F112" s="2855">
        <v>15</v>
      </c>
    </row>
    <row r="113" spans="1:6" ht="24">
      <c r="A113" s="2855">
        <v>39</v>
      </c>
      <c r="B113" s="3523"/>
      <c r="C113" s="2855" t="s">
        <v>2719</v>
      </c>
      <c r="D113" s="2829" t="s">
        <v>2720</v>
      </c>
      <c r="E113" s="2855">
        <v>0.1</v>
      </c>
      <c r="F113" s="2855">
        <v>15</v>
      </c>
    </row>
    <row r="114" spans="1:6" ht="24">
      <c r="A114" s="2855">
        <v>40</v>
      </c>
      <c r="B114" s="3529"/>
      <c r="C114" s="2855" t="s">
        <v>2721</v>
      </c>
      <c r="D114" s="2829" t="s">
        <v>2722</v>
      </c>
      <c r="E114" s="2855">
        <v>0.1</v>
      </c>
      <c r="F114" s="2855">
        <v>15</v>
      </c>
    </row>
    <row r="115" spans="1:6" ht="13.5">
      <c r="A115" s="2855">
        <v>41</v>
      </c>
      <c r="B115" s="3517" t="s">
        <v>2723</v>
      </c>
      <c r="C115" s="2855" t="s">
        <v>2724</v>
      </c>
      <c r="D115" s="2829" t="s">
        <v>2725</v>
      </c>
      <c r="E115" s="2855">
        <v>0.1</v>
      </c>
      <c r="F115" s="2855">
        <v>15</v>
      </c>
    </row>
    <row r="116" spans="1:6" ht="13.5">
      <c r="A116" s="2855">
        <v>42</v>
      </c>
      <c r="B116" s="3517"/>
      <c r="C116" s="2855" t="s">
        <v>2726</v>
      </c>
      <c r="D116" s="2829" t="s">
        <v>2727</v>
      </c>
      <c r="E116" s="2855">
        <v>0.1</v>
      </c>
      <c r="F116" s="2855">
        <v>15</v>
      </c>
    </row>
    <row r="117" spans="1:6" ht="24">
      <c r="A117" s="2855">
        <v>43</v>
      </c>
      <c r="B117" s="3517"/>
      <c r="C117" s="2855" t="s">
        <v>2728</v>
      </c>
      <c r="D117" s="2829" t="s">
        <v>2729</v>
      </c>
      <c r="E117" s="2855">
        <v>0.1</v>
      </c>
      <c r="F117" s="2855">
        <v>15</v>
      </c>
    </row>
    <row r="118" spans="1:6" ht="13.5">
      <c r="A118" s="2855">
        <v>44</v>
      </c>
      <c r="B118" s="3524" t="s">
        <v>2730</v>
      </c>
      <c r="C118" s="2855" t="s">
        <v>2731</v>
      </c>
      <c r="D118" s="2829" t="s">
        <v>2732</v>
      </c>
      <c r="E118" s="2855">
        <v>0.1</v>
      </c>
      <c r="F118" s="2855">
        <v>15</v>
      </c>
    </row>
    <row r="119" spans="1:6" ht="24">
      <c r="A119" s="2855">
        <v>45</v>
      </c>
      <c r="B119" s="3529"/>
      <c r="C119" s="2829" t="s">
        <v>2733</v>
      </c>
      <c r="D119" s="2829" t="s">
        <v>2734</v>
      </c>
      <c r="E119" s="2855">
        <v>0.1</v>
      </c>
      <c r="F119" s="2855">
        <v>15</v>
      </c>
    </row>
    <row r="120" spans="1:6" ht="24">
      <c r="A120" s="2855">
        <v>46</v>
      </c>
      <c r="B120" s="3524" t="s">
        <v>2735</v>
      </c>
      <c r="C120" s="2855" t="s">
        <v>2736</v>
      </c>
      <c r="D120" s="2829" t="s">
        <v>2737</v>
      </c>
      <c r="E120" s="2855">
        <v>0.1</v>
      </c>
      <c r="F120" s="2855">
        <v>15</v>
      </c>
    </row>
    <row r="121" spans="1:6" ht="24">
      <c r="A121" s="2855">
        <v>47</v>
      </c>
      <c r="B121" s="3529"/>
      <c r="C121" s="2855" t="s">
        <v>2738</v>
      </c>
      <c r="D121" s="2829" t="s">
        <v>2739</v>
      </c>
      <c r="E121" s="2855">
        <v>0.1</v>
      </c>
      <c r="F121" s="2855">
        <v>15</v>
      </c>
    </row>
    <row r="122" spans="1:6" ht="13.5">
      <c r="A122" s="2855">
        <v>48</v>
      </c>
      <c r="B122" s="3524" t="s">
        <v>2740</v>
      </c>
      <c r="C122" s="2855" t="s">
        <v>2741</v>
      </c>
      <c r="D122" s="2829" t="s">
        <v>2742</v>
      </c>
      <c r="E122" s="2855">
        <v>0.1</v>
      </c>
      <c r="F122" s="2855">
        <v>15</v>
      </c>
    </row>
    <row r="123" spans="1:6" ht="13.5">
      <c r="A123" s="2855">
        <v>49</v>
      </c>
      <c r="B123" s="3529"/>
      <c r="C123" s="2855" t="s">
        <v>2743</v>
      </c>
      <c r="D123" s="2829" t="s">
        <v>2744</v>
      </c>
      <c r="E123" s="2855">
        <v>0.1</v>
      </c>
      <c r="F123" s="2855">
        <v>15</v>
      </c>
    </row>
    <row r="124" spans="1:6" ht="24">
      <c r="A124" s="2855">
        <v>50</v>
      </c>
      <c r="B124" s="3517" t="s">
        <v>2745</v>
      </c>
      <c r="C124" s="2855" t="s">
        <v>2746</v>
      </c>
      <c r="D124" s="2829" t="s">
        <v>2747</v>
      </c>
      <c r="E124" s="2855">
        <v>0.1</v>
      </c>
      <c r="F124" s="2855">
        <v>15</v>
      </c>
    </row>
    <row r="125" spans="1:6" ht="24">
      <c r="A125" s="2855">
        <v>51</v>
      </c>
      <c r="B125" s="3517"/>
      <c r="C125" s="2855" t="s">
        <v>2748</v>
      </c>
      <c r="D125" s="2829" t="s">
        <v>2749</v>
      </c>
      <c r="E125" s="2855">
        <v>0.1</v>
      </c>
      <c r="F125" s="2855">
        <v>15</v>
      </c>
    </row>
    <row r="126" spans="1:6" ht="24">
      <c r="A126" s="2855">
        <v>52</v>
      </c>
      <c r="B126" s="3517" t="s">
        <v>2750</v>
      </c>
      <c r="C126" s="2855" t="s">
        <v>2751</v>
      </c>
      <c r="D126" s="2829" t="s">
        <v>2752</v>
      </c>
      <c r="E126" s="2855">
        <v>0.1</v>
      </c>
      <c r="F126" s="2855">
        <v>15</v>
      </c>
    </row>
    <row r="127" spans="1:6" ht="24">
      <c r="A127" s="2855">
        <v>53</v>
      </c>
      <c r="B127" s="3517"/>
      <c r="C127" s="2855" t="s">
        <v>2753</v>
      </c>
      <c r="D127" s="2829" t="s">
        <v>2754</v>
      </c>
      <c r="E127" s="2855">
        <v>0.1</v>
      </c>
      <c r="F127" s="2855">
        <v>15</v>
      </c>
    </row>
    <row r="128" spans="1:6" ht="13.5">
      <c r="A128" s="2855">
        <v>54</v>
      </c>
      <c r="B128" s="2855" t="s">
        <v>2755</v>
      </c>
      <c r="C128" s="2855" t="s">
        <v>2756</v>
      </c>
      <c r="D128" s="2829" t="s">
        <v>2757</v>
      </c>
      <c r="E128" s="2855">
        <v>0.1</v>
      </c>
      <c r="F128" s="2855">
        <v>15</v>
      </c>
    </row>
    <row r="129" spans="1:6" ht="13.5">
      <c r="A129" s="2855">
        <v>55</v>
      </c>
      <c r="B129" s="3517" t="s">
        <v>2758</v>
      </c>
      <c r="C129" s="2855" t="s">
        <v>2759</v>
      </c>
      <c r="D129" s="2829" t="s">
        <v>2760</v>
      </c>
      <c r="E129" s="2855">
        <v>0.1</v>
      </c>
      <c r="F129" s="2855">
        <v>15</v>
      </c>
    </row>
    <row r="130" spans="1:6" ht="13.5">
      <c r="A130" s="2855">
        <v>56</v>
      </c>
      <c r="B130" s="3517"/>
      <c r="C130" s="2855" t="s">
        <v>2761</v>
      </c>
      <c r="D130" s="2829" t="s">
        <v>2762</v>
      </c>
      <c r="E130" s="2855">
        <v>0.1</v>
      </c>
      <c r="F130" s="2855">
        <v>15</v>
      </c>
    </row>
    <row r="131" spans="1:6" ht="24">
      <c r="A131" s="2855">
        <v>57</v>
      </c>
      <c r="B131" s="3517"/>
      <c r="C131" s="2855" t="s">
        <v>2763</v>
      </c>
      <c r="D131" s="2829" t="s">
        <v>2764</v>
      </c>
      <c r="E131" s="2855">
        <v>0.1</v>
      </c>
      <c r="F131" s="2855">
        <v>15</v>
      </c>
    </row>
    <row r="132" spans="1:6" ht="24">
      <c r="A132" s="2855">
        <v>58</v>
      </c>
      <c r="B132" s="3517" t="s">
        <v>2765</v>
      </c>
      <c r="C132" s="2855" t="s">
        <v>2766</v>
      </c>
      <c r="D132" s="2829" t="s">
        <v>2767</v>
      </c>
      <c r="E132" s="2855">
        <v>0.1</v>
      </c>
      <c r="F132" s="2855">
        <v>15</v>
      </c>
    </row>
    <row r="133" spans="1:6" ht="13.5">
      <c r="A133" s="2855">
        <v>59</v>
      </c>
      <c r="B133" s="3517"/>
      <c r="C133" s="2855" t="s">
        <v>2768</v>
      </c>
      <c r="D133" s="2829" t="s">
        <v>2769</v>
      </c>
      <c r="E133" s="2855">
        <v>0.1</v>
      </c>
      <c r="F133" s="2855">
        <v>15</v>
      </c>
    </row>
    <row r="134" spans="1:6" ht="13.5">
      <c r="A134" s="2855">
        <v>60</v>
      </c>
      <c r="B134" s="3524" t="s">
        <v>2770</v>
      </c>
      <c r="C134" s="2855" t="s">
        <v>2771</v>
      </c>
      <c r="D134" s="2829" t="s">
        <v>2772</v>
      </c>
      <c r="E134" s="2855">
        <v>0.1</v>
      </c>
      <c r="F134" s="2855">
        <v>15</v>
      </c>
    </row>
    <row r="135" spans="1:6" ht="13.5">
      <c r="A135" s="2855">
        <v>61</v>
      </c>
      <c r="B135" s="3529"/>
      <c r="C135" s="2855" t="s">
        <v>2773</v>
      </c>
      <c r="D135" s="2829" t="s">
        <v>2774</v>
      </c>
      <c r="E135" s="2855">
        <v>0.1</v>
      </c>
      <c r="F135" s="2855">
        <v>15</v>
      </c>
    </row>
    <row r="136" spans="1:6" ht="24">
      <c r="A136" s="2855">
        <v>62</v>
      </c>
      <c r="B136" s="2855" t="s">
        <v>2775</v>
      </c>
      <c r="C136" s="2855" t="s">
        <v>2776</v>
      </c>
      <c r="D136" s="2829" t="s">
        <v>2777</v>
      </c>
      <c r="E136" s="2855">
        <v>0.1</v>
      </c>
      <c r="F136" s="2855">
        <v>15</v>
      </c>
    </row>
    <row r="137" spans="1:6" ht="13.5">
      <c r="A137" s="2855">
        <v>63</v>
      </c>
      <c r="B137" s="3517" t="s">
        <v>2778</v>
      </c>
      <c r="C137" s="2855" t="s">
        <v>2779</v>
      </c>
      <c r="D137" s="2829" t="s">
        <v>2780</v>
      </c>
      <c r="E137" s="2855">
        <v>0.1</v>
      </c>
      <c r="F137" s="2855">
        <v>15</v>
      </c>
    </row>
    <row r="138" spans="1:6" ht="13.5">
      <c r="A138" s="2855">
        <v>64</v>
      </c>
      <c r="B138" s="3517"/>
      <c r="C138" s="2855" t="s">
        <v>2781</v>
      </c>
      <c r="D138" s="2829" t="s">
        <v>2782</v>
      </c>
      <c r="E138" s="2855">
        <v>0.1</v>
      </c>
      <c r="F138" s="2855">
        <v>15</v>
      </c>
    </row>
    <row r="139" spans="1:6" ht="13.5">
      <c r="A139" s="2855">
        <v>65</v>
      </c>
      <c r="B139" s="2855" t="s">
        <v>2783</v>
      </c>
      <c r="C139" s="2855" t="s">
        <v>2784</v>
      </c>
      <c r="D139" s="2829" t="s">
        <v>2785</v>
      </c>
      <c r="E139" s="2855">
        <v>0.1</v>
      </c>
      <c r="F139" s="2855">
        <v>15</v>
      </c>
    </row>
    <row r="140" spans="1:6" ht="13.5">
      <c r="A140" s="2855"/>
      <c r="B140" s="2855"/>
      <c r="C140" s="2855"/>
      <c r="D140" s="2855"/>
      <c r="E140" s="2855" t="s">
        <v>2786</v>
      </c>
      <c r="F140" s="2855"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2787</v>
      </c>
      <c r="B1" s="2863"/>
      <c r="C1" s="2863"/>
      <c r="D1" s="2863"/>
      <c r="E1" s="2863"/>
      <c r="F1" s="2863"/>
      <c r="G1" s="2863"/>
      <c r="H1" s="2863"/>
      <c r="I1" s="2863"/>
      <c r="J1" s="2863"/>
      <c r="K1" s="2863"/>
      <c r="L1" s="2863"/>
      <c r="M1" s="2863"/>
      <c r="N1" s="705"/>
    </row>
    <row r="2" spans="1:20">
      <c r="A2" s="2864" t="s">
        <v>2788</v>
      </c>
      <c r="B2" s="2865" t="s">
        <v>2584</v>
      </c>
      <c r="C2" s="2865" t="s">
        <v>2585</v>
      </c>
      <c r="D2" s="2865" t="s">
        <v>2586</v>
      </c>
      <c r="E2" s="2865" t="s">
        <v>2587</v>
      </c>
      <c r="F2" s="2865" t="s">
        <v>2588</v>
      </c>
      <c r="G2" s="2865" t="s">
        <v>2589</v>
      </c>
      <c r="H2" s="2866" t="s">
        <v>2590</v>
      </c>
      <c r="I2" s="2866" t="s">
        <v>2591</v>
      </c>
      <c r="J2" s="2867" t="s">
        <v>2592</v>
      </c>
      <c r="K2" s="2867" t="s">
        <v>2593</v>
      </c>
      <c r="L2" s="2867" t="s">
        <v>2594</v>
      </c>
      <c r="M2" s="2868" t="s">
        <v>2595</v>
      </c>
      <c r="Q2" s="2878" t="s">
        <v>2793</v>
      </c>
      <c r="R2" s="2878" t="s">
        <v>2794</v>
      </c>
      <c r="S2" s="2878" t="s">
        <v>2795</v>
      </c>
      <c r="T2" s="2878" t="s">
        <v>2796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2789</v>
      </c>
      <c r="B93" s="2863"/>
      <c r="C93" s="2863"/>
      <c r="D93" s="2863"/>
      <c r="E93" s="2863"/>
      <c r="F93" s="2863"/>
      <c r="G93" s="2863"/>
      <c r="H93" s="2863"/>
      <c r="I93" s="2863"/>
      <c r="J93" s="2863"/>
      <c r="K93" s="2863"/>
      <c r="L93" s="2863"/>
      <c r="M93" s="2863"/>
    </row>
    <row r="94" spans="1:20">
      <c r="A94" s="2864" t="s">
        <v>2788</v>
      </c>
      <c r="B94" s="2865" t="s">
        <v>2584</v>
      </c>
      <c r="C94" s="2865" t="s">
        <v>2585</v>
      </c>
      <c r="D94" s="2865" t="s">
        <v>2586</v>
      </c>
      <c r="E94" s="2865" t="s">
        <v>2587</v>
      </c>
      <c r="F94" s="2865" t="s">
        <v>2588</v>
      </c>
      <c r="G94" s="2865" t="s">
        <v>2589</v>
      </c>
      <c r="H94" s="2866" t="s">
        <v>2590</v>
      </c>
      <c r="I94" s="2866" t="s">
        <v>2591</v>
      </c>
      <c r="J94" s="2867" t="s">
        <v>2592</v>
      </c>
      <c r="K94" s="2867" t="s">
        <v>2593</v>
      </c>
      <c r="L94" s="2867" t="s">
        <v>2594</v>
      </c>
      <c r="M94" s="2868" t="s">
        <v>2595</v>
      </c>
      <c r="N94">
        <f>SUMPRODUCT((A95:A184=ROUNDDOWN(基准地价修正!G3,1))*(B94:M94=基准地价修正!G2)*(B95:M184))</f>
        <v>1</v>
      </c>
      <c r="Q94" s="2878" t="s">
        <v>2793</v>
      </c>
      <c r="R94" s="2878" t="s">
        <v>2794</v>
      </c>
      <c r="S94" s="2878" t="s">
        <v>2795</v>
      </c>
      <c r="T94" s="2878" t="s">
        <v>2796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2790</v>
      </c>
      <c r="B185" s="2863"/>
      <c r="C185" s="2863"/>
      <c r="D185" s="2863"/>
      <c r="E185" s="2863"/>
      <c r="F185" s="2863"/>
      <c r="G185" s="2863"/>
      <c r="H185" s="2863"/>
      <c r="I185" s="2863"/>
      <c r="J185" s="2863"/>
      <c r="K185" s="2863"/>
      <c r="L185" s="2863"/>
      <c r="M185" s="2863"/>
    </row>
    <row r="186" spans="1:20">
      <c r="A186" s="2864" t="s">
        <v>2788</v>
      </c>
      <c r="B186" s="2865" t="s">
        <v>2584</v>
      </c>
      <c r="C186" s="2865" t="s">
        <v>2585</v>
      </c>
      <c r="D186" s="2865" t="s">
        <v>2586</v>
      </c>
      <c r="E186" s="2865" t="s">
        <v>2587</v>
      </c>
      <c r="F186" s="2865" t="s">
        <v>2588</v>
      </c>
      <c r="G186" s="2865" t="s">
        <v>2589</v>
      </c>
      <c r="H186" s="2866" t="s">
        <v>2590</v>
      </c>
      <c r="I186" s="2866" t="s">
        <v>2591</v>
      </c>
      <c r="J186" s="2867" t="s">
        <v>2592</v>
      </c>
      <c r="K186" s="2867" t="s">
        <v>2593</v>
      </c>
      <c r="L186" s="2867" t="s">
        <v>2594</v>
      </c>
      <c r="M186" s="2868" t="s">
        <v>2595</v>
      </c>
      <c r="Q186" s="2878" t="s">
        <v>2793</v>
      </c>
      <c r="R186" s="2878" t="s">
        <v>2794</v>
      </c>
      <c r="S186" s="2878" t="s">
        <v>2795</v>
      </c>
      <c r="T186" s="2878" t="s">
        <v>2796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2791</v>
      </c>
      <c r="B277" s="2863"/>
      <c r="C277" s="2863"/>
      <c r="D277" s="2863"/>
      <c r="E277" s="2863"/>
      <c r="F277" s="2863"/>
      <c r="G277" s="2863"/>
      <c r="H277" s="2863"/>
      <c r="I277" s="2863"/>
      <c r="J277" s="2863"/>
      <c r="K277" s="2863"/>
      <c r="L277" s="2863"/>
      <c r="M277" s="2863"/>
    </row>
    <row r="278" spans="1:21">
      <c r="A278" s="2864" t="s">
        <v>2788</v>
      </c>
      <c r="B278" s="2865" t="s">
        <v>2584</v>
      </c>
      <c r="C278" s="2865" t="s">
        <v>2585</v>
      </c>
      <c r="D278" s="2865" t="s">
        <v>2586</v>
      </c>
      <c r="E278" s="2865" t="s">
        <v>2587</v>
      </c>
      <c r="F278" s="2865" t="s">
        <v>2588</v>
      </c>
      <c r="G278" s="2865" t="s">
        <v>2589</v>
      </c>
      <c r="H278" s="2866" t="s">
        <v>2590</v>
      </c>
      <c r="I278" s="2866" t="s">
        <v>2591</v>
      </c>
      <c r="J278" s="2867" t="s">
        <v>2592</v>
      </c>
      <c r="K278" s="2867" t="s">
        <v>2593</v>
      </c>
      <c r="L278" s="2867" t="s">
        <v>2594</v>
      </c>
      <c r="M278" s="2868" t="s">
        <v>2595</v>
      </c>
      <c r="Q278" s="2878" t="s">
        <v>2793</v>
      </c>
      <c r="R278" s="2878" t="s">
        <v>2794</v>
      </c>
      <c r="S278" s="2878" t="s">
        <v>2797</v>
      </c>
      <c r="T278" s="2878" t="s">
        <v>2798</v>
      </c>
      <c r="U278" s="2878" t="s">
        <v>2796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2792</v>
      </c>
      <c r="B369" s="2876"/>
      <c r="C369" s="2876"/>
      <c r="D369" s="2876"/>
      <c r="E369" s="2876"/>
      <c r="F369" s="2876"/>
      <c r="G369" s="2876"/>
      <c r="H369" s="2876"/>
      <c r="I369" s="2876"/>
      <c r="J369" s="2876"/>
      <c r="K369" s="2876"/>
      <c r="L369" s="2876"/>
      <c r="M369" s="2876"/>
    </row>
    <row r="370" spans="1:20">
      <c r="A370" s="2864" t="s">
        <v>2788</v>
      </c>
      <c r="B370" s="2865" t="s">
        <v>2584</v>
      </c>
      <c r="C370" s="2865" t="s">
        <v>2585</v>
      </c>
      <c r="D370" s="2865" t="s">
        <v>2586</v>
      </c>
      <c r="E370" s="2865" t="s">
        <v>2587</v>
      </c>
      <c r="F370" s="2865" t="s">
        <v>2588</v>
      </c>
      <c r="G370" s="2865" t="s">
        <v>2589</v>
      </c>
      <c r="H370" s="2866" t="s">
        <v>2590</v>
      </c>
      <c r="I370" s="2866" t="s">
        <v>2591</v>
      </c>
      <c r="J370" s="2867" t="s">
        <v>2592</v>
      </c>
      <c r="K370" s="2867" t="s">
        <v>2593</v>
      </c>
      <c r="L370" s="2867" t="s">
        <v>2594</v>
      </c>
      <c r="M370" s="2868" t="s">
        <v>2595</v>
      </c>
      <c r="N370">
        <f>SUMPRODUCT((A371:A460=ROUNDDOWN(基准地价修正!G3,1))*(B370:M370=基准地价修正!G2)*(B371:M460))</f>
        <v>0.94710000000000005</v>
      </c>
      <c r="Q370" s="2878" t="s">
        <v>2793</v>
      </c>
      <c r="R370" s="2878" t="s">
        <v>2794</v>
      </c>
      <c r="S370" s="2878" t="s">
        <v>2795</v>
      </c>
      <c r="T370" s="2878" t="s">
        <v>2796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6"/>
      <c r="B3" s="3216"/>
      <c r="C3" s="3216"/>
      <c r="D3" s="799" t="s">
        <v>925</v>
      </c>
      <c r="E3" s="799" t="s">
        <v>931</v>
      </c>
      <c r="F3" s="799" t="s">
        <v>925</v>
      </c>
      <c r="G3" s="799" t="s">
        <v>926</v>
      </c>
      <c r="H3" s="799" t="s">
        <v>925</v>
      </c>
      <c r="I3" s="799" t="s">
        <v>926</v>
      </c>
    </row>
    <row r="4" spans="1:9" ht="15">
      <c r="A4" s="1400" t="str">
        <f>项目基本情况!S2</f>
        <v>北京市房地产</v>
      </c>
      <c r="B4" s="799">
        <f>项目基本情况!C17</f>
        <v>83502.290000000008</v>
      </c>
      <c r="C4" s="799">
        <f>项目基本情况!C18</f>
        <v>0</v>
      </c>
      <c r="D4" s="799">
        <f ca="1">结果表!D118</f>
        <v>111874</v>
      </c>
      <c r="E4" s="799">
        <f ca="1">结果表!E118</f>
        <v>32428</v>
      </c>
      <c r="F4" s="799">
        <f ca="1">结果表!F118</f>
        <v>23077</v>
      </c>
      <c r="G4" s="799">
        <f ca="1">结果表!G118</f>
        <v>6689</v>
      </c>
      <c r="H4" s="799">
        <f ca="1">结果表!H118</f>
        <v>134951</v>
      </c>
      <c r="I4" s="799">
        <f ca="1">结果表!I118</f>
        <v>39117</v>
      </c>
    </row>
    <row r="5" spans="1:9" ht="30" customHeight="1">
      <c r="A5" s="3216" t="s">
        <v>927</v>
      </c>
      <c r="B5" s="3216"/>
      <c r="C5" s="3216"/>
      <c r="D5" s="3216" t="str">
        <f ca="1">结果表!D119</f>
        <v>壹拾壹亿壹仟捌佰柒拾肆万元整</v>
      </c>
      <c r="E5" s="3216"/>
      <c r="F5" s="3216" t="str">
        <f ca="1">结果表!F119</f>
        <v>贰亿叁仟零柒拾柒万元整</v>
      </c>
      <c r="G5" s="3216"/>
      <c r="H5" s="3216" t="str">
        <f ca="1">结果表!H119</f>
        <v>壹拾叁亿肆仟玖佰伍拾壹万元整</v>
      </c>
      <c r="I5" s="3216"/>
    </row>
    <row r="6" spans="1:9" ht="15.75">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75">
      <c r="A8" s="3217" t="str">
        <f>结果表!A122</f>
        <v>房地产抵押价值</v>
      </c>
      <c r="B8" s="3217"/>
      <c r="C8" s="3217"/>
      <c r="D8" s="3217">
        <f ca="1">结果表!D122</f>
        <v>134951</v>
      </c>
      <c r="E8" s="3217"/>
      <c r="F8" s="3217"/>
      <c r="G8" s="3217"/>
      <c r="H8" s="3217"/>
      <c r="I8" s="3217"/>
    </row>
    <row r="9" spans="1:9" ht="15">
      <c r="A9" s="3216" t="s">
        <v>927</v>
      </c>
      <c r="B9" s="3216"/>
      <c r="C9" s="3216"/>
      <c r="D9" s="3216" t="str">
        <f ca="1">结果表!D123</f>
        <v>壹拾叁亿肆仟玖佰伍拾壹万元整</v>
      </c>
      <c r="E9" s="3216"/>
      <c r="F9" s="3216"/>
      <c r="G9" s="3216"/>
      <c r="H9" s="3216"/>
      <c r="I9" s="3216"/>
    </row>
    <row r="10" spans="1:9" ht="15.75">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75">
      <c r="A12" s="3217" t="str">
        <f>结果表!A126</f>
        <v/>
      </c>
      <c r="B12" s="3217"/>
      <c r="C12" s="3217"/>
      <c r="D12" s="3217" t="str">
        <f>结果表!D126</f>
        <v>——</v>
      </c>
      <c r="E12" s="3217"/>
      <c r="F12" s="3217"/>
      <c r="G12" s="3217"/>
      <c r="H12" s="3217"/>
      <c r="I12" s="3217"/>
    </row>
    <row r="13" spans="1:9" ht="15.75" thickBot="1">
      <c r="A13" s="3221" t="s">
        <v>927</v>
      </c>
      <c r="B13" s="3221"/>
      <c r="C13" s="3221"/>
      <c r="D13" s="3221" t="e">
        <f>结果表!D127</f>
        <v>#VALUE!</v>
      </c>
      <c r="E13" s="3221"/>
      <c r="F13" s="3221"/>
      <c r="G13" s="3221"/>
      <c r="H13" s="3221"/>
      <c r="I13" s="3221"/>
    </row>
    <row r="14" spans="1:9" ht="15" thickTop="1">
      <c r="A14" s="3222" t="s">
        <v>932</v>
      </c>
      <c r="B14" s="3222"/>
      <c r="C14" s="3222"/>
      <c r="D14" s="3222"/>
      <c r="E14" s="3222"/>
      <c r="F14" s="3222"/>
      <c r="G14" s="3222"/>
      <c r="H14" s="3222"/>
      <c r="I14" s="3222"/>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57035</v>
      </c>
      <c r="C2" s="2" t="s">
        <v>106</v>
      </c>
      <c r="D2" s="190"/>
      <c r="E2" s="190"/>
      <c r="F2" s="190"/>
      <c r="G2" s="190"/>
    </row>
    <row r="3" spans="1:7" s="191" customFormat="1" ht="18" customHeight="1" thickBot="1">
      <c r="A3" s="194" t="s">
        <v>58</v>
      </c>
      <c r="B3" s="195">
        <f ca="1">ROUND(B2*10000/'数据-汇总表'!E3,0)</f>
        <v>6830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1670</v>
      </c>
      <c r="D10" s="793">
        <f>'数据-汇总表'!E6</f>
        <v>83502.290000000008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1670</v>
      </c>
      <c r="D19" s="203">
        <f>'数据-汇总表'!E3</f>
        <v>83502.290000000008</v>
      </c>
      <c r="E19" s="202">
        <f>'数据-取费表'!B31</f>
        <v>200</v>
      </c>
      <c r="F19" s="222"/>
      <c r="G19" s="1" t="s">
        <v>436</v>
      </c>
    </row>
    <row r="20" spans="1:7" s="205" customFormat="1" ht="13.5" customHeight="1">
      <c r="A20" s="729" t="s">
        <v>419</v>
      </c>
      <c r="B20" s="201" t="s">
        <v>77</v>
      </c>
      <c r="C20" s="223">
        <f>ROUND((C5+C19)*F20,0)</f>
        <v>668</v>
      </c>
      <c r="D20" s="223"/>
      <c r="E20" s="223"/>
      <c r="F20" s="224">
        <f>'数据-取费表'!B37</f>
        <v>0.03</v>
      </c>
      <c r="G20" s="1001" t="s">
        <v>430</v>
      </c>
    </row>
    <row r="21" spans="1:7" s="205" customFormat="1" ht="13.5" customHeight="1">
      <c r="A21" s="729" t="s">
        <v>421</v>
      </c>
      <c r="B21" s="201" t="s">
        <v>78</v>
      </c>
      <c r="C21" s="226">
        <f>F21</f>
        <v>0.03</v>
      </c>
      <c r="D21" s="227" t="s">
        <v>99</v>
      </c>
      <c r="E21" s="223"/>
      <c r="F21" s="224">
        <f>'数据-取费表'!B38</f>
        <v>0.03</v>
      </c>
      <c r="G21" s="225" t="s">
        <v>79</v>
      </c>
    </row>
    <row r="22" spans="1:7" s="205" customFormat="1" ht="13.5" customHeight="1">
      <c r="A22" s="729" t="s">
        <v>341</v>
      </c>
      <c r="B22" s="201" t="s">
        <v>80</v>
      </c>
      <c r="C22" s="1038">
        <f ca="1">ROUND(SUM(C23:C25),0)</f>
        <v>2096</v>
      </c>
      <c r="D22" s="226">
        <f ca="1">C26</f>
        <v>1.4E-3</v>
      </c>
      <c r="E22" s="227" t="s">
        <v>99</v>
      </c>
      <c r="F22" s="228">
        <f ca="1">'数据-取费表'!B40</f>
        <v>0.03</v>
      </c>
      <c r="G22" s="1001" t="str">
        <f>IF('数据-取费表'!B22&lt;=1,"单利计息","复利计息")</f>
        <v>复利计息</v>
      </c>
    </row>
    <row r="23" spans="1:7" s="205" customFormat="1" ht="13.5" customHeight="1">
      <c r="A23" s="732" t="s">
        <v>349</v>
      </c>
      <c r="B23" s="206" t="s">
        <v>423</v>
      </c>
      <c r="C23" s="1039">
        <f ca="1">ROUND(IF('数据-取费表'!B22&lt;=1,C5*F22*'数据-取费表'!B23,C5*(POWER((1+F22),'数据-取费表'!B23)-1)),0)</f>
        <v>1911</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155</v>
      </c>
      <c r="D24" s="229"/>
      <c r="E24" s="229"/>
      <c r="F24" s="230"/>
      <c r="G24" s="231" t="s">
        <v>82</v>
      </c>
    </row>
    <row r="25" spans="1:7" s="205" customFormat="1" ht="24">
      <c r="A25" s="732" t="s">
        <v>348</v>
      </c>
      <c r="B25" s="206" t="s">
        <v>420</v>
      </c>
      <c r="C25" s="1039">
        <f ca="1">ROUND(IF('数据-取费表'!B22&lt;=1,C20*F22*'数据-取费表'!B23/2,C20*(POWER((1+F22),'数据-取费表'!B23/2)-1)),0)</f>
        <v>30</v>
      </c>
      <c r="D25" s="229"/>
      <c r="E25" s="232"/>
      <c r="F25" s="230"/>
      <c r="G25" s="233" t="s">
        <v>83</v>
      </c>
    </row>
    <row r="26" spans="1:7" s="205" customFormat="1">
      <c r="A26" s="732" t="s">
        <v>350</v>
      </c>
      <c r="B26" s="206" t="s">
        <v>422</v>
      </c>
      <c r="C26" s="229">
        <f ca="1">ROUND(IF('数据-取费表'!B22&lt;=1,F21*F22*'数据-取费表'!B23/2,F21*(POWER((1+F22),'数据-取费表'!B23/2)-1)),4)</f>
        <v>1.4E-3</v>
      </c>
      <c r="D26" s="229"/>
      <c r="E26" s="232"/>
      <c r="F26" s="230"/>
      <c r="G26" s="234"/>
    </row>
    <row r="27" spans="1:7" s="205" customFormat="1" ht="24.75">
      <c r="A27" s="729" t="s">
        <v>342</v>
      </c>
      <c r="B27" s="235" t="s">
        <v>85</v>
      </c>
      <c r="C27" s="236">
        <f>C28</f>
        <v>3442</v>
      </c>
      <c r="D27" s="226">
        <f>C29</f>
        <v>4.4999999999999997E-3</v>
      </c>
      <c r="E27" s="227" t="s">
        <v>99</v>
      </c>
      <c r="F27" s="237">
        <f>'数据-取费表'!Q16</f>
        <v>0.15</v>
      </c>
      <c r="G27" s="238" t="s">
        <v>431</v>
      </c>
    </row>
    <row r="28" spans="1:7" s="205" customFormat="1" ht="13.5" customHeight="1">
      <c r="A28" s="732" t="s">
        <v>349</v>
      </c>
      <c r="B28" s="239" t="s">
        <v>424</v>
      </c>
      <c r="C28" s="240">
        <f>ROUND((C5+C19+C20)*F27*'数据-取费表'!B21/'数据-取费表'!B20,0)</f>
        <v>3442</v>
      </c>
      <c r="D28" s="226"/>
      <c r="E28" s="227"/>
      <c r="F28" s="237"/>
      <c r="G28" s="238"/>
    </row>
    <row r="29" spans="1:7" s="205" customFormat="1" ht="13.5" customHeight="1">
      <c r="A29" s="732" t="s">
        <v>347</v>
      </c>
      <c r="B29" s="239" t="s">
        <v>425</v>
      </c>
      <c r="C29" s="229">
        <f>ROUND(C21*F27*'数据-取费表'!B21/'数据-取费表'!B20,4)</f>
        <v>4.4999999999999997E-3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31277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23818</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20699</v>
      </c>
      <c r="D34" s="208"/>
      <c r="E34" s="211"/>
      <c r="F34" s="248">
        <f>IF('数据-取费表'!B24=0,1,'数据-取费表'!N16)</f>
        <v>1</v>
      </c>
      <c r="G34" s="210" t="s">
        <v>89</v>
      </c>
    </row>
    <row r="35" spans="1:7" ht="13.5" customHeight="1">
      <c r="A35" s="732" t="s">
        <v>351</v>
      </c>
      <c r="B35" s="206" t="s">
        <v>33</v>
      </c>
      <c r="C35" s="211">
        <f>ROUND(C34*F35,0)</f>
        <v>1035</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1670</v>
      </c>
      <c r="D37" s="208">
        <f>'数据-汇总表'!E3</f>
        <v>83502.290000000008</v>
      </c>
      <c r="E37" s="240">
        <f>'数据-取费表'!B35</f>
        <v>200</v>
      </c>
      <c r="F37" s="250"/>
      <c r="G37" s="252" t="s">
        <v>92</v>
      </c>
    </row>
    <row r="38" spans="1:7" ht="13.5" customHeight="1">
      <c r="A38" s="732" t="s">
        <v>354</v>
      </c>
      <c r="B38" s="206" t="s">
        <v>36</v>
      </c>
      <c r="C38" s="211">
        <f>ROUND(C34*F38,0)</f>
        <v>414</v>
      </c>
      <c r="D38" s="211"/>
      <c r="E38" s="211"/>
      <c r="F38" s="250">
        <f>'数据-取费表'!B36</f>
        <v>0.02</v>
      </c>
      <c r="G38" s="210" t="s">
        <v>90</v>
      </c>
    </row>
    <row r="39" spans="1:7" s="205" customFormat="1" ht="13.5" customHeight="1">
      <c r="A39" s="729" t="s">
        <v>338</v>
      </c>
      <c r="B39" s="201" t="s">
        <v>77</v>
      </c>
      <c r="C39" s="223">
        <f>ROUND(C33*F20,0)</f>
        <v>715</v>
      </c>
      <c r="D39" s="223"/>
      <c r="E39" s="223"/>
      <c r="F39" s="224"/>
      <c r="G39" s="1001" t="s">
        <v>433</v>
      </c>
    </row>
    <row r="40" spans="1:7" s="205" customFormat="1" ht="13.5" customHeight="1">
      <c r="A40" s="729" t="s">
        <v>339</v>
      </c>
      <c r="B40" s="201" t="s">
        <v>78</v>
      </c>
      <c r="C40" s="253">
        <f>F21</f>
        <v>0.03</v>
      </c>
      <c r="D40" s="227" t="s">
        <v>102</v>
      </c>
      <c r="E40" s="223"/>
      <c r="F40" s="224"/>
      <c r="G40" s="225" t="s">
        <v>93</v>
      </c>
    </row>
    <row r="41" spans="1:7" s="205" customFormat="1" ht="13.5" customHeight="1">
      <c r="A41" s="729" t="s">
        <v>340</v>
      </c>
      <c r="B41" s="201" t="s">
        <v>80</v>
      </c>
      <c r="C41" s="223">
        <f ca="1">ROUND(SUM(C42:C43),0)</f>
        <v>1112</v>
      </c>
      <c r="D41" s="226">
        <f ca="1">C44</f>
        <v>1.4E-3</v>
      </c>
      <c r="E41" s="227" t="s">
        <v>102</v>
      </c>
      <c r="F41" s="228"/>
      <c r="G41" s="1001" t="str">
        <f>IF('数据-取费表'!B22&lt;=1,"单利计息","复利计息")</f>
        <v>复利计息</v>
      </c>
    </row>
    <row r="42" spans="1:7" ht="13.5" customHeight="1">
      <c r="A42" s="732" t="s">
        <v>349</v>
      </c>
      <c r="B42" s="206" t="s">
        <v>423</v>
      </c>
      <c r="C42" s="229">
        <f ca="1">ROUND(IF('数据-取费表'!B22&lt;=1,C33*F22*'数据-取费表'!B21/2,C33*(POWER((1+F22),'数据-取费表'!B21/2)-1)),0)</f>
        <v>1080</v>
      </c>
      <c r="D42" s="229"/>
      <c r="E42" s="229"/>
      <c r="F42" s="230"/>
      <c r="G42" s="3385" t="s">
        <v>94</v>
      </c>
    </row>
    <row r="43" spans="1:7" ht="13.5" customHeight="1">
      <c r="A43" s="732" t="s">
        <v>347</v>
      </c>
      <c r="B43" s="206" t="s">
        <v>426</v>
      </c>
      <c r="C43" s="229">
        <f ca="1">ROUND(IF('数据-取费表'!B22&lt;=1,C39*F22*'数据-取费表'!B21/2,C39*(POWER((1+F22),'数据-取费表'!B21/2)-1)),0)</f>
        <v>32</v>
      </c>
      <c r="D43" s="229"/>
      <c r="E43" s="229"/>
      <c r="F43" s="230"/>
      <c r="G43" s="3386"/>
    </row>
    <row r="44" spans="1:7" ht="13.5" customHeight="1">
      <c r="A44" s="732" t="s">
        <v>348</v>
      </c>
      <c r="B44" s="206" t="s">
        <v>428</v>
      </c>
      <c r="C44" s="229">
        <f ca="1">ROUND(IF('数据-取费表'!B22&lt;=1,C40*F22*'数据-取费表'!B21/2,C40*(POWER((1+F22),'数据-取费表'!B21/2)-1)),4)</f>
        <v>1.4E-3</v>
      </c>
      <c r="D44" s="229"/>
      <c r="E44" s="229"/>
      <c r="F44" s="230"/>
      <c r="G44" s="3387"/>
    </row>
    <row r="45" spans="1:7" s="205" customFormat="1" ht="13.5" customHeight="1">
      <c r="A45" s="729" t="s">
        <v>341</v>
      </c>
      <c r="B45" s="235" t="s">
        <v>85</v>
      </c>
      <c r="C45" s="236">
        <f>C46</f>
        <v>3680</v>
      </c>
      <c r="D45" s="226">
        <f>C47</f>
        <v>4.4999999999999997E-3</v>
      </c>
      <c r="E45" s="227" t="s">
        <v>102</v>
      </c>
      <c r="F45" s="237"/>
      <c r="G45" s="238" t="s">
        <v>434</v>
      </c>
    </row>
    <row r="46" spans="1:7" s="205" customFormat="1" ht="13.5" customHeight="1">
      <c r="A46" s="732" t="s">
        <v>349</v>
      </c>
      <c r="B46" s="239" t="s">
        <v>427</v>
      </c>
      <c r="C46" s="240">
        <f>ROUND((C33+C39)*F27,0)</f>
        <v>3680</v>
      </c>
      <c r="D46" s="254"/>
      <c r="E46" s="227"/>
      <c r="F46" s="237"/>
      <c r="G46" s="238"/>
    </row>
    <row r="47" spans="1:7" s="205" customFormat="1" ht="13.5" customHeight="1">
      <c r="A47" s="732" t="s">
        <v>347</v>
      </c>
      <c r="B47" s="239" t="s">
        <v>429</v>
      </c>
      <c r="C47" s="229">
        <f>ROUND(C40*F27,4)</f>
        <v>4.4999999999999997E-3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32198</v>
      </c>
      <c r="D49" s="223"/>
      <c r="E49" s="223"/>
      <c r="F49" s="255"/>
      <c r="G49" s="225" t="s">
        <v>435</v>
      </c>
    </row>
    <row r="50" spans="1:7" s="249" customFormat="1" ht="24">
      <c r="A50" s="729" t="s">
        <v>344</v>
      </c>
      <c r="B50" s="201" t="s">
        <v>97</v>
      </c>
      <c r="C50" s="223"/>
      <c r="D50" s="223"/>
      <c r="E50" s="223"/>
      <c r="F50" s="255">
        <f>IF('数据-取费表'!B24=0,'数据-取费表'!N16,1)</f>
        <v>0.8</v>
      </c>
      <c r="G50" s="238" t="s">
        <v>98</v>
      </c>
    </row>
    <row r="51" spans="1:7" ht="16.5" customHeight="1">
      <c r="A51" s="729" t="s">
        <v>345</v>
      </c>
      <c r="B51" s="201" t="s">
        <v>105</v>
      </c>
      <c r="C51" s="223">
        <f ca="1">ROUND(C49*F50,0)</f>
        <v>25758</v>
      </c>
      <c r="D51" s="223"/>
      <c r="E51" s="223"/>
      <c r="F51" s="255"/>
      <c r="G51" s="225" t="s">
        <v>37</v>
      </c>
    </row>
    <row r="52" spans="1:7" s="199" customFormat="1" ht="16.5" thickBot="1">
      <c r="A52" s="256" t="s">
        <v>38</v>
      </c>
      <c r="B52" s="257"/>
      <c r="C52" s="258">
        <f ca="1">C31+C51</f>
        <v>57035</v>
      </c>
      <c r="D52" s="257"/>
      <c r="E52" s="257"/>
      <c r="F52" s="257"/>
      <c r="G52" s="259"/>
    </row>
    <row r="55" spans="1:7" ht="15">
      <c r="B55" s="261" t="s">
        <v>39</v>
      </c>
      <c r="C55" s="262"/>
    </row>
    <row r="56" spans="1:7">
      <c r="B56" s="264" t="s">
        <v>40</v>
      </c>
      <c r="C56" s="265">
        <f ca="1">ROUND(C51/C52,3)</f>
        <v>0.45200000000000001</v>
      </c>
    </row>
    <row r="57" spans="1:7">
      <c r="B57" s="264" t="s">
        <v>41</v>
      </c>
      <c r="C57" s="266">
        <f ca="1">1-C56</f>
        <v>0.54800000000000004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30" t="s">
        <v>3170</v>
      </c>
      <c r="B1" s="3530"/>
    </row>
    <row r="2" spans="1:7" ht="14.25" thickBot="1">
      <c r="A2" s="2966"/>
      <c r="B2" s="2966"/>
    </row>
    <row r="3" spans="1:7" ht="14.25" thickBot="1">
      <c r="A3" s="2966"/>
      <c r="B3" s="2966"/>
      <c r="C3" s="2967" t="s">
        <v>2800</v>
      </c>
      <c r="D3" s="2967" t="s">
        <v>2856</v>
      </c>
      <c r="E3" s="2967" t="s">
        <v>2802</v>
      </c>
      <c r="F3" s="2967" t="s">
        <v>2857</v>
      </c>
      <c r="G3" s="2967" t="s">
        <v>2620</v>
      </c>
    </row>
    <row r="4" spans="1:7" ht="14.25" thickBot="1">
      <c r="A4" s="2968" t="s">
        <v>2855</v>
      </c>
      <c r="B4" s="2969" t="s">
        <v>2861</v>
      </c>
      <c r="C4" s="2967"/>
      <c r="D4" s="2967"/>
      <c r="E4" s="2967"/>
      <c r="F4" s="2967"/>
      <c r="G4" s="2967"/>
    </row>
    <row r="5" spans="1:7">
      <c r="A5" s="2970" t="s">
        <v>2829</v>
      </c>
      <c r="B5" s="2971" t="s">
        <v>2843</v>
      </c>
      <c r="C5" s="2972">
        <v>9.8000000000000004E-2</v>
      </c>
      <c r="D5" s="2972">
        <v>8.6999999999999994E-2</v>
      </c>
      <c r="E5" s="2972">
        <v>8.6999999999999994E-2</v>
      </c>
      <c r="F5" s="2972">
        <v>9.8000000000000004E-2</v>
      </c>
      <c r="G5" s="2973">
        <v>9.5000000000000001E-2</v>
      </c>
    </row>
    <row r="6" spans="1:7">
      <c r="A6" s="2974" t="s">
        <v>144</v>
      </c>
      <c r="B6" s="2975" t="s">
        <v>2858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2912</v>
      </c>
      <c r="C29" s="2984"/>
      <c r="D29" s="2980">
        <v>5.1999999999999998E-2</v>
      </c>
      <c r="E29" s="2980">
        <v>7.0000000000000007E-2</v>
      </c>
      <c r="F29" s="2984"/>
      <c r="G29" s="2982">
        <v>7.0999999999999994E-2</v>
      </c>
    </row>
    <row r="30" spans="1:7">
      <c r="A30" s="2985" t="s">
        <v>296</v>
      </c>
      <c r="B30" s="2971" t="s">
        <v>2845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2915</v>
      </c>
      <c r="C50" s="2976">
        <v>9.8000000000000004E-2</v>
      </c>
      <c r="D50" s="2976">
        <v>7.2999999999999995E-2</v>
      </c>
      <c r="E50" s="2976">
        <v>7.0999999999999994E-2</v>
      </c>
      <c r="F50" s="2987"/>
      <c r="G50" s="2977">
        <v>7.2999999999999995E-2</v>
      </c>
    </row>
    <row r="51" spans="1:7">
      <c r="A51" s="2986" t="s">
        <v>296</v>
      </c>
      <c r="B51" s="2975" t="s">
        <v>2917</v>
      </c>
      <c r="C51" s="2976">
        <v>9.9000000000000005E-2</v>
      </c>
      <c r="D51" s="2976">
        <v>8.5000000000000006E-2</v>
      </c>
      <c r="E51" s="2976">
        <v>6.3E-2</v>
      </c>
      <c r="F51" s="2987"/>
      <c r="G51" s="2977">
        <v>9.6000000000000002E-2</v>
      </c>
    </row>
    <row r="52" spans="1:7">
      <c r="A52" s="2986" t="s">
        <v>296</v>
      </c>
      <c r="B52" s="2975" t="s">
        <v>2921</v>
      </c>
      <c r="C52" s="2976">
        <v>7.3999999999999996E-2</v>
      </c>
      <c r="D52" s="2976">
        <v>9.6000000000000002E-2</v>
      </c>
      <c r="E52" s="2976">
        <v>0.05</v>
      </c>
      <c r="F52" s="2987"/>
      <c r="G52" s="2977">
        <v>9.8000000000000004E-2</v>
      </c>
    </row>
    <row r="53" spans="1:7">
      <c r="A53" s="2986" t="s">
        <v>296</v>
      </c>
      <c r="B53" s="2975" t="s">
        <v>2926</v>
      </c>
      <c r="C53" s="2976">
        <v>8.5999999999999993E-2</v>
      </c>
      <c r="D53" s="2987"/>
      <c r="E53" s="2976">
        <v>9.1999999999999998E-2</v>
      </c>
      <c r="F53" s="2987"/>
      <c r="G53" s="2988"/>
    </row>
    <row r="54" spans="1:7" ht="14.25" thickBot="1">
      <c r="A54" s="2989" t="s">
        <v>296</v>
      </c>
      <c r="B54" s="2979" t="s">
        <v>2929</v>
      </c>
      <c r="C54" s="2980">
        <v>9.6000000000000002E-2</v>
      </c>
      <c r="D54" s="2981"/>
      <c r="E54" s="2990"/>
      <c r="F54" s="2981"/>
      <c r="G54" s="2991"/>
    </row>
    <row r="55" spans="1:7">
      <c r="A55" s="2985" t="s">
        <v>110</v>
      </c>
      <c r="B55" s="2971" t="s">
        <v>2846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2927</v>
      </c>
      <c r="C78" s="2976">
        <v>0.1</v>
      </c>
      <c r="D78" s="2976">
        <v>8.5000000000000006E-2</v>
      </c>
      <c r="E78" s="2976">
        <v>9.6000000000000002E-2</v>
      </c>
      <c r="F78" s="2987"/>
      <c r="G78" s="2977">
        <v>9.6000000000000002E-2</v>
      </c>
    </row>
    <row r="79" spans="1:7">
      <c r="A79" s="2986" t="s">
        <v>110</v>
      </c>
      <c r="B79" s="2975" t="s">
        <v>2930</v>
      </c>
      <c r="C79" s="2976">
        <v>0.05</v>
      </c>
      <c r="D79" s="2976">
        <v>9.6000000000000002E-2</v>
      </c>
      <c r="E79" s="2976">
        <v>9.5000000000000001E-2</v>
      </c>
      <c r="F79" s="2987"/>
      <c r="G79" s="2977">
        <v>9.8000000000000004E-2</v>
      </c>
    </row>
    <row r="80" spans="1:7">
      <c r="A80" s="2986" t="s">
        <v>110</v>
      </c>
      <c r="B80" s="2975" t="s">
        <v>2934</v>
      </c>
      <c r="C80" s="2976">
        <v>8.5999999999999993E-2</v>
      </c>
      <c r="D80" s="2992"/>
      <c r="E80" s="2976">
        <v>0.1</v>
      </c>
      <c r="F80" s="2987"/>
      <c r="G80" s="2988"/>
    </row>
    <row r="81" spans="1:7">
      <c r="A81" s="2986" t="s">
        <v>110</v>
      </c>
      <c r="B81" s="2975" t="s">
        <v>2939</v>
      </c>
      <c r="C81" s="2976">
        <v>9.6000000000000002E-2</v>
      </c>
      <c r="D81" s="2987"/>
      <c r="E81" s="2976">
        <v>9.8000000000000004E-2</v>
      </c>
      <c r="F81" s="2987"/>
      <c r="G81" s="2988"/>
    </row>
    <row r="82" spans="1:7">
      <c r="A82" s="2986" t="s">
        <v>110</v>
      </c>
      <c r="B82" s="2975" t="s">
        <v>2946</v>
      </c>
      <c r="C82" s="2992"/>
      <c r="D82" s="2987"/>
      <c r="E82" s="2976">
        <v>7.6999999999999999E-2</v>
      </c>
      <c r="F82" s="2987"/>
      <c r="G82" s="2988"/>
    </row>
    <row r="83" spans="1:7">
      <c r="A83" s="2986" t="s">
        <v>110</v>
      </c>
      <c r="B83" s="2975" t="s">
        <v>2952</v>
      </c>
      <c r="C83" s="2987"/>
      <c r="D83" s="2987"/>
      <c r="E83" s="2987"/>
      <c r="F83" s="2976">
        <v>0.1</v>
      </c>
      <c r="G83" s="2993"/>
    </row>
    <row r="84" spans="1:7">
      <c r="A84" s="2986" t="s">
        <v>110</v>
      </c>
      <c r="B84" s="2975" t="s">
        <v>2959</v>
      </c>
      <c r="C84" s="2987"/>
      <c r="D84" s="2987"/>
      <c r="E84" s="2987"/>
      <c r="F84" s="2976">
        <v>0.1</v>
      </c>
      <c r="G84" s="2993"/>
    </row>
    <row r="85" spans="1:7">
      <c r="A85" s="2986" t="s">
        <v>110</v>
      </c>
      <c r="B85" s="2975" t="s">
        <v>2966</v>
      </c>
      <c r="C85" s="2987"/>
      <c r="D85" s="2987"/>
      <c r="E85" s="2987"/>
      <c r="F85" s="2976">
        <v>0.1</v>
      </c>
      <c r="G85" s="2993"/>
    </row>
    <row r="86" spans="1:7" ht="14.25" thickBot="1">
      <c r="A86" s="2989" t="s">
        <v>110</v>
      </c>
      <c r="B86" s="2979" t="s">
        <v>2971</v>
      </c>
      <c r="C86" s="2980">
        <v>9.8000000000000004E-2</v>
      </c>
      <c r="D86" s="2980">
        <v>9.8000000000000004E-2</v>
      </c>
      <c r="E86" s="2980">
        <v>9.6000000000000002E-2</v>
      </c>
      <c r="F86" s="2990"/>
      <c r="G86" s="2982">
        <v>0.1</v>
      </c>
    </row>
    <row r="87" spans="1:7">
      <c r="A87" s="2985" t="s">
        <v>303</v>
      </c>
      <c r="B87" s="2971" t="s">
        <v>2847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2940</v>
      </c>
      <c r="C113" s="2976">
        <v>0.1</v>
      </c>
      <c r="D113" s="2976">
        <v>0.1</v>
      </c>
      <c r="E113" s="2987"/>
      <c r="F113" s="2987"/>
      <c r="G113" s="2977">
        <v>0.1</v>
      </c>
    </row>
    <row r="114" spans="1:7">
      <c r="A114" s="2986" t="s">
        <v>303</v>
      </c>
      <c r="B114" s="2975" t="s">
        <v>2947</v>
      </c>
      <c r="C114" s="2976">
        <v>9.7000000000000003E-2</v>
      </c>
      <c r="D114" s="2976">
        <v>9.7000000000000003E-2</v>
      </c>
      <c r="E114" s="2987"/>
      <c r="F114" s="2987"/>
      <c r="G114" s="2977">
        <v>9.9000000000000005E-2</v>
      </c>
    </row>
    <row r="115" spans="1:7">
      <c r="A115" s="2986" t="s">
        <v>303</v>
      </c>
      <c r="B115" s="2975" t="s">
        <v>2953</v>
      </c>
      <c r="C115" s="2976">
        <v>0.1</v>
      </c>
      <c r="D115" s="2976">
        <v>0.1</v>
      </c>
      <c r="E115" s="2987"/>
      <c r="F115" s="2987"/>
      <c r="G115" s="2977">
        <v>0.1</v>
      </c>
    </row>
    <row r="116" spans="1:7">
      <c r="A116" s="2986" t="s">
        <v>303</v>
      </c>
      <c r="B116" s="2975" t="s">
        <v>2960</v>
      </c>
      <c r="C116" s="2976">
        <v>0.1</v>
      </c>
      <c r="D116" s="2976">
        <v>0.1</v>
      </c>
      <c r="E116" s="2987"/>
      <c r="F116" s="2987"/>
      <c r="G116" s="2977">
        <v>0.1</v>
      </c>
    </row>
    <row r="117" spans="1:7">
      <c r="A117" s="2986" t="s">
        <v>303</v>
      </c>
      <c r="B117" s="2975" t="s">
        <v>2967</v>
      </c>
      <c r="C117" s="2976">
        <v>9.7000000000000003E-2</v>
      </c>
      <c r="D117" s="2976">
        <v>9.7000000000000003E-2</v>
      </c>
      <c r="E117" s="2987"/>
      <c r="F117" s="2987"/>
      <c r="G117" s="2977">
        <v>9.7000000000000003E-2</v>
      </c>
    </row>
    <row r="118" spans="1:7">
      <c r="A118" s="2986" t="s">
        <v>303</v>
      </c>
      <c r="B118" s="2975" t="s">
        <v>2972</v>
      </c>
      <c r="C118" s="2976">
        <v>0.1</v>
      </c>
      <c r="D118" s="2976">
        <v>0.1</v>
      </c>
      <c r="E118" s="2987"/>
      <c r="F118" s="2987"/>
      <c r="G118" s="2977">
        <v>0.1</v>
      </c>
    </row>
    <row r="119" spans="1:7">
      <c r="A119" s="2986" t="s">
        <v>303</v>
      </c>
      <c r="B119" s="2975" t="s">
        <v>2976</v>
      </c>
      <c r="C119" s="2976">
        <v>5.0999999999999997E-2</v>
      </c>
      <c r="D119" s="2976">
        <v>5.1999999999999998E-2</v>
      </c>
      <c r="E119" s="2987"/>
      <c r="F119" s="2992"/>
      <c r="G119" s="2977">
        <v>0.06</v>
      </c>
    </row>
    <row r="120" spans="1:7">
      <c r="A120" s="2986" t="s">
        <v>303</v>
      </c>
      <c r="B120" s="2975" t="s">
        <v>2980</v>
      </c>
      <c r="C120" s="2987"/>
      <c r="D120" s="2987"/>
      <c r="E120" s="2987"/>
      <c r="F120" s="2976">
        <v>0.1</v>
      </c>
      <c r="G120" s="2993"/>
    </row>
    <row r="121" spans="1:7">
      <c r="A121" s="2986" t="s">
        <v>303</v>
      </c>
      <c r="B121" s="2975" t="s">
        <v>2985</v>
      </c>
      <c r="C121" s="2987"/>
      <c r="D121" s="2987"/>
      <c r="E121" s="2987"/>
      <c r="F121" s="2976">
        <v>0.1</v>
      </c>
      <c r="G121" s="2993"/>
    </row>
    <row r="122" spans="1:7">
      <c r="A122" s="2986" t="s">
        <v>303</v>
      </c>
      <c r="B122" s="2975" t="s">
        <v>2990</v>
      </c>
      <c r="C122" s="2976">
        <v>0.1</v>
      </c>
      <c r="D122" s="2976">
        <v>0.1</v>
      </c>
      <c r="E122" s="2976">
        <v>9.8000000000000004E-2</v>
      </c>
      <c r="F122" s="2976">
        <v>0.1</v>
      </c>
      <c r="G122" s="2977">
        <v>0.1</v>
      </c>
    </row>
    <row r="123" spans="1:7">
      <c r="A123" s="2986" t="s">
        <v>303</v>
      </c>
      <c r="B123" s="2975" t="s">
        <v>2995</v>
      </c>
      <c r="C123" s="2976">
        <v>0.1</v>
      </c>
      <c r="D123" s="2976">
        <v>0.1</v>
      </c>
      <c r="E123" s="2976">
        <v>9.8000000000000004E-2</v>
      </c>
      <c r="F123" s="2976">
        <v>0.1</v>
      </c>
      <c r="G123" s="2977">
        <v>0.1</v>
      </c>
    </row>
    <row r="124" spans="1:7">
      <c r="A124" s="2986" t="s">
        <v>303</v>
      </c>
      <c r="B124" s="2975" t="s">
        <v>3000</v>
      </c>
      <c r="C124" s="2976">
        <v>0.1</v>
      </c>
      <c r="D124" s="2976">
        <v>0.1</v>
      </c>
      <c r="E124" s="2976">
        <v>9.8000000000000004E-2</v>
      </c>
      <c r="F124" s="2992"/>
      <c r="G124" s="2977">
        <v>0.1</v>
      </c>
    </row>
    <row r="125" spans="1:7">
      <c r="A125" s="2986" t="s">
        <v>303</v>
      </c>
      <c r="B125" s="2975" t="s">
        <v>3005</v>
      </c>
      <c r="C125" s="2976">
        <v>9.8000000000000004E-2</v>
      </c>
      <c r="D125" s="2976">
        <v>9.8000000000000004E-2</v>
      </c>
      <c r="E125" s="2976">
        <v>9.6000000000000002E-2</v>
      </c>
      <c r="F125" s="2992"/>
      <c r="G125" s="2977">
        <v>0.1</v>
      </c>
    </row>
    <row r="126" spans="1:7" ht="14.25" thickBot="1">
      <c r="A126" s="2989" t="s">
        <v>303</v>
      </c>
      <c r="B126" s="2979" t="s">
        <v>3171</v>
      </c>
      <c r="C126" s="2980">
        <v>0.1</v>
      </c>
      <c r="D126" s="2980">
        <v>0.1</v>
      </c>
      <c r="E126" s="2980">
        <v>9.8000000000000004E-2</v>
      </c>
      <c r="F126" s="2980">
        <v>0.1</v>
      </c>
      <c r="G126" s="2982">
        <v>0.1</v>
      </c>
    </row>
    <row r="127" spans="1:7">
      <c r="A127" s="2985" t="s">
        <v>29</v>
      </c>
      <c r="B127" s="2971" t="s">
        <v>2848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2918</v>
      </c>
      <c r="C148" s="2976">
        <v>0.13</v>
      </c>
      <c r="D148" s="2976">
        <v>0.13</v>
      </c>
      <c r="E148" s="2976">
        <v>0.13</v>
      </c>
      <c r="F148" s="2987"/>
      <c r="G148" s="2977">
        <v>0.13</v>
      </c>
    </row>
    <row r="149" spans="1:7">
      <c r="A149" s="2986" t="s">
        <v>29</v>
      </c>
      <c r="B149" s="2975" t="s">
        <v>2922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2941</v>
      </c>
      <c r="C153" s="2976">
        <v>0.13</v>
      </c>
      <c r="D153" s="2976">
        <v>0.13</v>
      </c>
      <c r="E153" s="2976">
        <v>0.13</v>
      </c>
      <c r="F153" s="2976">
        <v>0.13</v>
      </c>
      <c r="G153" s="2977">
        <v>0.13</v>
      </c>
    </row>
    <row r="154" spans="1:7">
      <c r="A154" s="2986" t="s">
        <v>29</v>
      </c>
      <c r="B154" s="2975" t="s">
        <v>2948</v>
      </c>
      <c r="C154" s="2976">
        <v>0.121</v>
      </c>
      <c r="D154" s="2976">
        <v>0.121</v>
      </c>
      <c r="E154" s="2976">
        <v>0.105</v>
      </c>
      <c r="F154" s="2976">
        <v>0.121</v>
      </c>
      <c r="G154" s="2977">
        <v>0.123</v>
      </c>
    </row>
    <row r="155" spans="1:7">
      <c r="A155" s="2986" t="s">
        <v>29</v>
      </c>
      <c r="B155" s="2975" t="s">
        <v>2954</v>
      </c>
      <c r="C155" s="2976">
        <v>0.1</v>
      </c>
      <c r="D155" s="2976">
        <v>0.1</v>
      </c>
      <c r="E155" s="2976">
        <v>0.1</v>
      </c>
      <c r="F155" s="2976">
        <v>0.1</v>
      </c>
      <c r="G155" s="2977">
        <v>0.1</v>
      </c>
    </row>
    <row r="156" spans="1:7">
      <c r="A156" s="2986" t="s">
        <v>29</v>
      </c>
      <c r="B156" s="2975" t="s">
        <v>2961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2981</v>
      </c>
      <c r="C160" s="2976">
        <v>0.13</v>
      </c>
      <c r="D160" s="2976">
        <v>0.13</v>
      </c>
      <c r="E160" s="2976">
        <v>0.124</v>
      </c>
      <c r="F160" s="2976">
        <v>0.126</v>
      </c>
      <c r="G160" s="2977">
        <v>0.13</v>
      </c>
    </row>
    <row r="161" spans="1:7">
      <c r="A161" s="2986" t="s">
        <v>29</v>
      </c>
      <c r="B161" s="2975" t="s">
        <v>2986</v>
      </c>
      <c r="C161" s="2976">
        <v>0.13</v>
      </c>
      <c r="D161" s="2976">
        <v>0.13</v>
      </c>
      <c r="E161" s="2976">
        <v>0.124</v>
      </c>
      <c r="F161" s="2976">
        <v>0.127</v>
      </c>
      <c r="G161" s="2977">
        <v>0.13</v>
      </c>
    </row>
    <row r="162" spans="1:7">
      <c r="A162" s="2986" t="s">
        <v>29</v>
      </c>
      <c r="B162" s="2975" t="s">
        <v>2991</v>
      </c>
      <c r="C162" s="2976">
        <v>0.1</v>
      </c>
      <c r="D162" s="2976">
        <v>0.1</v>
      </c>
      <c r="E162" s="2976">
        <v>0.1</v>
      </c>
      <c r="F162" s="2976">
        <v>0.121</v>
      </c>
      <c r="G162" s="2977">
        <v>0.105</v>
      </c>
    </row>
    <row r="163" spans="1:7">
      <c r="A163" s="2986" t="s">
        <v>29</v>
      </c>
      <c r="B163" s="2975" t="s">
        <v>2996</v>
      </c>
      <c r="C163" s="2976">
        <v>0.1</v>
      </c>
      <c r="D163" s="2976">
        <v>0.1</v>
      </c>
      <c r="E163" s="2976">
        <v>0.1</v>
      </c>
      <c r="F163" s="2976">
        <v>0.1</v>
      </c>
      <c r="G163" s="2977">
        <v>0.1</v>
      </c>
    </row>
    <row r="164" spans="1:7">
      <c r="A164" s="2986" t="s">
        <v>29</v>
      </c>
      <c r="B164" s="2975" t="s">
        <v>3001</v>
      </c>
      <c r="C164" s="2992"/>
      <c r="D164" s="2992"/>
      <c r="E164" s="2992"/>
      <c r="F164" s="2976">
        <v>0.1</v>
      </c>
      <c r="G164" s="2988"/>
    </row>
    <row r="165" spans="1:7">
      <c r="A165" s="2986" t="s">
        <v>29</v>
      </c>
      <c r="B165" s="2975" t="s">
        <v>3172</v>
      </c>
      <c r="C165" s="2976">
        <v>0.126</v>
      </c>
      <c r="D165" s="2976">
        <v>0.126</v>
      </c>
      <c r="E165" s="2976">
        <v>0.11899999999999999</v>
      </c>
      <c r="F165" s="2976">
        <v>0.13</v>
      </c>
      <c r="G165" s="2977">
        <v>0.128</v>
      </c>
    </row>
    <row r="166" spans="1:7">
      <c r="A166" s="2986" t="s">
        <v>29</v>
      </c>
      <c r="B166" s="2975" t="s">
        <v>3011</v>
      </c>
      <c r="C166" s="2976">
        <v>0.129</v>
      </c>
      <c r="D166" s="2976">
        <v>0.129</v>
      </c>
      <c r="E166" s="2976">
        <v>0.123</v>
      </c>
      <c r="F166" s="2976">
        <v>0.128</v>
      </c>
      <c r="G166" s="2977">
        <v>0.13</v>
      </c>
    </row>
    <row r="167" spans="1:7">
      <c r="A167" s="2986" t="s">
        <v>29</v>
      </c>
      <c r="B167" s="2975" t="s">
        <v>3015</v>
      </c>
      <c r="C167" s="2976">
        <v>0.125</v>
      </c>
      <c r="D167" s="2976">
        <v>0.125</v>
      </c>
      <c r="E167" s="2976">
        <v>0.11700000000000001</v>
      </c>
      <c r="F167" s="2976">
        <v>0.13</v>
      </c>
      <c r="G167" s="2977">
        <v>0.126</v>
      </c>
    </row>
    <row r="168" spans="1:7">
      <c r="A168" s="2986" t="s">
        <v>29</v>
      </c>
      <c r="B168" s="2975" t="s">
        <v>3020</v>
      </c>
      <c r="C168" s="2976">
        <v>0.128</v>
      </c>
      <c r="D168" s="2976">
        <v>0.128</v>
      </c>
      <c r="E168" s="2976">
        <v>0.123</v>
      </c>
      <c r="F168" s="2987"/>
      <c r="G168" s="2977">
        <v>0.13</v>
      </c>
    </row>
    <row r="169" spans="1:7">
      <c r="A169" s="2986" t="s">
        <v>29</v>
      </c>
      <c r="B169" s="2975" t="s">
        <v>3173</v>
      </c>
      <c r="C169" s="2992"/>
      <c r="D169" s="2992"/>
      <c r="E169" s="2992"/>
      <c r="F169" s="2976">
        <v>0.05</v>
      </c>
      <c r="G169" s="2988"/>
    </row>
    <row r="170" spans="1:7">
      <c r="A170" s="2986" t="s">
        <v>29</v>
      </c>
      <c r="B170" s="2975" t="s">
        <v>3174</v>
      </c>
      <c r="C170" s="2992"/>
      <c r="D170" s="2992"/>
      <c r="E170" s="2992"/>
      <c r="F170" s="2976">
        <v>0.05</v>
      </c>
      <c r="G170" s="2988"/>
    </row>
    <row r="171" spans="1:7">
      <c r="A171" s="2986" t="s">
        <v>29</v>
      </c>
      <c r="B171" s="2975" t="s">
        <v>3175</v>
      </c>
      <c r="C171" s="2992"/>
      <c r="D171" s="2992"/>
      <c r="E171" s="2992"/>
      <c r="F171" s="2976">
        <v>0.05</v>
      </c>
      <c r="G171" s="2993"/>
    </row>
    <row r="172" spans="1:7">
      <c r="A172" s="2986" t="s">
        <v>29</v>
      </c>
      <c r="B172" s="2975" t="s">
        <v>3176</v>
      </c>
      <c r="C172" s="2992"/>
      <c r="D172" s="2992"/>
      <c r="E172" s="2992"/>
      <c r="F172" s="2976">
        <v>0.05</v>
      </c>
      <c r="G172" s="2993"/>
    </row>
    <row r="173" spans="1:7">
      <c r="A173" s="2986" t="s">
        <v>29</v>
      </c>
      <c r="B173" s="2975" t="s">
        <v>3177</v>
      </c>
      <c r="C173" s="2992"/>
      <c r="D173" s="2992"/>
      <c r="E173" s="2992"/>
      <c r="F173" s="2976">
        <v>0.05</v>
      </c>
      <c r="G173" s="2988"/>
    </row>
    <row r="174" spans="1:7">
      <c r="A174" s="2986" t="s">
        <v>29</v>
      </c>
      <c r="B174" s="2975" t="s">
        <v>3178</v>
      </c>
      <c r="C174" s="2992"/>
      <c r="D174" s="2992"/>
      <c r="E174" s="2992"/>
      <c r="F174" s="2976">
        <v>0.05</v>
      </c>
      <c r="G174" s="2988"/>
    </row>
    <row r="175" spans="1:7">
      <c r="A175" s="2986" t="s">
        <v>29</v>
      </c>
      <c r="B175" s="2975" t="s">
        <v>3179</v>
      </c>
      <c r="C175" s="2992"/>
      <c r="D175" s="2992"/>
      <c r="E175" s="2992"/>
      <c r="F175" s="2976">
        <v>0.05</v>
      </c>
      <c r="G175" s="2988"/>
    </row>
    <row r="176" spans="1:7">
      <c r="A176" s="2986" t="s">
        <v>29</v>
      </c>
      <c r="B176" s="2975" t="s">
        <v>3180</v>
      </c>
      <c r="C176" s="2992"/>
      <c r="D176" s="2992"/>
      <c r="E176" s="2992"/>
      <c r="F176" s="2976">
        <v>0.05</v>
      </c>
      <c r="G176" s="2988"/>
    </row>
    <row r="177" spans="1:7">
      <c r="A177" s="2986" t="s">
        <v>29</v>
      </c>
      <c r="B177" s="2975" t="s">
        <v>3181</v>
      </c>
      <c r="C177" s="2987"/>
      <c r="D177" s="2987"/>
      <c r="E177" s="2987"/>
      <c r="F177" s="2976">
        <v>0.05</v>
      </c>
      <c r="G177" s="2993"/>
    </row>
    <row r="178" spans="1:7">
      <c r="A178" s="2986" t="s">
        <v>29</v>
      </c>
      <c r="B178" s="2975" t="s">
        <v>3182</v>
      </c>
      <c r="C178" s="2987"/>
      <c r="D178" s="2987"/>
      <c r="E178" s="2987"/>
      <c r="F178" s="2976">
        <v>0.05</v>
      </c>
      <c r="G178" s="2993"/>
    </row>
    <row r="179" spans="1:7">
      <c r="A179" s="2986" t="s">
        <v>29</v>
      </c>
      <c r="B179" s="2975" t="s">
        <v>3183</v>
      </c>
      <c r="C179" s="2987"/>
      <c r="D179" s="2987"/>
      <c r="E179" s="2987"/>
      <c r="F179" s="2976">
        <v>0.05</v>
      </c>
      <c r="G179" s="2993"/>
    </row>
    <row r="180" spans="1:7">
      <c r="A180" s="2986" t="s">
        <v>29</v>
      </c>
      <c r="B180" s="2975" t="s">
        <v>3184</v>
      </c>
      <c r="C180" s="2987"/>
      <c r="D180" s="2987"/>
      <c r="E180" s="2987"/>
      <c r="F180" s="2976">
        <v>0.05</v>
      </c>
      <c r="G180" s="2993"/>
    </row>
    <row r="181" spans="1:7">
      <c r="A181" s="2986" t="s">
        <v>29</v>
      </c>
      <c r="B181" s="2975" t="s">
        <v>3185</v>
      </c>
      <c r="C181" s="2987"/>
      <c r="D181" s="2987"/>
      <c r="E181" s="2987"/>
      <c r="F181" s="2976">
        <v>0.05</v>
      </c>
      <c r="G181" s="2993"/>
    </row>
    <row r="182" spans="1:7">
      <c r="A182" s="2986" t="s">
        <v>29</v>
      </c>
      <c r="B182" s="2975" t="s">
        <v>3186</v>
      </c>
      <c r="C182" s="2987"/>
      <c r="D182" s="2987"/>
      <c r="E182" s="2987"/>
      <c r="F182" s="2976">
        <v>0.05</v>
      </c>
      <c r="G182" s="2993"/>
    </row>
    <row r="183" spans="1:7">
      <c r="A183" s="2986" t="s">
        <v>29</v>
      </c>
      <c r="B183" s="2975" t="s">
        <v>3187</v>
      </c>
      <c r="C183" s="2987"/>
      <c r="D183" s="2987"/>
      <c r="E183" s="2987"/>
      <c r="F183" s="2976">
        <v>0.05</v>
      </c>
      <c r="G183" s="2993"/>
    </row>
    <row r="184" spans="1:7">
      <c r="A184" s="2986" t="s">
        <v>29</v>
      </c>
      <c r="B184" s="2975" t="s">
        <v>3188</v>
      </c>
      <c r="C184" s="2987"/>
      <c r="D184" s="2987"/>
      <c r="E184" s="2987"/>
      <c r="F184" s="2976">
        <v>0.05</v>
      </c>
      <c r="G184" s="2993"/>
    </row>
    <row r="185" spans="1:7">
      <c r="A185" s="2986" t="s">
        <v>29</v>
      </c>
      <c r="B185" s="2975" t="s">
        <v>3189</v>
      </c>
      <c r="C185" s="2987"/>
      <c r="D185" s="2987"/>
      <c r="E185" s="2987"/>
      <c r="F185" s="2976">
        <v>0.05</v>
      </c>
      <c r="G185" s="2993"/>
    </row>
    <row r="186" spans="1:7">
      <c r="A186" s="2986" t="s">
        <v>29</v>
      </c>
      <c r="B186" s="2975" t="s">
        <v>3190</v>
      </c>
      <c r="C186" s="2987"/>
      <c r="D186" s="2987"/>
      <c r="E186" s="2987"/>
      <c r="F186" s="2976">
        <v>0.05</v>
      </c>
      <c r="G186" s="2993"/>
    </row>
    <row r="187" spans="1:7">
      <c r="A187" s="2986" t="s">
        <v>29</v>
      </c>
      <c r="B187" s="2975" t="s">
        <v>3191</v>
      </c>
      <c r="C187" s="2987"/>
      <c r="D187" s="2987"/>
      <c r="E187" s="2987"/>
      <c r="F187" s="2976">
        <v>0.05</v>
      </c>
      <c r="G187" s="2993"/>
    </row>
    <row r="188" spans="1:7">
      <c r="A188" s="2986" t="s">
        <v>29</v>
      </c>
      <c r="B188" s="2975" t="s">
        <v>3192</v>
      </c>
      <c r="C188" s="2987"/>
      <c r="D188" s="2987"/>
      <c r="E188" s="2987"/>
      <c r="F188" s="2976">
        <v>0.05</v>
      </c>
      <c r="G188" s="2993"/>
    </row>
    <row r="189" spans="1:7" ht="14.25" thickBot="1">
      <c r="A189" s="2989" t="s">
        <v>29</v>
      </c>
      <c r="B189" s="2979" t="s">
        <v>3193</v>
      </c>
      <c r="C189" s="2981"/>
      <c r="D189" s="2981"/>
      <c r="E189" s="2981"/>
      <c r="F189" s="2980">
        <v>0.05</v>
      </c>
      <c r="G189" s="2994"/>
    </row>
    <row r="190" spans="1:7">
      <c r="A190" s="2985" t="s">
        <v>304</v>
      </c>
      <c r="B190" s="2971" t="s">
        <v>2849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2885</v>
      </c>
      <c r="C199" s="2976">
        <v>0.13</v>
      </c>
      <c r="D199" s="2976">
        <v>0.13</v>
      </c>
      <c r="E199" s="2976">
        <v>0.13</v>
      </c>
      <c r="F199" s="2976">
        <v>0.13</v>
      </c>
      <c r="G199" s="2977">
        <v>0.13</v>
      </c>
    </row>
    <row r="200" spans="1:7">
      <c r="A200" s="2986" t="s">
        <v>304</v>
      </c>
      <c r="B200" s="2975" t="s">
        <v>2888</v>
      </c>
      <c r="C200" s="2992"/>
      <c r="D200" s="2992"/>
      <c r="E200" s="2992"/>
      <c r="F200" s="2976">
        <v>0.13</v>
      </c>
      <c r="G200" s="2988"/>
    </row>
    <row r="201" spans="1:7">
      <c r="A201" s="2986" t="s">
        <v>304</v>
      </c>
      <c r="B201" s="2975" t="s">
        <v>2893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2896</v>
      </c>
      <c r="C203" s="2976">
        <v>0.129</v>
      </c>
      <c r="D203" s="2976">
        <v>0.129</v>
      </c>
      <c r="E203" s="2976">
        <v>0.13</v>
      </c>
      <c r="F203" s="2976">
        <v>0.13</v>
      </c>
      <c r="G203" s="2977">
        <v>0.13</v>
      </c>
    </row>
    <row r="204" spans="1:7">
      <c r="A204" s="2986" t="s">
        <v>304</v>
      </c>
      <c r="B204" s="2975" t="s">
        <v>2899</v>
      </c>
      <c r="C204" s="2976">
        <v>0.129</v>
      </c>
      <c r="D204" s="2976">
        <v>0.129</v>
      </c>
      <c r="E204" s="2976">
        <v>0.123</v>
      </c>
      <c r="F204" s="2976">
        <v>0.13</v>
      </c>
      <c r="G204" s="2977">
        <v>0.13</v>
      </c>
    </row>
    <row r="205" spans="1:7">
      <c r="A205" s="2986" t="s">
        <v>304</v>
      </c>
      <c r="B205" s="2975" t="s">
        <v>2901</v>
      </c>
      <c r="C205" s="2976">
        <v>0.13</v>
      </c>
      <c r="D205" s="2976">
        <v>0.13</v>
      </c>
      <c r="E205" s="2976">
        <v>0.13</v>
      </c>
      <c r="F205" s="2976">
        <v>0.13</v>
      </c>
      <c r="G205" s="2977">
        <v>0.13</v>
      </c>
    </row>
    <row r="206" spans="1:7">
      <c r="A206" s="2986" t="s">
        <v>304</v>
      </c>
      <c r="B206" s="2975" t="s">
        <v>2904</v>
      </c>
      <c r="C206" s="2976">
        <v>0.13</v>
      </c>
      <c r="D206" s="2976">
        <v>0.13</v>
      </c>
      <c r="E206" s="2976">
        <v>0.13</v>
      </c>
      <c r="F206" s="2976">
        <v>0.128</v>
      </c>
      <c r="G206" s="2977">
        <v>0.13</v>
      </c>
    </row>
    <row r="207" spans="1:7">
      <c r="A207" s="2986" t="s">
        <v>304</v>
      </c>
      <c r="B207" s="2975" t="s">
        <v>2906</v>
      </c>
      <c r="C207" s="2976">
        <v>0.13</v>
      </c>
      <c r="D207" s="2976">
        <v>0.13</v>
      </c>
      <c r="E207" s="2976">
        <v>0.13</v>
      </c>
      <c r="F207" s="2976">
        <v>0.13</v>
      </c>
      <c r="G207" s="2977">
        <v>0.13</v>
      </c>
    </row>
    <row r="208" spans="1:7">
      <c r="A208" s="2986" t="s">
        <v>304</v>
      </c>
      <c r="B208" s="2975" t="s">
        <v>2909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2916</v>
      </c>
      <c r="C210" s="2976">
        <v>0.121</v>
      </c>
      <c r="D210" s="2976">
        <v>0.121</v>
      </c>
      <c r="E210" s="2976">
        <v>0.125</v>
      </c>
      <c r="F210" s="2976">
        <v>0.13</v>
      </c>
      <c r="G210" s="2977">
        <v>0.123</v>
      </c>
    </row>
    <row r="211" spans="1:7">
      <c r="A211" s="2986" t="s">
        <v>304</v>
      </c>
      <c r="B211" s="2975" t="s">
        <v>2919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2931</v>
      </c>
      <c r="C214" s="2976">
        <v>0.128</v>
      </c>
      <c r="D214" s="2976">
        <v>0.128</v>
      </c>
      <c r="E214" s="2976">
        <v>0.13</v>
      </c>
      <c r="F214" s="2976">
        <v>0.13</v>
      </c>
      <c r="G214" s="2977">
        <v>0.13</v>
      </c>
    </row>
    <row r="215" spans="1:7">
      <c r="A215" s="2986" t="s">
        <v>304</v>
      </c>
      <c r="B215" s="2975" t="s">
        <v>2935</v>
      </c>
      <c r="C215" s="2976">
        <v>0.13</v>
      </c>
      <c r="D215" s="2976">
        <v>0.13</v>
      </c>
      <c r="E215" s="2976">
        <v>0.13</v>
      </c>
      <c r="F215" s="2976">
        <v>0.129</v>
      </c>
      <c r="G215" s="2977">
        <v>0.13</v>
      </c>
    </row>
    <row r="216" spans="1:7">
      <c r="A216" s="2986" t="s">
        <v>304</v>
      </c>
      <c r="B216" s="2975" t="s">
        <v>2942</v>
      </c>
      <c r="C216" s="2976">
        <v>0.13</v>
      </c>
      <c r="D216" s="2976">
        <v>0.13</v>
      </c>
      <c r="E216" s="2976">
        <v>0.13</v>
      </c>
      <c r="F216" s="2976">
        <v>0.13</v>
      </c>
      <c r="G216" s="2977">
        <v>0.13</v>
      </c>
    </row>
    <row r="217" spans="1:7">
      <c r="A217" s="2986" t="s">
        <v>304</v>
      </c>
      <c r="B217" s="2975" t="s">
        <v>2949</v>
      </c>
      <c r="C217" s="2976">
        <v>0.129</v>
      </c>
      <c r="D217" s="2976">
        <v>0.129</v>
      </c>
      <c r="E217" s="2976">
        <v>0.13</v>
      </c>
      <c r="F217" s="2976">
        <v>0.13</v>
      </c>
      <c r="G217" s="2977">
        <v>0.13</v>
      </c>
    </row>
    <row r="218" spans="1:7">
      <c r="A218" s="2986" t="s">
        <v>304</v>
      </c>
      <c r="B218" s="2975" t="s">
        <v>2955</v>
      </c>
      <c r="C218" s="2987"/>
      <c r="D218" s="2987"/>
      <c r="E218" s="2987"/>
      <c r="F218" s="2976">
        <v>0.05</v>
      </c>
      <c r="G218" s="2993"/>
    </row>
    <row r="219" spans="1:7">
      <c r="A219" s="2986" t="s">
        <v>304</v>
      </c>
      <c r="B219" s="2975" t="s">
        <v>2962</v>
      </c>
      <c r="C219" s="2987"/>
      <c r="D219" s="2987"/>
      <c r="E219" s="2987"/>
      <c r="F219" s="2976">
        <v>0.05</v>
      </c>
      <c r="G219" s="2993"/>
    </row>
    <row r="220" spans="1:7">
      <c r="A220" s="2986" t="s">
        <v>304</v>
      </c>
      <c r="B220" s="2975" t="s">
        <v>2968</v>
      </c>
      <c r="C220" s="2987"/>
      <c r="D220" s="2987"/>
      <c r="E220" s="2987"/>
      <c r="F220" s="2976">
        <v>0.05</v>
      </c>
      <c r="G220" s="2993"/>
    </row>
    <row r="221" spans="1:7">
      <c r="A221" s="2986" t="s">
        <v>304</v>
      </c>
      <c r="B221" s="2975" t="s">
        <v>2973</v>
      </c>
      <c r="C221" s="2987"/>
      <c r="D221" s="2987"/>
      <c r="E221" s="2987"/>
      <c r="F221" s="2976">
        <v>0.05</v>
      </c>
      <c r="G221" s="2993"/>
    </row>
    <row r="222" spans="1:7">
      <c r="A222" s="2986" t="s">
        <v>304</v>
      </c>
      <c r="B222" s="2975" t="s">
        <v>2977</v>
      </c>
      <c r="C222" s="2987"/>
      <c r="D222" s="2987"/>
      <c r="E222" s="2987"/>
      <c r="F222" s="2976">
        <v>0.05</v>
      </c>
      <c r="G222" s="2993"/>
    </row>
    <row r="223" spans="1:7">
      <c r="A223" s="2986" t="s">
        <v>304</v>
      </c>
      <c r="B223" s="2975" t="s">
        <v>2982</v>
      </c>
      <c r="C223" s="2987"/>
      <c r="D223" s="2987"/>
      <c r="E223" s="2987"/>
      <c r="F223" s="2976">
        <v>0.05</v>
      </c>
      <c r="G223" s="2993"/>
    </row>
    <row r="224" spans="1:7">
      <c r="A224" s="2986" t="s">
        <v>304</v>
      </c>
      <c r="B224" s="2975" t="s">
        <v>2987</v>
      </c>
      <c r="C224" s="2987"/>
      <c r="D224" s="2987"/>
      <c r="E224" s="2987"/>
      <c r="F224" s="2976">
        <v>0.05</v>
      </c>
      <c r="G224" s="2993"/>
    </row>
    <row r="225" spans="1:7">
      <c r="A225" s="2986" t="s">
        <v>304</v>
      </c>
      <c r="B225" s="2975" t="s">
        <v>2992</v>
      </c>
      <c r="C225" s="2987"/>
      <c r="D225" s="2987"/>
      <c r="E225" s="2987"/>
      <c r="F225" s="2976">
        <v>0.05</v>
      </c>
      <c r="G225" s="2993"/>
    </row>
    <row r="226" spans="1:7">
      <c r="A226" s="2986" t="s">
        <v>304</v>
      </c>
      <c r="B226" s="2975" t="s">
        <v>3194</v>
      </c>
      <c r="C226" s="2987"/>
      <c r="D226" s="2987"/>
      <c r="E226" s="2987"/>
      <c r="F226" s="2976">
        <v>0.05</v>
      </c>
      <c r="G226" s="2993"/>
    </row>
    <row r="227" spans="1:7">
      <c r="A227" s="2986" t="s">
        <v>304</v>
      </c>
      <c r="B227" s="2975" t="s">
        <v>3195</v>
      </c>
      <c r="C227" s="2987"/>
      <c r="D227" s="2987"/>
      <c r="E227" s="2987"/>
      <c r="F227" s="2976">
        <v>0.05</v>
      </c>
      <c r="G227" s="2993"/>
    </row>
    <row r="228" spans="1:7">
      <c r="A228" s="2986" t="s">
        <v>304</v>
      </c>
      <c r="B228" s="2975" t="s">
        <v>3196</v>
      </c>
      <c r="C228" s="2987"/>
      <c r="D228" s="2987"/>
      <c r="E228" s="2987"/>
      <c r="F228" s="2976">
        <v>0.05</v>
      </c>
      <c r="G228" s="2993"/>
    </row>
    <row r="229" spans="1:7">
      <c r="A229" s="2986" t="s">
        <v>304</v>
      </c>
      <c r="B229" s="2975" t="s">
        <v>3197</v>
      </c>
      <c r="C229" s="2987"/>
      <c r="D229" s="2987"/>
      <c r="E229" s="2987"/>
      <c r="F229" s="2976">
        <v>0.05</v>
      </c>
      <c r="G229" s="2993"/>
    </row>
    <row r="230" spans="1:7">
      <c r="A230" s="2986" t="s">
        <v>304</v>
      </c>
      <c r="B230" s="2975" t="s">
        <v>3198</v>
      </c>
      <c r="C230" s="2987"/>
      <c r="D230" s="2987"/>
      <c r="E230" s="2987"/>
      <c r="F230" s="2976">
        <v>0.05</v>
      </c>
      <c r="G230" s="2993"/>
    </row>
    <row r="231" spans="1:7">
      <c r="A231" s="2986" t="s">
        <v>304</v>
      </c>
      <c r="B231" s="2975" t="s">
        <v>3199</v>
      </c>
      <c r="C231" s="2987"/>
      <c r="D231" s="2987"/>
      <c r="E231" s="2987"/>
      <c r="F231" s="2976">
        <v>0.05</v>
      </c>
      <c r="G231" s="2993"/>
    </row>
    <row r="232" spans="1:7">
      <c r="A232" s="2986" t="s">
        <v>304</v>
      </c>
      <c r="B232" s="2975" t="s">
        <v>3200</v>
      </c>
      <c r="C232" s="2987"/>
      <c r="D232" s="2987"/>
      <c r="E232" s="2987"/>
      <c r="F232" s="2976">
        <v>0.05</v>
      </c>
      <c r="G232" s="2993"/>
    </row>
    <row r="233" spans="1:7" ht="14.25" thickBot="1">
      <c r="A233" s="2989" t="s">
        <v>304</v>
      </c>
      <c r="B233" s="2979" t="s">
        <v>3201</v>
      </c>
      <c r="C233" s="2981"/>
      <c r="D233" s="2981"/>
      <c r="E233" s="2981"/>
      <c r="F233" s="2980">
        <v>0.05</v>
      </c>
      <c r="G233" s="2994"/>
    </row>
    <row r="234" spans="1:7">
      <c r="A234" s="2985" t="s">
        <v>305</v>
      </c>
      <c r="B234" s="2971" t="s">
        <v>2850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2870</v>
      </c>
      <c r="C238" s="2976">
        <v>0.14899999999999999</v>
      </c>
      <c r="D238" s="2976">
        <v>0.14899999999999999</v>
      </c>
      <c r="E238" s="2976">
        <v>0.15</v>
      </c>
      <c r="F238" s="2976">
        <v>0.15</v>
      </c>
      <c r="G238" s="2977">
        <v>0.15</v>
      </c>
    </row>
    <row r="239" spans="1:7">
      <c r="A239" s="2986" t="s">
        <v>305</v>
      </c>
      <c r="B239" s="2975" t="s">
        <v>2874</v>
      </c>
      <c r="C239" s="2976">
        <v>0.15</v>
      </c>
      <c r="D239" s="2976">
        <v>0.15</v>
      </c>
      <c r="E239" s="2976">
        <v>0.15</v>
      </c>
      <c r="F239" s="2976">
        <v>0.15</v>
      </c>
      <c r="G239" s="2977">
        <v>0.15</v>
      </c>
    </row>
    <row r="240" spans="1:7">
      <c r="A240" s="2986" t="s">
        <v>305</v>
      </c>
      <c r="B240" s="2975" t="s">
        <v>2879</v>
      </c>
      <c r="C240" s="2976">
        <v>0.15</v>
      </c>
      <c r="D240" s="2976">
        <v>0.15</v>
      </c>
      <c r="E240" s="2976">
        <v>0.15</v>
      </c>
      <c r="F240" s="2976">
        <v>0.15</v>
      </c>
      <c r="G240" s="2977">
        <v>0.15</v>
      </c>
    </row>
    <row r="241" spans="1:7">
      <c r="A241" s="2986" t="s">
        <v>305</v>
      </c>
      <c r="B241" s="2975" t="s">
        <v>2883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2932</v>
      </c>
      <c r="C258" s="2976">
        <v>0.14299999999999999</v>
      </c>
      <c r="D258" s="2976">
        <v>0.14299999999999999</v>
      </c>
      <c r="E258" s="2976">
        <v>0.15</v>
      </c>
      <c r="F258" s="2976">
        <v>0.14799999999999999</v>
      </c>
      <c r="G258" s="2977">
        <v>0.14599999999999999</v>
      </c>
    </row>
    <row r="259" spans="1:7">
      <c r="A259" s="2986" t="s">
        <v>305</v>
      </c>
      <c r="B259" s="2975" t="s">
        <v>2936</v>
      </c>
      <c r="C259" s="2976">
        <v>0.14399999999999999</v>
      </c>
      <c r="D259" s="2976">
        <v>0.14399999999999999</v>
      </c>
      <c r="E259" s="2976">
        <v>0.14899999999999999</v>
      </c>
      <c r="F259" s="2976">
        <v>0.14699999999999999</v>
      </c>
      <c r="G259" s="2977">
        <v>0.14599999999999999</v>
      </c>
    </row>
    <row r="260" spans="1:7">
      <c r="A260" s="2986" t="s">
        <v>305</v>
      </c>
      <c r="B260" s="2975" t="s">
        <v>2943</v>
      </c>
      <c r="C260" s="2976">
        <v>0.109</v>
      </c>
      <c r="D260" s="2976">
        <v>0.111</v>
      </c>
      <c r="E260" s="2976">
        <v>0.13100000000000001</v>
      </c>
      <c r="F260" s="2976">
        <v>0.126</v>
      </c>
      <c r="G260" s="2977">
        <v>0.11899999999999999</v>
      </c>
    </row>
    <row r="261" spans="1:7">
      <c r="A261" s="2986" t="s">
        <v>305</v>
      </c>
      <c r="B261" s="2975" t="s">
        <v>2950</v>
      </c>
      <c r="C261" s="2976">
        <v>0.1</v>
      </c>
      <c r="D261" s="2976">
        <v>0.1</v>
      </c>
      <c r="E261" s="2976">
        <v>0.11799999999999999</v>
      </c>
      <c r="F261" s="2976">
        <v>0.108</v>
      </c>
      <c r="G261" s="2977">
        <v>0.107</v>
      </c>
    </row>
    <row r="262" spans="1:7">
      <c r="A262" s="2986" t="s">
        <v>305</v>
      </c>
      <c r="B262" s="2975" t="s">
        <v>2956</v>
      </c>
      <c r="C262" s="2976">
        <v>0.1</v>
      </c>
      <c r="D262" s="2976">
        <v>0.1</v>
      </c>
      <c r="E262" s="2976">
        <v>0.1</v>
      </c>
      <c r="F262" s="2976">
        <v>0.14099999999999999</v>
      </c>
      <c r="G262" s="2977">
        <v>0.1</v>
      </c>
    </row>
    <row r="263" spans="1:7">
      <c r="A263" s="2986" t="s">
        <v>305</v>
      </c>
      <c r="B263" s="2975" t="s">
        <v>2963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2974</v>
      </c>
      <c r="C265" s="2987"/>
      <c r="D265" s="2987"/>
      <c r="E265" s="2987"/>
      <c r="F265" s="2976">
        <v>0.05</v>
      </c>
      <c r="G265" s="2993"/>
    </row>
    <row r="266" spans="1:7">
      <c r="A266" s="2986" t="s">
        <v>305</v>
      </c>
      <c r="B266" s="2975" t="s">
        <v>2978</v>
      </c>
      <c r="C266" s="2987"/>
      <c r="D266" s="2987"/>
      <c r="E266" s="2987"/>
      <c r="F266" s="2976">
        <v>0.05</v>
      </c>
      <c r="G266" s="2993"/>
    </row>
    <row r="267" spans="1:7">
      <c r="A267" s="2986" t="s">
        <v>305</v>
      </c>
      <c r="B267" s="2975" t="s">
        <v>2983</v>
      </c>
      <c r="C267" s="2987"/>
      <c r="D267" s="2987"/>
      <c r="E267" s="2987"/>
      <c r="F267" s="2976">
        <v>0.05</v>
      </c>
      <c r="G267" s="2993"/>
    </row>
    <row r="268" spans="1:7">
      <c r="A268" s="2986" t="s">
        <v>305</v>
      </c>
      <c r="B268" s="2975" t="s">
        <v>2988</v>
      </c>
      <c r="C268" s="2987"/>
      <c r="D268" s="2987"/>
      <c r="E268" s="2987"/>
      <c r="F268" s="2976">
        <v>0.05</v>
      </c>
      <c r="G268" s="2993"/>
    </row>
    <row r="269" spans="1:7">
      <c r="A269" s="2986" t="s">
        <v>305</v>
      </c>
      <c r="B269" s="2975" t="s">
        <v>2993</v>
      </c>
      <c r="C269" s="2987"/>
      <c r="D269" s="2987"/>
      <c r="E269" s="2987"/>
      <c r="F269" s="2976">
        <v>0.05</v>
      </c>
      <c r="G269" s="2993"/>
    </row>
    <row r="270" spans="1:7">
      <c r="A270" s="2986" t="s">
        <v>305</v>
      </c>
      <c r="B270" s="2975" t="s">
        <v>2998</v>
      </c>
      <c r="C270" s="2987"/>
      <c r="D270" s="2987"/>
      <c r="E270" s="2987"/>
      <c r="F270" s="2976">
        <v>0.05</v>
      </c>
      <c r="G270" s="2993"/>
    </row>
    <row r="271" spans="1:7">
      <c r="A271" s="2986" t="s">
        <v>305</v>
      </c>
      <c r="B271" s="2975" t="s">
        <v>3202</v>
      </c>
      <c r="C271" s="2987"/>
      <c r="D271" s="2987"/>
      <c r="E271" s="2987"/>
      <c r="F271" s="2976">
        <v>0.05</v>
      </c>
      <c r="G271" s="2993"/>
    </row>
    <row r="272" spans="1:7">
      <c r="A272" s="2986" t="s">
        <v>305</v>
      </c>
      <c r="B272" s="2975" t="s">
        <v>3203</v>
      </c>
      <c r="C272" s="2987"/>
      <c r="D272" s="2987"/>
      <c r="E272" s="2987"/>
      <c r="F272" s="2976">
        <v>0.05</v>
      </c>
      <c r="G272" s="2993"/>
    </row>
    <row r="273" spans="1:7">
      <c r="A273" s="2986" t="s">
        <v>305</v>
      </c>
      <c r="B273" s="2975" t="s">
        <v>3204</v>
      </c>
      <c r="C273" s="2987"/>
      <c r="D273" s="2987"/>
      <c r="E273" s="2987"/>
      <c r="F273" s="2976">
        <v>0.05</v>
      </c>
      <c r="G273" s="2993"/>
    </row>
    <row r="274" spans="1:7">
      <c r="A274" s="2986" t="s">
        <v>305</v>
      </c>
      <c r="B274" s="2975" t="s">
        <v>3205</v>
      </c>
      <c r="C274" s="2987"/>
      <c r="D274" s="2987"/>
      <c r="E274" s="2987"/>
      <c r="F274" s="2976">
        <v>0.05</v>
      </c>
      <c r="G274" s="2993"/>
    </row>
    <row r="275" spans="1:7">
      <c r="A275" s="2986" t="s">
        <v>305</v>
      </c>
      <c r="B275" s="2975" t="s">
        <v>3206</v>
      </c>
      <c r="C275" s="2987"/>
      <c r="D275" s="2987"/>
      <c r="E275" s="2987"/>
      <c r="F275" s="2976">
        <v>0.05</v>
      </c>
      <c r="G275" s="2993"/>
    </row>
    <row r="276" spans="1:7" ht="14.25" thickBot="1">
      <c r="A276" s="2989" t="s">
        <v>305</v>
      </c>
      <c r="B276" s="2979" t="s">
        <v>3207</v>
      </c>
      <c r="C276" s="2981"/>
      <c r="D276" s="2981"/>
      <c r="E276" s="2981"/>
      <c r="F276" s="2980">
        <v>0.05</v>
      </c>
      <c r="G276" s="2994"/>
    </row>
    <row r="277" spans="1:7">
      <c r="A277" s="2985" t="s">
        <v>306</v>
      </c>
      <c r="B277" s="2971" t="s">
        <v>2851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2863</v>
      </c>
      <c r="C279" s="2976">
        <v>0.15</v>
      </c>
      <c r="D279" s="2976">
        <v>0.15</v>
      </c>
      <c r="E279" s="2976">
        <v>0.15</v>
      </c>
      <c r="F279" s="2976">
        <v>0.15</v>
      </c>
      <c r="G279" s="2977">
        <v>0.15</v>
      </c>
    </row>
    <row r="280" spans="1:7">
      <c r="A280" s="2986" t="s">
        <v>306</v>
      </c>
      <c r="B280" s="2975" t="s">
        <v>2867</v>
      </c>
      <c r="C280" s="2976">
        <v>0.15</v>
      </c>
      <c r="D280" s="2976">
        <v>0.15</v>
      </c>
      <c r="E280" s="2976">
        <v>0.15</v>
      </c>
      <c r="F280" s="2976">
        <v>0.15</v>
      </c>
      <c r="G280" s="2977">
        <v>0.15</v>
      </c>
    </row>
    <row r="281" spans="1:7">
      <c r="A281" s="2986" t="s">
        <v>306</v>
      </c>
      <c r="B281" s="2975" t="s">
        <v>2871</v>
      </c>
      <c r="C281" s="2976">
        <v>0.15</v>
      </c>
      <c r="D281" s="2976">
        <v>0.15</v>
      </c>
      <c r="E281" s="2976">
        <v>0.15</v>
      </c>
      <c r="F281" s="2976">
        <v>0.15</v>
      </c>
      <c r="G281" s="2977">
        <v>0.15</v>
      </c>
    </row>
    <row r="282" spans="1:7">
      <c r="A282" s="2986" t="s">
        <v>306</v>
      </c>
      <c r="B282" s="2975" t="s">
        <v>2875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2905</v>
      </c>
      <c r="C293" s="2976">
        <v>0.15</v>
      </c>
      <c r="D293" s="2976">
        <v>0.15</v>
      </c>
      <c r="E293" s="2976">
        <v>0.15</v>
      </c>
      <c r="F293" s="2976">
        <v>0.14499999999999999</v>
      </c>
      <c r="G293" s="2977">
        <v>0.15</v>
      </c>
    </row>
    <row r="294" spans="1:7">
      <c r="A294" s="2986" t="s">
        <v>306</v>
      </c>
      <c r="B294" s="2975" t="s">
        <v>2907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2937</v>
      </c>
      <c r="C302" s="2976">
        <v>0.15</v>
      </c>
      <c r="D302" s="2976">
        <v>0.15</v>
      </c>
      <c r="E302" s="2976">
        <v>0.15</v>
      </c>
      <c r="F302" s="2976">
        <v>0.14699999999999999</v>
      </c>
      <c r="G302" s="2977">
        <v>0.15</v>
      </c>
    </row>
    <row r="303" spans="1:7">
      <c r="A303" s="2986" t="s">
        <v>306</v>
      </c>
      <c r="B303" s="2975" t="s">
        <v>2944</v>
      </c>
      <c r="C303" s="2976">
        <v>0.15</v>
      </c>
      <c r="D303" s="2976">
        <v>0.15</v>
      </c>
      <c r="E303" s="2976">
        <v>0.15</v>
      </c>
      <c r="F303" s="2976">
        <v>0.14199999999999999</v>
      </c>
      <c r="G303" s="2977">
        <v>0.15</v>
      </c>
    </row>
    <row r="304" spans="1:7">
      <c r="A304" s="2986" t="s">
        <v>306</v>
      </c>
      <c r="B304" s="2975" t="s">
        <v>2951</v>
      </c>
      <c r="C304" s="2976">
        <v>0.15</v>
      </c>
      <c r="D304" s="2976">
        <v>0.15</v>
      </c>
      <c r="E304" s="2976">
        <v>0.15</v>
      </c>
      <c r="F304" s="2976">
        <v>0.14499999999999999</v>
      </c>
      <c r="G304" s="2977">
        <v>0.15</v>
      </c>
    </row>
    <row r="305" spans="1:7">
      <c r="A305" s="2986" t="s">
        <v>306</v>
      </c>
      <c r="B305" s="2975" t="s">
        <v>2957</v>
      </c>
      <c r="C305" s="2976">
        <v>0.15</v>
      </c>
      <c r="D305" s="2976">
        <v>0.15</v>
      </c>
      <c r="E305" s="2976">
        <v>0.15</v>
      </c>
      <c r="F305" s="2976">
        <v>0.111</v>
      </c>
      <c r="G305" s="2977">
        <v>0.15</v>
      </c>
    </row>
    <row r="306" spans="1:7">
      <c r="A306" s="2986" t="s">
        <v>306</v>
      </c>
      <c r="B306" s="2975" t="s">
        <v>2964</v>
      </c>
      <c r="C306" s="2976">
        <v>0.15</v>
      </c>
      <c r="D306" s="2976">
        <v>0.15</v>
      </c>
      <c r="E306" s="2976">
        <v>0.15</v>
      </c>
      <c r="F306" s="2976">
        <v>0.126</v>
      </c>
      <c r="G306" s="2977">
        <v>0.15</v>
      </c>
    </row>
    <row r="307" spans="1:7">
      <c r="A307" s="2986" t="s">
        <v>306</v>
      </c>
      <c r="B307" s="2975" t="s">
        <v>2969</v>
      </c>
      <c r="C307" s="2976">
        <v>0.15</v>
      </c>
      <c r="D307" s="2976">
        <v>0.15</v>
      </c>
      <c r="E307" s="2976">
        <v>0.15</v>
      </c>
      <c r="F307" s="2976">
        <v>0.12</v>
      </c>
      <c r="G307" s="2977">
        <v>0.15</v>
      </c>
    </row>
    <row r="308" spans="1:7">
      <c r="A308" s="2986" t="s">
        <v>306</v>
      </c>
      <c r="B308" s="2975" t="s">
        <v>2975</v>
      </c>
      <c r="C308" s="2976">
        <v>0.15</v>
      </c>
      <c r="D308" s="2976">
        <v>0.15</v>
      </c>
      <c r="E308" s="2976">
        <v>0.15</v>
      </c>
      <c r="F308" s="2976">
        <v>0.13</v>
      </c>
      <c r="G308" s="2977">
        <v>0.15</v>
      </c>
    </row>
    <row r="309" spans="1:7">
      <c r="A309" s="2986" t="s">
        <v>306</v>
      </c>
      <c r="B309" s="2975" t="s">
        <v>2979</v>
      </c>
      <c r="C309" s="2976">
        <v>0.15</v>
      </c>
      <c r="D309" s="2976">
        <v>0.15</v>
      </c>
      <c r="E309" s="2976">
        <v>0.15</v>
      </c>
      <c r="F309" s="2976">
        <v>0.14099999999999999</v>
      </c>
      <c r="G309" s="2977">
        <v>0.15</v>
      </c>
    </row>
    <row r="310" spans="1:7">
      <c r="A310" s="2986" t="s">
        <v>306</v>
      </c>
      <c r="B310" s="2975" t="s">
        <v>2984</v>
      </c>
      <c r="C310" s="2976">
        <v>0.15</v>
      </c>
      <c r="D310" s="2976">
        <v>0.15</v>
      </c>
      <c r="E310" s="2976">
        <v>0.15</v>
      </c>
      <c r="F310" s="2976">
        <v>0.15</v>
      </c>
      <c r="G310" s="2977">
        <v>0.15</v>
      </c>
    </row>
    <row r="311" spans="1:7">
      <c r="A311" s="2986" t="s">
        <v>306</v>
      </c>
      <c r="B311" s="2975" t="s">
        <v>2989</v>
      </c>
      <c r="C311" s="2976">
        <v>0.13200000000000001</v>
      </c>
      <c r="D311" s="2976">
        <v>0.13300000000000001</v>
      </c>
      <c r="E311" s="2976">
        <v>0.14499999999999999</v>
      </c>
      <c r="F311" s="2976">
        <v>0.14199999999999999</v>
      </c>
      <c r="G311" s="2977">
        <v>0.14000000000000001</v>
      </c>
    </row>
    <row r="312" spans="1:7">
      <c r="A312" s="2986" t="s">
        <v>306</v>
      </c>
      <c r="B312" s="2975" t="s">
        <v>2994</v>
      </c>
      <c r="C312" s="2976">
        <v>0.13800000000000001</v>
      </c>
      <c r="D312" s="2976">
        <v>0.14000000000000001</v>
      </c>
      <c r="E312" s="2976">
        <v>0.14599999999999999</v>
      </c>
      <c r="F312" s="2976">
        <v>0.14899999999999999</v>
      </c>
      <c r="G312" s="2977">
        <v>0.14199999999999999</v>
      </c>
    </row>
    <row r="313" spans="1:7">
      <c r="A313" s="2986" t="s">
        <v>306</v>
      </c>
      <c r="B313" s="2975" t="s">
        <v>2999</v>
      </c>
      <c r="C313" s="2976">
        <v>0.125</v>
      </c>
      <c r="D313" s="2976">
        <v>0.127</v>
      </c>
      <c r="E313" s="2976">
        <v>0.14399999999999999</v>
      </c>
      <c r="F313" s="2976">
        <v>0.115</v>
      </c>
      <c r="G313" s="2977">
        <v>0.13600000000000001</v>
      </c>
    </row>
    <row r="314" spans="1:7">
      <c r="A314" s="2986" t="s">
        <v>306</v>
      </c>
      <c r="B314" s="2975" t="s">
        <v>3208</v>
      </c>
      <c r="C314" s="2992"/>
      <c r="D314" s="2992"/>
      <c r="E314" s="2992"/>
      <c r="F314" s="2976">
        <v>0.05</v>
      </c>
      <c r="G314" s="2993"/>
    </row>
    <row r="315" spans="1:7">
      <c r="A315" s="2986" t="s">
        <v>306</v>
      </c>
      <c r="B315" s="2975" t="s">
        <v>3209</v>
      </c>
      <c r="C315" s="2992"/>
      <c r="D315" s="2992"/>
      <c r="E315" s="2992"/>
      <c r="F315" s="2976">
        <v>0.05</v>
      </c>
      <c r="G315" s="2993"/>
    </row>
    <row r="316" spans="1:7">
      <c r="A316" s="2986" t="s">
        <v>306</v>
      </c>
      <c r="B316" s="2975" t="s">
        <v>3210</v>
      </c>
      <c r="C316" s="2987"/>
      <c r="D316" s="2987"/>
      <c r="E316" s="2987"/>
      <c r="F316" s="2976">
        <v>0.05</v>
      </c>
      <c r="G316" s="2993"/>
    </row>
    <row r="317" spans="1:7">
      <c r="A317" s="2986" t="s">
        <v>306</v>
      </c>
      <c r="B317" s="2975" t="s">
        <v>3211</v>
      </c>
      <c r="C317" s="2987"/>
      <c r="D317" s="2987"/>
      <c r="E317" s="2987"/>
      <c r="F317" s="2976">
        <v>0.05</v>
      </c>
      <c r="G317" s="2993"/>
    </row>
    <row r="318" spans="1:7">
      <c r="A318" s="2986" t="s">
        <v>306</v>
      </c>
      <c r="B318" s="2975" t="s">
        <v>3212</v>
      </c>
      <c r="C318" s="2987"/>
      <c r="D318" s="2987"/>
      <c r="E318" s="2987"/>
      <c r="F318" s="2976">
        <v>0.05</v>
      </c>
      <c r="G318" s="2993"/>
    </row>
    <row r="319" spans="1:7">
      <c r="A319" s="2986" t="s">
        <v>306</v>
      </c>
      <c r="B319" s="2975" t="s">
        <v>3213</v>
      </c>
      <c r="C319" s="2987"/>
      <c r="D319" s="2987"/>
      <c r="E319" s="2987"/>
      <c r="F319" s="2976">
        <v>0.05</v>
      </c>
      <c r="G319" s="2993"/>
    </row>
    <row r="320" spans="1:7">
      <c r="A320" s="2986" t="s">
        <v>306</v>
      </c>
      <c r="B320" s="2975" t="s">
        <v>3214</v>
      </c>
      <c r="C320" s="2987"/>
      <c r="D320" s="2987"/>
      <c r="E320" s="2987"/>
      <c r="F320" s="2976">
        <v>0.05</v>
      </c>
      <c r="G320" s="2993"/>
    </row>
    <row r="321" spans="1:7">
      <c r="A321" s="2986" t="s">
        <v>306</v>
      </c>
      <c r="B321" s="2975" t="s">
        <v>3215</v>
      </c>
      <c r="C321" s="2987"/>
      <c r="D321" s="2987"/>
      <c r="E321" s="2987"/>
      <c r="F321" s="2976">
        <v>0.05</v>
      </c>
      <c r="G321" s="2993"/>
    </row>
    <row r="322" spans="1:7">
      <c r="A322" s="2986" t="s">
        <v>306</v>
      </c>
      <c r="B322" s="2975" t="s">
        <v>3216</v>
      </c>
      <c r="C322" s="2987"/>
      <c r="D322" s="2987"/>
      <c r="E322" s="2987"/>
      <c r="F322" s="2976">
        <v>0.05</v>
      </c>
      <c r="G322" s="2993"/>
    </row>
    <row r="323" spans="1:7">
      <c r="A323" s="2986" t="s">
        <v>306</v>
      </c>
      <c r="B323" s="2975" t="s">
        <v>3217</v>
      </c>
      <c r="C323" s="2987"/>
      <c r="D323" s="2987"/>
      <c r="E323" s="2987"/>
      <c r="F323" s="2976">
        <v>0.05</v>
      </c>
      <c r="G323" s="2993"/>
    </row>
    <row r="324" spans="1:7">
      <c r="A324" s="2986" t="s">
        <v>306</v>
      </c>
      <c r="B324" s="2975" t="s">
        <v>3218</v>
      </c>
      <c r="C324" s="2987"/>
      <c r="D324" s="2987"/>
      <c r="E324" s="2987"/>
      <c r="F324" s="2976">
        <v>0.05</v>
      </c>
      <c r="G324" s="2993"/>
    </row>
    <row r="325" spans="1:7">
      <c r="A325" s="2986" t="s">
        <v>306</v>
      </c>
      <c r="B325" s="2975" t="s">
        <v>3219</v>
      </c>
      <c r="C325" s="2987"/>
      <c r="D325" s="2987"/>
      <c r="E325" s="2987"/>
      <c r="F325" s="2976">
        <v>0.05</v>
      </c>
      <c r="G325" s="2993"/>
    </row>
    <row r="326" spans="1:7" ht="14.25" thickBot="1">
      <c r="A326" s="2989" t="s">
        <v>306</v>
      </c>
      <c r="B326" s="2979" t="s">
        <v>3220</v>
      </c>
      <c r="C326" s="2981"/>
      <c r="D326" s="2981"/>
      <c r="E326" s="2981"/>
      <c r="F326" s="2980">
        <v>0.05</v>
      </c>
      <c r="G326" s="2994"/>
    </row>
    <row r="327" spans="1:7">
      <c r="A327" s="2985" t="s">
        <v>307</v>
      </c>
      <c r="B327" s="2971" t="s">
        <v>2852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2864</v>
      </c>
      <c r="C329" s="2976">
        <v>0.15</v>
      </c>
      <c r="D329" s="2976">
        <v>0.15</v>
      </c>
      <c r="E329" s="2976">
        <v>0.15</v>
      </c>
      <c r="F329" s="2976">
        <v>0.15</v>
      </c>
      <c r="G329" s="2977">
        <v>0.15</v>
      </c>
    </row>
    <row r="330" spans="1:7">
      <c r="A330" s="2986" t="s">
        <v>307</v>
      </c>
      <c r="B330" s="2975" t="s">
        <v>2868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2876</v>
      </c>
      <c r="C332" s="2976">
        <v>0.15</v>
      </c>
      <c r="D332" s="2976">
        <v>0.15</v>
      </c>
      <c r="E332" s="2976">
        <v>0.15</v>
      </c>
      <c r="F332" s="2976">
        <v>0.15</v>
      </c>
      <c r="G332" s="2977">
        <v>0.15</v>
      </c>
    </row>
    <row r="333" spans="1:7">
      <c r="A333" s="2986" t="s">
        <v>307</v>
      </c>
      <c r="B333" s="2975" t="s">
        <v>2880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2886</v>
      </c>
      <c r="C336" s="2976">
        <v>0.15</v>
      </c>
      <c r="D336" s="2976">
        <v>0.15</v>
      </c>
      <c r="E336" s="2976">
        <v>0.15</v>
      </c>
      <c r="F336" s="2976">
        <v>0.14199999999999999</v>
      </c>
      <c r="G336" s="2977">
        <v>0.15</v>
      </c>
    </row>
    <row r="337" spans="1:7">
      <c r="A337" s="2986" t="s">
        <v>307</v>
      </c>
      <c r="B337" s="2975" t="s">
        <v>2891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2911</v>
      </c>
      <c r="C345" s="2976">
        <v>0.15</v>
      </c>
      <c r="D345" s="2976">
        <v>0.15</v>
      </c>
      <c r="E345" s="2976">
        <v>0.15</v>
      </c>
      <c r="F345" s="2976">
        <v>0.13800000000000001</v>
      </c>
      <c r="G345" s="2977">
        <v>0.15</v>
      </c>
    </row>
    <row r="346" spans="1:7">
      <c r="A346" s="2986" t="s">
        <v>307</v>
      </c>
      <c r="B346" s="2975" t="s">
        <v>2913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2920</v>
      </c>
      <c r="C348" s="2976">
        <v>0.15</v>
      </c>
      <c r="D348" s="2976">
        <v>0.15</v>
      </c>
      <c r="E348" s="2976">
        <v>0.15</v>
      </c>
      <c r="F348" s="2976">
        <v>0.14399999999999999</v>
      </c>
      <c r="G348" s="2977">
        <v>0.15</v>
      </c>
    </row>
    <row r="349" spans="1:7">
      <c r="A349" s="2986" t="s">
        <v>307</v>
      </c>
      <c r="B349" s="2975" t="s">
        <v>2925</v>
      </c>
      <c r="C349" s="2976">
        <v>0.15</v>
      </c>
      <c r="D349" s="2976">
        <v>0.15</v>
      </c>
      <c r="E349" s="2976">
        <v>0.15</v>
      </c>
      <c r="F349" s="2976">
        <v>0.15</v>
      </c>
      <c r="G349" s="2977">
        <v>0.15</v>
      </c>
    </row>
    <row r="350" spans="1:7">
      <c r="A350" s="2986" t="s">
        <v>307</v>
      </c>
      <c r="B350" s="2975" t="s">
        <v>2928</v>
      </c>
      <c r="C350" s="2976">
        <v>0.15</v>
      </c>
      <c r="D350" s="2976">
        <v>0.15</v>
      </c>
      <c r="E350" s="2976">
        <v>0.15</v>
      </c>
      <c r="F350" s="2976">
        <v>0.14699999999999999</v>
      </c>
      <c r="G350" s="2977">
        <v>0.15</v>
      </c>
    </row>
    <row r="351" spans="1:7">
      <c r="A351" s="2986" t="s">
        <v>307</v>
      </c>
      <c r="B351" s="2975" t="s">
        <v>2933</v>
      </c>
      <c r="C351" s="2976">
        <v>0.15</v>
      </c>
      <c r="D351" s="2976">
        <v>0.15</v>
      </c>
      <c r="E351" s="2976">
        <v>0.15</v>
      </c>
      <c r="F351" s="2976">
        <v>0.13</v>
      </c>
      <c r="G351" s="2977">
        <v>0.15</v>
      </c>
    </row>
    <row r="352" spans="1:7">
      <c r="A352" s="2986" t="s">
        <v>307</v>
      </c>
      <c r="B352" s="2975" t="s">
        <v>2938</v>
      </c>
      <c r="C352" s="2976">
        <v>0.15</v>
      </c>
      <c r="D352" s="2976">
        <v>0.15</v>
      </c>
      <c r="E352" s="2976">
        <v>0.15</v>
      </c>
      <c r="F352" s="2976">
        <v>0.14599999999999999</v>
      </c>
      <c r="G352" s="2977">
        <v>0.15</v>
      </c>
    </row>
    <row r="353" spans="1:7">
      <c r="A353" s="2986" t="s">
        <v>307</v>
      </c>
      <c r="B353" s="2975" t="s">
        <v>2945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2958</v>
      </c>
      <c r="C355" s="2976">
        <v>0.15</v>
      </c>
      <c r="D355" s="2976">
        <v>0.15</v>
      </c>
      <c r="E355" s="2976">
        <v>0.15</v>
      </c>
      <c r="F355" s="2976">
        <v>0.15</v>
      </c>
      <c r="G355" s="2977">
        <v>0.15</v>
      </c>
    </row>
    <row r="356" spans="1:7">
      <c r="A356" s="2986" t="s">
        <v>307</v>
      </c>
      <c r="B356" s="2975" t="s">
        <v>2965</v>
      </c>
      <c r="C356" s="2976">
        <v>0.15</v>
      </c>
      <c r="D356" s="2976">
        <v>0.15</v>
      </c>
      <c r="E356" s="2976">
        <v>0.15</v>
      </c>
      <c r="F356" s="2976">
        <v>0.15</v>
      </c>
      <c r="G356" s="2977">
        <v>0.15</v>
      </c>
    </row>
    <row r="357" spans="1:7" ht="14.25" thickBot="1">
      <c r="A357" s="2989" t="s">
        <v>307</v>
      </c>
      <c r="B357" s="2979" t="s">
        <v>2970</v>
      </c>
      <c r="C357" s="2980">
        <v>0.126</v>
      </c>
      <c r="D357" s="2980">
        <v>0.127</v>
      </c>
      <c r="E357" s="2980">
        <v>0.14299999999999999</v>
      </c>
      <c r="F357" s="2980">
        <v>0.125</v>
      </c>
      <c r="G357" s="2982">
        <v>0.129</v>
      </c>
    </row>
    <row r="358" spans="1:7">
      <c r="A358" s="2985" t="s">
        <v>2839</v>
      </c>
      <c r="B358" s="2971" t="s">
        <v>2853</v>
      </c>
      <c r="C358" s="2972">
        <v>0.15</v>
      </c>
      <c r="D358" s="2972">
        <v>0.15</v>
      </c>
      <c r="E358" s="2972">
        <v>0.15</v>
      </c>
      <c r="F358" s="2972">
        <v>0.15</v>
      </c>
      <c r="G358" s="2973">
        <v>0.15</v>
      </c>
    </row>
    <row r="359" spans="1:7">
      <c r="A359" s="2986" t="s">
        <v>2839</v>
      </c>
      <c r="B359" s="2975" t="s">
        <v>2859</v>
      </c>
      <c r="C359" s="2976">
        <v>0.1</v>
      </c>
      <c r="D359" s="2976">
        <v>0.1</v>
      </c>
      <c r="E359" s="2976">
        <v>0.1</v>
      </c>
      <c r="F359" s="2976">
        <v>0.1</v>
      </c>
      <c r="G359" s="2977">
        <v>0.1</v>
      </c>
    </row>
    <row r="360" spans="1:7">
      <c r="A360" s="2986" t="s">
        <v>2839</v>
      </c>
      <c r="B360" s="2975" t="s">
        <v>2865</v>
      </c>
      <c r="C360" s="2976">
        <v>0.15</v>
      </c>
      <c r="D360" s="2976">
        <v>0.15</v>
      </c>
      <c r="E360" s="2976">
        <v>0.15</v>
      </c>
      <c r="F360" s="2976">
        <v>0.14899999999999999</v>
      </c>
      <c r="G360" s="2977">
        <v>0.15</v>
      </c>
    </row>
    <row r="361" spans="1:7">
      <c r="A361" s="2986" t="s">
        <v>2839</v>
      </c>
      <c r="B361" s="2975" t="s">
        <v>153</v>
      </c>
      <c r="C361" s="2976">
        <v>0.15</v>
      </c>
      <c r="D361" s="2976">
        <v>0.15</v>
      </c>
      <c r="E361" s="2976">
        <v>0.15</v>
      </c>
      <c r="F361" s="2976">
        <v>0.115</v>
      </c>
      <c r="G361" s="2977">
        <v>0.15</v>
      </c>
    </row>
    <row r="362" spans="1:7">
      <c r="A362" s="2986" t="s">
        <v>2839</v>
      </c>
      <c r="B362" s="2975" t="s">
        <v>2872</v>
      </c>
      <c r="C362" s="2976">
        <v>0.15</v>
      </c>
      <c r="D362" s="2976">
        <v>0.15</v>
      </c>
      <c r="E362" s="2976">
        <v>0.15</v>
      </c>
      <c r="F362" s="2976">
        <v>0.106</v>
      </c>
      <c r="G362" s="2977">
        <v>0.15</v>
      </c>
    </row>
    <row r="363" spans="1:7">
      <c r="A363" s="2986" t="s">
        <v>2839</v>
      </c>
      <c r="B363" s="2975" t="s">
        <v>2877</v>
      </c>
      <c r="C363" s="2976">
        <v>0.15</v>
      </c>
      <c r="D363" s="2976">
        <v>0.15</v>
      </c>
      <c r="E363" s="2976">
        <v>0.15</v>
      </c>
      <c r="F363" s="2976">
        <v>0.14699999999999999</v>
      </c>
      <c r="G363" s="2977">
        <v>0.15</v>
      </c>
    </row>
    <row r="364" spans="1:7">
      <c r="A364" s="2986" t="s">
        <v>2839</v>
      </c>
      <c r="B364" s="2975" t="s">
        <v>2881</v>
      </c>
      <c r="C364" s="2976">
        <v>0.15</v>
      </c>
      <c r="D364" s="2976">
        <v>0.15</v>
      </c>
      <c r="E364" s="2976">
        <v>0.15</v>
      </c>
      <c r="F364" s="2976">
        <v>0.14799999999999999</v>
      </c>
      <c r="G364" s="2977">
        <v>0.15</v>
      </c>
    </row>
    <row r="365" spans="1:7">
      <c r="A365" s="2986" t="s">
        <v>2839</v>
      </c>
      <c r="B365" s="2975" t="s">
        <v>200</v>
      </c>
      <c r="C365" s="2976">
        <v>0.15</v>
      </c>
      <c r="D365" s="2976">
        <v>0.15</v>
      </c>
      <c r="E365" s="2976">
        <v>0.15</v>
      </c>
      <c r="F365" s="2976">
        <v>0.15</v>
      </c>
      <c r="G365" s="2977">
        <v>0.15</v>
      </c>
    </row>
    <row r="366" spans="1:7">
      <c r="A366" s="2986" t="s">
        <v>2839</v>
      </c>
      <c r="B366" s="2975" t="s">
        <v>2884</v>
      </c>
      <c r="C366" s="2976">
        <v>0.15</v>
      </c>
      <c r="D366" s="2976">
        <v>0.15</v>
      </c>
      <c r="E366" s="2976">
        <v>0.15</v>
      </c>
      <c r="F366" s="2976">
        <v>0.15</v>
      </c>
      <c r="G366" s="2977">
        <v>0.15</v>
      </c>
    </row>
    <row r="367" spans="1:7">
      <c r="A367" s="2986" t="s">
        <v>2839</v>
      </c>
      <c r="B367" s="2975" t="s">
        <v>2887</v>
      </c>
      <c r="C367" s="2976">
        <v>0.15</v>
      </c>
      <c r="D367" s="2976">
        <v>0.15</v>
      </c>
      <c r="E367" s="2976">
        <v>0.15</v>
      </c>
      <c r="F367" s="2976">
        <v>0.14699999999999999</v>
      </c>
      <c r="G367" s="2977">
        <v>0.15</v>
      </c>
    </row>
    <row r="368" spans="1:7">
      <c r="A368" s="2986" t="s">
        <v>2839</v>
      </c>
      <c r="B368" s="2975" t="s">
        <v>2892</v>
      </c>
      <c r="C368" s="2976">
        <v>0.15</v>
      </c>
      <c r="D368" s="2976">
        <v>0.15</v>
      </c>
      <c r="E368" s="2976">
        <v>0.15</v>
      </c>
      <c r="F368" s="2976">
        <v>0.13600000000000001</v>
      </c>
      <c r="G368" s="2977">
        <v>0.15</v>
      </c>
    </row>
    <row r="369" spans="1:7">
      <c r="A369" s="2986" t="s">
        <v>2839</v>
      </c>
      <c r="B369" s="2975" t="s">
        <v>214</v>
      </c>
      <c r="C369" s="2976">
        <v>0.15</v>
      </c>
      <c r="D369" s="2976">
        <v>0.15</v>
      </c>
      <c r="E369" s="2976">
        <v>0.15</v>
      </c>
      <c r="F369" s="2976">
        <v>0.14399999999999999</v>
      </c>
      <c r="G369" s="2977">
        <v>0.15</v>
      </c>
    </row>
    <row r="370" spans="1:7">
      <c r="A370" s="2986" t="s">
        <v>2839</v>
      </c>
      <c r="B370" s="2975" t="s">
        <v>221</v>
      </c>
      <c r="C370" s="2976">
        <v>0.15</v>
      </c>
      <c r="D370" s="2976">
        <v>0.15</v>
      </c>
      <c r="E370" s="2976">
        <v>0.15</v>
      </c>
      <c r="F370" s="2976">
        <v>0.14599999999999999</v>
      </c>
      <c r="G370" s="2977">
        <v>0.15</v>
      </c>
    </row>
    <row r="371" spans="1:7">
      <c r="A371" s="2986" t="s">
        <v>2839</v>
      </c>
      <c r="B371" s="2975" t="s">
        <v>229</v>
      </c>
      <c r="C371" s="2976">
        <v>0.15</v>
      </c>
      <c r="D371" s="2976">
        <v>0.15</v>
      </c>
      <c r="E371" s="2976">
        <v>0.15</v>
      </c>
      <c r="F371" s="2976">
        <v>0.12</v>
      </c>
      <c r="G371" s="2977">
        <v>0.15</v>
      </c>
    </row>
    <row r="372" spans="1:7">
      <c r="A372" s="2986" t="s">
        <v>2839</v>
      </c>
      <c r="B372" s="2975" t="s">
        <v>2900</v>
      </c>
      <c r="C372" s="2976">
        <v>0.15</v>
      </c>
      <c r="D372" s="2976">
        <v>0.15</v>
      </c>
      <c r="E372" s="2976">
        <v>0.15</v>
      </c>
      <c r="F372" s="2976">
        <v>0.14299999999999999</v>
      </c>
      <c r="G372" s="2977">
        <v>0.15</v>
      </c>
    </row>
    <row r="373" spans="1:7">
      <c r="A373" s="2986" t="s">
        <v>2839</v>
      </c>
      <c r="B373" s="2975" t="s">
        <v>258</v>
      </c>
      <c r="C373" s="2976">
        <v>0.15</v>
      </c>
      <c r="D373" s="2976">
        <v>0.15</v>
      </c>
      <c r="E373" s="2976">
        <v>0.15</v>
      </c>
      <c r="F373" s="2976">
        <v>0.14599999999999999</v>
      </c>
      <c r="G373" s="2977">
        <v>0.15</v>
      </c>
    </row>
    <row r="374" spans="1:7">
      <c r="A374" s="2986" t="s">
        <v>2839</v>
      </c>
      <c r="B374" s="2975" t="s">
        <v>266</v>
      </c>
      <c r="C374" s="2976">
        <v>0.15</v>
      </c>
      <c r="D374" s="2976">
        <v>0.15</v>
      </c>
      <c r="E374" s="2976">
        <v>0.15</v>
      </c>
      <c r="F374" s="2976">
        <v>0.14399999999999999</v>
      </c>
      <c r="G374" s="2977">
        <v>0.15</v>
      </c>
    </row>
    <row r="375" spans="1:7">
      <c r="A375" s="2986" t="s">
        <v>2839</v>
      </c>
      <c r="B375" s="2975" t="s">
        <v>2908</v>
      </c>
      <c r="C375" s="2976">
        <v>0.15</v>
      </c>
      <c r="D375" s="2976">
        <v>0.15</v>
      </c>
      <c r="E375" s="2976">
        <v>0.15</v>
      </c>
      <c r="F375" s="2976">
        <v>0.13</v>
      </c>
      <c r="G375" s="2977">
        <v>0.15</v>
      </c>
    </row>
    <row r="376" spans="1:7">
      <c r="A376" s="2986" t="s">
        <v>2839</v>
      </c>
      <c r="B376" s="2975" t="s">
        <v>277</v>
      </c>
      <c r="C376" s="2976">
        <v>0.15</v>
      </c>
      <c r="D376" s="2976">
        <v>0.15</v>
      </c>
      <c r="E376" s="2976">
        <v>0.15</v>
      </c>
      <c r="F376" s="2976">
        <v>0.14199999999999999</v>
      </c>
      <c r="G376" s="2977">
        <v>0.15</v>
      </c>
    </row>
    <row r="377" spans="1:7" ht="14.25" thickBot="1">
      <c r="A377" s="2989" t="s">
        <v>2839</v>
      </c>
      <c r="B377" s="2979" t="s">
        <v>2914</v>
      </c>
      <c r="C377" s="2980">
        <v>0.15</v>
      </c>
      <c r="D377" s="2980">
        <v>0.15</v>
      </c>
      <c r="E377" s="2980">
        <v>0.15</v>
      </c>
      <c r="F377" s="2980">
        <v>0.14000000000000001</v>
      </c>
      <c r="G377" s="2982">
        <v>0.15</v>
      </c>
    </row>
    <row r="378" spans="1:7">
      <c r="A378" s="2985" t="s">
        <v>2840</v>
      </c>
      <c r="B378" s="2971" t="s">
        <v>2854</v>
      </c>
      <c r="C378" s="2972">
        <v>0.15</v>
      </c>
      <c r="D378" s="2972">
        <v>0.15</v>
      </c>
      <c r="E378" s="2972">
        <v>0.15</v>
      </c>
      <c r="F378" s="2972">
        <v>0.107</v>
      </c>
      <c r="G378" s="2973">
        <v>0.15</v>
      </c>
    </row>
    <row r="379" spans="1:7">
      <c r="A379" s="2986" t="s">
        <v>2840</v>
      </c>
      <c r="B379" s="2975" t="s">
        <v>2860</v>
      </c>
      <c r="C379" s="2976">
        <v>0.15</v>
      </c>
      <c r="D379" s="2976">
        <v>0.15</v>
      </c>
      <c r="E379" s="2976">
        <v>0.15</v>
      </c>
      <c r="F379" s="2976">
        <v>0.115</v>
      </c>
      <c r="G379" s="2977">
        <v>0.14899999999999999</v>
      </c>
    </row>
    <row r="380" spans="1:7">
      <c r="A380" s="2986" t="s">
        <v>2840</v>
      </c>
      <c r="B380" s="2975" t="s">
        <v>2866</v>
      </c>
      <c r="C380" s="2976">
        <v>0.15</v>
      </c>
      <c r="D380" s="2976">
        <v>0.15</v>
      </c>
      <c r="E380" s="2976">
        <v>0.15</v>
      </c>
      <c r="F380" s="2976">
        <v>0.1</v>
      </c>
      <c r="G380" s="2977">
        <v>0.14799999999999999</v>
      </c>
    </row>
    <row r="381" spans="1:7">
      <c r="A381" s="2986" t="s">
        <v>2840</v>
      </c>
      <c r="B381" s="2975" t="s">
        <v>2869</v>
      </c>
      <c r="C381" s="2976">
        <v>0.15</v>
      </c>
      <c r="D381" s="2976">
        <v>0.15</v>
      </c>
      <c r="E381" s="2976">
        <v>0.15</v>
      </c>
      <c r="F381" s="2976">
        <v>0.126</v>
      </c>
      <c r="G381" s="2977">
        <v>0.15</v>
      </c>
    </row>
    <row r="382" spans="1:7">
      <c r="A382" s="2986" t="s">
        <v>2840</v>
      </c>
      <c r="B382" s="2975" t="s">
        <v>2873</v>
      </c>
      <c r="C382" s="2976">
        <v>0.15</v>
      </c>
      <c r="D382" s="2976">
        <v>0.15</v>
      </c>
      <c r="E382" s="2976">
        <v>0.15</v>
      </c>
      <c r="F382" s="2976">
        <v>0.15</v>
      </c>
      <c r="G382" s="2977">
        <v>0.15</v>
      </c>
    </row>
    <row r="383" spans="1:7">
      <c r="A383" s="2986" t="s">
        <v>2840</v>
      </c>
      <c r="B383" s="2975" t="s">
        <v>2878</v>
      </c>
      <c r="C383" s="2976">
        <v>0.15</v>
      </c>
      <c r="D383" s="2976">
        <v>0.15</v>
      </c>
      <c r="E383" s="2976">
        <v>0.15</v>
      </c>
      <c r="F383" s="2976">
        <v>0.14699999999999999</v>
      </c>
      <c r="G383" s="2977">
        <v>0.15</v>
      </c>
    </row>
    <row r="384" spans="1:7" ht="14.25" thickBot="1">
      <c r="A384" s="2996" t="s">
        <v>2840</v>
      </c>
      <c r="B384" s="2997" t="s">
        <v>2882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c r="A1" s="3531" t="s">
        <v>3221</v>
      </c>
      <c r="B1" s="3531"/>
      <c r="C1" s="3531"/>
      <c r="D1" s="3531"/>
      <c r="E1" s="3531"/>
      <c r="F1" s="3532"/>
    </row>
    <row r="2" spans="1:6">
      <c r="A2" s="3000" t="s">
        <v>3222</v>
      </c>
    </row>
    <row r="3" spans="1:6">
      <c r="A3" s="3000" t="s">
        <v>3223</v>
      </c>
      <c r="F3" s="3001" t="s">
        <v>3224</v>
      </c>
    </row>
    <row r="4" spans="1:6">
      <c r="A4" s="3002" t="s">
        <v>672</v>
      </c>
      <c r="B4" s="3002" t="s">
        <v>673</v>
      </c>
      <c r="C4" s="3002" t="s">
        <v>21</v>
      </c>
      <c r="D4" s="3002" t="s">
        <v>674</v>
      </c>
      <c r="E4" s="3002" t="s">
        <v>3</v>
      </c>
      <c r="F4" s="3002" t="s">
        <v>3225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45881</v>
      </c>
      <c r="B1" s="2927" t="s">
        <v>3367</v>
      </c>
      <c r="C1" s="2928"/>
      <c r="D1" s="2928"/>
      <c r="E1" s="2928"/>
      <c r="F1" s="2928"/>
      <c r="G1" s="2928"/>
      <c r="H1" s="2928"/>
      <c r="I1" s="2928"/>
      <c r="J1" s="2894"/>
      <c r="K1" s="2928" t="s">
        <v>454</v>
      </c>
      <c r="L1" s="2928"/>
      <c r="M1" s="2928"/>
      <c r="N1" s="2928"/>
      <c r="O1" s="2928"/>
      <c r="P1" s="2928"/>
      <c r="Q1" s="2894"/>
      <c r="R1" s="3533" t="s">
        <v>456</v>
      </c>
      <c r="S1" s="3534"/>
      <c r="T1" s="3534"/>
      <c r="U1" s="3534"/>
      <c r="V1" s="3534"/>
      <c r="W1" s="3534"/>
      <c r="X1" s="2894"/>
      <c r="Y1" s="3533" t="s">
        <v>457</v>
      </c>
      <c r="Z1" s="3534"/>
      <c r="AA1" s="3534"/>
      <c r="AB1" s="3534"/>
      <c r="AC1" s="3534"/>
      <c r="AD1" s="3534"/>
    </row>
    <row r="2" spans="1:44" s="2007" customFormat="1" ht="14.25" thickBot="1">
      <c r="B2" s="2879"/>
      <c r="C2" s="2880"/>
      <c r="D2" s="2008" t="s">
        <v>2799</v>
      </c>
      <c r="E2" s="2009" t="s">
        <v>2800</v>
      </c>
      <c r="F2" s="2009" t="s">
        <v>2801</v>
      </c>
      <c r="G2" s="2009" t="s">
        <v>2802</v>
      </c>
      <c r="H2" s="2009" t="s">
        <v>2803</v>
      </c>
      <c r="I2" s="2009" t="s">
        <v>2620</v>
      </c>
      <c r="J2" s="2881"/>
      <c r="K2" s="2008" t="s">
        <v>2799</v>
      </c>
      <c r="L2" s="2009" t="s">
        <v>2800</v>
      </c>
      <c r="M2" s="2009" t="s">
        <v>2801</v>
      </c>
      <c r="N2" s="2009" t="s">
        <v>2802</v>
      </c>
      <c r="O2" s="2009" t="s">
        <v>2804</v>
      </c>
      <c r="P2" s="2009" t="s">
        <v>2620</v>
      </c>
      <c r="Q2" s="2881"/>
      <c r="R2" s="2008" t="s">
        <v>2799</v>
      </c>
      <c r="S2" s="2009" t="s">
        <v>2800</v>
      </c>
      <c r="T2" s="2009" t="s">
        <v>2801</v>
      </c>
      <c r="U2" s="2009" t="s">
        <v>2805</v>
      </c>
      <c r="V2" s="2009" t="s">
        <v>2806</v>
      </c>
      <c r="W2" s="2009" t="s">
        <v>2620</v>
      </c>
      <c r="X2" s="2881"/>
      <c r="Y2" s="2008" t="s">
        <v>2799</v>
      </c>
      <c r="Z2" s="2009" t="s">
        <v>2800</v>
      </c>
      <c r="AA2" s="2009" t="s">
        <v>2801</v>
      </c>
      <c r="AB2" s="2009" t="s">
        <v>2807</v>
      </c>
      <c r="AC2" s="2009" t="s">
        <v>2806</v>
      </c>
      <c r="AD2" s="2009" t="s">
        <v>2620</v>
      </c>
      <c r="AF2" t="s">
        <v>3394</v>
      </c>
      <c r="AG2" t="s">
        <v>673</v>
      </c>
      <c r="AH2" t="s">
        <v>21</v>
      </c>
      <c r="AI2" t="s">
        <v>3395</v>
      </c>
      <c r="AJ2" t="s">
        <v>3</v>
      </c>
      <c r="AK2" t="s">
        <v>3396</v>
      </c>
      <c r="AM2" t="s">
        <v>3394</v>
      </c>
      <c r="AN2" t="s">
        <v>673</v>
      </c>
      <c r="AO2" t="s">
        <v>21</v>
      </c>
      <c r="AP2" t="s">
        <v>3395</v>
      </c>
      <c r="AQ2" t="s">
        <v>3</v>
      </c>
      <c r="AR2" t="s">
        <v>3396</v>
      </c>
    </row>
    <row r="3" spans="1:44" s="2884" customFormat="1" ht="12.75">
      <c r="A3" s="2882" t="s">
        <v>2808</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44" s="2042" customFormat="1">
      <c r="A5" s="2037" t="s">
        <v>3393</v>
      </c>
      <c r="B5" s="2028">
        <v>2025</v>
      </c>
      <c r="C5" s="2039">
        <v>4</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 t="shared" ref="P5:P11" si="10">M5</f>
        <v>0</v>
      </c>
      <c r="Q5" s="2904"/>
      <c r="R5" s="2024">
        <f>ROUND(IF(项目基本情况!$B$8="出让",SUMPRODUCT(PRODUCT(1+K5:$K$24)),SUMPRODUCT(PRODUCT(1+K5:$K$23))),4)</f>
        <v>1.0577000000000001</v>
      </c>
      <c r="S5" s="2024">
        <f>ROUND(IF(项目基本情况!$B$8="出让",SUMPRODUCT(PRODUCT(1+L5:$L$24)),SUMPRODUCT(PRODUCT(1+L5:$L$23))),4)</f>
        <v>1.0275000000000001</v>
      </c>
      <c r="T5" s="2024">
        <f>ROUND(IF(项目基本情况!$B$8="出让",SUMPRODUCT(PRODUCT(1+M5:$M$24)),SUMPRODUCT(PRODUCT(1+M5:$M$23))),4)</f>
        <v>0.98089999999999999</v>
      </c>
      <c r="U5" s="2024">
        <f>ROUND(IF(项目基本情况!$B$8="出让",SUMPRODUCT(PRODUCT(1+N5:$N$24)),SUMPRODUCT(PRODUCT(1+N5:$N$23))),4)</f>
        <v>1.0689</v>
      </c>
      <c r="V5" s="2024">
        <f>ROUND(IF(项目基本情况!$B$8="出让",SUMPRODUCT(PRODUCT(1+O5:$O$24)),SUMPRODUCT(PRODUCT(1+O5:$O$23))),4)</f>
        <v>1.0891</v>
      </c>
      <c r="W5" s="2024">
        <f t="shared" ref="W5:W11" si="11">T5</f>
        <v>0.98089999999999999</v>
      </c>
      <c r="X5" s="2904"/>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2" customFormat="1" ht="12.75">
      <c r="A6" s="2037" t="s">
        <v>3392</v>
      </c>
      <c r="B6" s="2028">
        <v>2025</v>
      </c>
      <c r="C6" s="2039">
        <v>3</v>
      </c>
      <c r="D6" s="2004">
        <v>0</v>
      </c>
      <c r="E6" s="2004">
        <v>0</v>
      </c>
      <c r="F6" s="2004">
        <v>0</v>
      </c>
      <c r="G6" s="2004">
        <v>0</v>
      </c>
      <c r="H6" s="2004">
        <v>0</v>
      </c>
      <c r="I6" s="2005">
        <f t="shared" ref="I6" si="19">F6</f>
        <v>0</v>
      </c>
      <c r="J6" s="2904"/>
      <c r="K6" s="2040">
        <f t="shared" ref="K6" si="20">D6/100</f>
        <v>0</v>
      </c>
      <c r="L6" s="2025">
        <f t="shared" ref="L6" si="21">E6/100</f>
        <v>0</v>
      </c>
      <c r="M6" s="2025">
        <f t="shared" ref="M6" si="22">F6/100</f>
        <v>0</v>
      </c>
      <c r="N6" s="2025">
        <f t="shared" ref="N6" si="23">G6/100</f>
        <v>0</v>
      </c>
      <c r="O6" s="2025">
        <f t="shared" ref="O6" si="24">H6/100</f>
        <v>0</v>
      </c>
      <c r="P6" s="2025">
        <f t="shared" si="10"/>
        <v>0</v>
      </c>
      <c r="Q6" s="2904"/>
      <c r="R6" s="2024">
        <f>ROUND(IF(项目基本情况!$B$8="出让",SUMPRODUCT(PRODUCT(1+K6:$K$24)),SUMPRODUCT(PRODUCT(1+K6:$K$23))),4)</f>
        <v>1.0577000000000001</v>
      </c>
      <c r="S6" s="2024">
        <f>ROUND(IF(项目基本情况!$B$8="出让",SUMPRODUCT(PRODUCT(1+L6:$L$24)),SUMPRODUCT(PRODUCT(1+L6:$L$23))),4)</f>
        <v>1.0275000000000001</v>
      </c>
      <c r="T6" s="2024">
        <f>ROUND(IF(项目基本情况!$B$8="出让",SUMPRODUCT(PRODUCT(1+M6:$M$24)),SUMPRODUCT(PRODUCT(1+M6:$M$23))),4)</f>
        <v>0.98089999999999999</v>
      </c>
      <c r="U6" s="2024">
        <f>ROUND(IF(项目基本情况!$B$8="出让",SUMPRODUCT(PRODUCT(1+N6:$N$24)),SUMPRODUCT(PRODUCT(1+N6:$N$23))),4)</f>
        <v>1.0689</v>
      </c>
      <c r="V6" s="2024">
        <f>ROUND(IF(项目基本情况!$B$8="出让",SUMPRODUCT(PRODUCT(1+O6:$O$24)),SUMPRODUCT(PRODUCT(1+O6:$O$23))),4)</f>
        <v>1.0891</v>
      </c>
      <c r="W6" s="2024">
        <f t="shared" si="11"/>
        <v>0.98089999999999999</v>
      </c>
      <c r="X6" s="2904"/>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2" customFormat="1" ht="12.75">
      <c r="A8" s="2037" t="s">
        <v>3399</v>
      </c>
      <c r="B8" s="2028">
        <v>2025</v>
      </c>
      <c r="C8" s="2039">
        <v>1</v>
      </c>
      <c r="D8" s="2004">
        <v>0.56999999999999995</v>
      </c>
      <c r="E8" s="2004">
        <v>-0.56999999999999995</v>
      </c>
      <c r="F8" s="2004">
        <v>-0.9</v>
      </c>
      <c r="G8" s="2004">
        <v>1.1200000000000001</v>
      </c>
      <c r="H8" s="2004">
        <v>0.42</v>
      </c>
      <c r="I8" s="2005">
        <f t="shared" ref="I8" si="54">F8</f>
        <v>-0.9</v>
      </c>
      <c r="J8" s="2904"/>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4"/>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4"/>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2" customFormat="1" ht="12.75">
      <c r="A9" s="2037" t="s">
        <v>3398</v>
      </c>
      <c r="B9" s="2028">
        <v>2024</v>
      </c>
      <c r="C9" s="2039">
        <v>4</v>
      </c>
      <c r="D9" s="2004">
        <v>-1.02</v>
      </c>
      <c r="E9" s="2004">
        <v>-0.48</v>
      </c>
      <c r="F9" s="2004">
        <v>-0.75</v>
      </c>
      <c r="G9" s="2004">
        <v>-1.05</v>
      </c>
      <c r="H9" s="2004">
        <v>0.08</v>
      </c>
      <c r="I9" s="2005">
        <f t="shared" ref="I9" si="65">F9</f>
        <v>-0.75</v>
      </c>
      <c r="J9" s="2904"/>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4"/>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4"/>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2" customFormat="1" ht="12.75">
      <c r="A10" s="2037" t="s">
        <v>3371</v>
      </c>
      <c r="B10" s="2028">
        <v>2024</v>
      </c>
      <c r="C10" s="2039">
        <v>3</v>
      </c>
      <c r="D10" s="2004">
        <v>-1.19</v>
      </c>
      <c r="E10" s="2004">
        <v>-0.47</v>
      </c>
      <c r="F10" s="2004">
        <v>-0.28999999999999998</v>
      </c>
      <c r="G10" s="2004">
        <v>-0.74</v>
      </c>
      <c r="H10" s="2004">
        <v>-0.21</v>
      </c>
      <c r="I10" s="2005">
        <f t="shared" ref="I10" si="76">F10</f>
        <v>-0.28999999999999998</v>
      </c>
      <c r="J10" s="2904"/>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4"/>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4"/>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2" customFormat="1" ht="12.75">
      <c r="A11" s="2903" t="s">
        <v>3365</v>
      </c>
      <c r="B11" s="2028">
        <v>2024</v>
      </c>
      <c r="C11" s="2039">
        <v>2</v>
      </c>
      <c r="D11" s="2004">
        <v>-0.59</v>
      </c>
      <c r="E11" s="2004">
        <v>-0.21</v>
      </c>
      <c r="F11" s="2004">
        <v>-1.38</v>
      </c>
      <c r="G11" s="2004">
        <v>-1.24</v>
      </c>
      <c r="H11" s="2915">
        <v>0.34</v>
      </c>
      <c r="I11" s="2005">
        <f t="shared" ref="I11:I24" si="87">F11</f>
        <v>-1.38</v>
      </c>
      <c r="J11" s="2904"/>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4"/>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4"/>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2" customFormat="1" ht="12.75">
      <c r="A12" s="2903" t="s">
        <v>3364</v>
      </c>
      <c r="B12" s="2028">
        <v>2024</v>
      </c>
      <c r="C12" s="2039">
        <v>1</v>
      </c>
      <c r="D12" s="2004">
        <v>0.08</v>
      </c>
      <c r="E12" s="2004">
        <v>0.46</v>
      </c>
      <c r="F12" s="2004">
        <v>-0.16</v>
      </c>
      <c r="G12" s="2004">
        <v>0.26</v>
      </c>
      <c r="H12" s="2915">
        <v>0.59</v>
      </c>
      <c r="I12" s="2005">
        <f t="shared" si="87"/>
        <v>-0.16</v>
      </c>
      <c r="J12" s="2904"/>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4"/>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4"/>
      <c r="Y12" s="2025"/>
      <c r="Z12" s="2025"/>
      <c r="AA12" s="2025"/>
      <c r="AB12" s="2025"/>
      <c r="AC12" s="2025"/>
      <c r="AD12" s="2025"/>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2" customFormat="1" ht="12.75">
      <c r="A13" s="2903" t="s">
        <v>3360</v>
      </c>
      <c r="B13" s="2028">
        <v>2023</v>
      </c>
      <c r="C13" s="2039">
        <v>4</v>
      </c>
      <c r="D13" s="2004">
        <v>0.19</v>
      </c>
      <c r="E13" s="2004">
        <v>0.24</v>
      </c>
      <c r="F13" s="2004">
        <v>-0.16</v>
      </c>
      <c r="G13" s="2004">
        <v>0.17</v>
      </c>
      <c r="H13" s="2915">
        <v>0.61</v>
      </c>
      <c r="I13" s="2005">
        <f>F13</f>
        <v>-0.16</v>
      </c>
      <c r="J13" s="2904"/>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4"/>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4"/>
      <c r="Y13" s="2025"/>
      <c r="Z13" s="2025"/>
      <c r="AA13" s="2025"/>
      <c r="AB13" s="2025"/>
      <c r="AC13" s="2025"/>
      <c r="AD13" s="2025"/>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2" customFormat="1" ht="12.75">
      <c r="A14" s="2903" t="s">
        <v>3359</v>
      </c>
      <c r="B14" s="2028">
        <v>2023</v>
      </c>
      <c r="C14" s="2039">
        <v>3</v>
      </c>
      <c r="D14" s="2004">
        <v>0.25</v>
      </c>
      <c r="E14" s="2004">
        <v>0.5</v>
      </c>
      <c r="F14" s="2004">
        <v>0.31</v>
      </c>
      <c r="G14" s="2004">
        <v>0.21</v>
      </c>
      <c r="H14" s="2915">
        <v>0.43</v>
      </c>
      <c r="I14" s="2005">
        <f t="shared" si="87"/>
        <v>0.31</v>
      </c>
      <c r="J14" s="2904"/>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4"/>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4"/>
      <c r="Y14" s="2025"/>
      <c r="Z14" s="2025"/>
      <c r="AA14" s="2025"/>
      <c r="AB14" s="2025"/>
      <c r="AC14" s="2025"/>
      <c r="AD14" s="2025"/>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2" customFormat="1" ht="12.75">
      <c r="A15" s="2903" t="s">
        <v>3357</v>
      </c>
      <c r="B15" s="2028">
        <v>2023</v>
      </c>
      <c r="C15" s="2039">
        <v>2</v>
      </c>
      <c r="D15" s="2004">
        <v>0.91</v>
      </c>
      <c r="E15" s="2004">
        <v>0.66</v>
      </c>
      <c r="F15" s="2004">
        <v>0.47</v>
      </c>
      <c r="G15" s="2004">
        <v>0.96</v>
      </c>
      <c r="H15" s="2915">
        <v>0.71</v>
      </c>
      <c r="I15" s="2005">
        <f t="shared" si="87"/>
        <v>0.47</v>
      </c>
      <c r="J15" s="2904"/>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4"/>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4"/>
      <c r="Y15" s="2025"/>
      <c r="Z15" s="2025"/>
      <c r="AA15" s="2025"/>
      <c r="AB15" s="2025"/>
      <c r="AC15" s="2025"/>
      <c r="AD15" s="2025"/>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2" customFormat="1" ht="12.75">
      <c r="A16" s="2903" t="s">
        <v>3356</v>
      </c>
      <c r="B16" s="2028">
        <v>2023</v>
      </c>
      <c r="C16" s="2039">
        <v>1</v>
      </c>
      <c r="D16" s="2004">
        <v>0.89</v>
      </c>
      <c r="E16" s="2004">
        <v>0.74</v>
      </c>
      <c r="F16" s="2004">
        <v>0.56999999999999995</v>
      </c>
      <c r="G16" s="2004">
        <v>0.92</v>
      </c>
      <c r="H16" s="2915">
        <v>0.5</v>
      </c>
      <c r="I16" s="2005">
        <f t="shared" si="87"/>
        <v>0.56999999999999995</v>
      </c>
      <c r="J16" s="2904"/>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4"/>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4"/>
      <c r="Y16" s="2025"/>
      <c r="Z16" s="2025"/>
      <c r="AA16" s="2025"/>
      <c r="AB16" s="2025"/>
      <c r="AC16" s="2025"/>
      <c r="AD16" s="2025"/>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2" customFormat="1" ht="12.75">
      <c r="A17" s="2903" t="s">
        <v>3355</v>
      </c>
      <c r="B17" s="2028">
        <v>2022</v>
      </c>
      <c r="C17" s="2039">
        <v>4</v>
      </c>
      <c r="D17" s="2004">
        <v>0.62</v>
      </c>
      <c r="E17" s="2004">
        <v>0.2</v>
      </c>
      <c r="F17" s="2004">
        <v>0.11</v>
      </c>
      <c r="G17" s="2004">
        <v>0.69</v>
      </c>
      <c r="H17" s="2915">
        <v>0.53</v>
      </c>
      <c r="I17" s="2005">
        <f t="shared" si="87"/>
        <v>0.11</v>
      </c>
      <c r="J17" s="2904"/>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4"/>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4"/>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2" customFormat="1" ht="12.75">
      <c r="A18" s="2903" t="s">
        <v>3353</v>
      </c>
      <c r="B18" s="2028">
        <v>2022</v>
      </c>
      <c r="C18" s="2039">
        <v>3</v>
      </c>
      <c r="D18" s="2004">
        <v>0.66</v>
      </c>
      <c r="E18" s="2004">
        <v>0.32</v>
      </c>
      <c r="F18" s="2004">
        <v>0.23</v>
      </c>
      <c r="G18" s="2004">
        <v>0.72</v>
      </c>
      <c r="H18" s="2915">
        <v>0.63</v>
      </c>
      <c r="I18" s="2005">
        <f t="shared" si="87"/>
        <v>0.23</v>
      </c>
      <c r="J18" s="2904"/>
      <c r="K18" s="2040">
        <f t="shared" si="88"/>
        <v>6.6E-3</v>
      </c>
      <c r="L18" s="2025">
        <f t="shared" si="88"/>
        <v>3.2000000000000002E-3</v>
      </c>
      <c r="M18" s="2025">
        <f t="shared" si="88"/>
        <v>2.3E-3</v>
      </c>
      <c r="N18" s="2025">
        <f t="shared" si="88"/>
        <v>7.1999999999999998E-3</v>
      </c>
      <c r="O18" s="2025">
        <f t="shared" si="88"/>
        <v>6.3E-3</v>
      </c>
      <c r="P18" s="2025">
        <f t="shared" si="108"/>
        <v>2.3E-3</v>
      </c>
      <c r="Q18" s="2904"/>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4"/>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2" customFormat="1" ht="12.75">
      <c r="A19" s="2903" t="s">
        <v>3344</v>
      </c>
      <c r="B19" s="2028">
        <v>2022</v>
      </c>
      <c r="C19" s="2039">
        <v>2</v>
      </c>
      <c r="D19" s="2004">
        <v>0.93</v>
      </c>
      <c r="E19" s="2004">
        <v>0.15</v>
      </c>
      <c r="F19" s="2004">
        <v>0.01</v>
      </c>
      <c r="G19" s="2004">
        <v>1.05</v>
      </c>
      <c r="H19" s="2915">
        <v>1.08</v>
      </c>
      <c r="I19" s="2005">
        <f t="shared" si="87"/>
        <v>0.01</v>
      </c>
      <c r="J19" s="2904"/>
      <c r="K19" s="2040">
        <f t="shared" si="88"/>
        <v>9.300000000000001E-3</v>
      </c>
      <c r="L19" s="2025">
        <f t="shared" si="88"/>
        <v>1.5E-3</v>
      </c>
      <c r="M19" s="2025">
        <f t="shared" si="88"/>
        <v>1E-4</v>
      </c>
      <c r="N19" s="2025">
        <f t="shared" si="88"/>
        <v>1.0500000000000001E-2</v>
      </c>
      <c r="O19" s="2025">
        <f t="shared" si="88"/>
        <v>1.0800000000000001E-2</v>
      </c>
      <c r="P19" s="2025">
        <f t="shared" si="108"/>
        <v>1E-4</v>
      </c>
      <c r="Q19" s="2904"/>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4"/>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2" customFormat="1" ht="12.75">
      <c r="A20" s="2903" t="s">
        <v>2809</v>
      </c>
      <c r="B20" s="2028">
        <v>2022</v>
      </c>
      <c r="C20" s="2039">
        <v>1</v>
      </c>
      <c r="D20" s="2004">
        <v>0.89</v>
      </c>
      <c r="E20" s="2004">
        <v>0.44</v>
      </c>
      <c r="F20" s="2004">
        <v>0.37</v>
      </c>
      <c r="G20" s="2004">
        <v>0.96</v>
      </c>
      <c r="H20" s="2915">
        <v>0.64</v>
      </c>
      <c r="I20" s="2005">
        <f t="shared" si="87"/>
        <v>0.37</v>
      </c>
      <c r="J20" s="2904"/>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4"/>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4"/>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2" customFormat="1" ht="12.75">
      <c r="A21" s="2903" t="s">
        <v>2810</v>
      </c>
      <c r="B21" s="2028">
        <v>2021</v>
      </c>
      <c r="C21" s="2039">
        <v>4</v>
      </c>
      <c r="D21" s="2004">
        <v>1.03</v>
      </c>
      <c r="E21" s="2004">
        <v>0.24</v>
      </c>
      <c r="F21" s="2004">
        <v>7.0000000000000007E-2</v>
      </c>
      <c r="G21" s="2004">
        <v>1.17</v>
      </c>
      <c r="H21" s="2915">
        <v>0.55000000000000004</v>
      </c>
      <c r="I21" s="2005">
        <f t="shared" si="87"/>
        <v>7.0000000000000007E-2</v>
      </c>
      <c r="J21" s="2904"/>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4"/>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4"/>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2" customFormat="1" ht="12.75">
      <c r="A22" s="2903" t="s">
        <v>2811</v>
      </c>
      <c r="B22" s="2028">
        <v>2021</v>
      </c>
      <c r="C22" s="2039">
        <v>3</v>
      </c>
      <c r="D22" s="2004">
        <v>0.47</v>
      </c>
      <c r="E22" s="2004">
        <v>0.41</v>
      </c>
      <c r="F22" s="2004">
        <v>0.24</v>
      </c>
      <c r="G22" s="2004">
        <v>0.48</v>
      </c>
      <c r="H22" s="2915">
        <v>0.48</v>
      </c>
      <c r="I22" s="2005">
        <f t="shared" si="87"/>
        <v>0.24</v>
      </c>
      <c r="J22" s="2904"/>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4"/>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4"/>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2" customFormat="1" ht="12.75">
      <c r="A23" s="2903" t="s">
        <v>2812</v>
      </c>
      <c r="B23" s="2028">
        <v>2021</v>
      </c>
      <c r="C23" s="2039">
        <v>2</v>
      </c>
      <c r="D23" s="2004">
        <v>0.92</v>
      </c>
      <c r="E23" s="2004">
        <v>0.72</v>
      </c>
      <c r="F23" s="2004">
        <v>0.41</v>
      </c>
      <c r="G23" s="2004">
        <v>0.95</v>
      </c>
      <c r="H23" s="2915">
        <v>1.01</v>
      </c>
      <c r="I23" s="2005">
        <f t="shared" si="87"/>
        <v>0.41</v>
      </c>
      <c r="J23" s="2904"/>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4"/>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4"/>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2813</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3370</v>
      </c>
    </row>
    <row r="27" spans="1:44">
      <c r="I27" s="1402" t="s">
        <v>2814</v>
      </c>
    </row>
    <row r="29" spans="1:44" s="2006" customFormat="1" ht="12.75">
      <c r="B29" s="2927" t="s">
        <v>3368</v>
      </c>
      <c r="C29" s="2928"/>
      <c r="D29" s="2928"/>
      <c r="E29" s="2928"/>
      <c r="F29" s="2928"/>
      <c r="G29" s="2928"/>
      <c r="H29" s="2928"/>
      <c r="I29" s="2928"/>
      <c r="J29" s="2894"/>
      <c r="K29" s="2928" t="s">
        <v>2815</v>
      </c>
      <c r="L29" s="2928"/>
      <c r="M29" s="2928"/>
      <c r="N29" s="2928"/>
      <c r="O29" s="2928"/>
      <c r="P29" s="2928"/>
      <c r="Q29" s="2894"/>
      <c r="R29" s="3533" t="s">
        <v>2816</v>
      </c>
      <c r="S29" s="3534"/>
      <c r="T29" s="3534"/>
      <c r="U29" s="3534"/>
      <c r="V29" s="3534"/>
      <c r="W29" s="3534"/>
      <c r="X29" s="2894"/>
      <c r="Y29" s="3533" t="s">
        <v>2817</v>
      </c>
      <c r="Z29" s="3534"/>
      <c r="AA29" s="3534"/>
      <c r="AB29" s="3534"/>
      <c r="AC29" s="3534"/>
      <c r="AD29" s="3534"/>
    </row>
    <row r="30" spans="1:44" s="2007" customFormat="1" ht="14.25" thickBot="1">
      <c r="B30" s="2879"/>
      <c r="C30" s="2880"/>
      <c r="D30" s="2008" t="s">
        <v>2818</v>
      </c>
      <c r="E30" s="2009" t="s">
        <v>2819</v>
      </c>
      <c r="F30" s="2009" t="s">
        <v>2820</v>
      </c>
      <c r="G30" s="2009" t="s">
        <v>2821</v>
      </c>
      <c r="H30" s="2009"/>
      <c r="I30" s="2009" t="s">
        <v>2822</v>
      </c>
      <c r="J30" s="2881"/>
      <c r="K30" s="2008" t="s">
        <v>2818</v>
      </c>
      <c r="L30" s="2009" t="s">
        <v>2819</v>
      </c>
      <c r="M30" s="2009" t="s">
        <v>2820</v>
      </c>
      <c r="N30" s="2009" t="s">
        <v>2821</v>
      </c>
      <c r="O30" s="2009"/>
      <c r="P30" s="2009" t="s">
        <v>2822</v>
      </c>
      <c r="Q30" s="2881"/>
      <c r="R30" s="2008" t="s">
        <v>2818</v>
      </c>
      <c r="S30" s="2009" t="s">
        <v>2819</v>
      </c>
      <c r="T30" s="2009" t="s">
        <v>2820</v>
      </c>
      <c r="U30" s="2009" t="s">
        <v>2821</v>
      </c>
      <c r="V30" s="2009"/>
      <c r="W30" s="2009" t="s">
        <v>2822</v>
      </c>
      <c r="X30" s="2881"/>
      <c r="Y30" s="2008" t="s">
        <v>2818</v>
      </c>
      <c r="Z30" s="2009" t="s">
        <v>2819</v>
      </c>
      <c r="AA30" s="2009" t="s">
        <v>2820</v>
      </c>
      <c r="AB30" s="2009" t="s">
        <v>2821</v>
      </c>
      <c r="AC30" s="2009"/>
      <c r="AD30" s="2009" t="s">
        <v>2822</v>
      </c>
      <c r="AG30" t="s">
        <v>673</v>
      </c>
      <c r="AH30" t="s">
        <v>21</v>
      </c>
      <c r="AI30" t="s">
        <v>3395</v>
      </c>
      <c r="AJ30"/>
      <c r="AK30" t="s">
        <v>3396</v>
      </c>
      <c r="AN30" t="s">
        <v>673</v>
      </c>
      <c r="AO30" t="s">
        <v>21</v>
      </c>
      <c r="AP30" t="s">
        <v>3395</v>
      </c>
      <c r="AQ30"/>
      <c r="AR30" t="s">
        <v>3396</v>
      </c>
    </row>
    <row r="31" spans="1:44" s="2884" customFormat="1" ht="12.75">
      <c r="A31" s="2882" t="s">
        <v>2823</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6" customFormat="1" ht="12.75">
      <c r="B32" s="2022"/>
      <c r="J32" s="2894"/>
      <c r="K32" s="2895"/>
      <c r="L32" s="2896"/>
      <c r="M32" s="2896"/>
      <c r="N32" s="2896"/>
      <c r="O32" s="2896"/>
      <c r="P32" s="2896"/>
      <c r="Q32" s="2894"/>
      <c r="R32" s="2024"/>
      <c r="S32" s="2897"/>
      <c r="T32" s="2898"/>
      <c r="U32" s="2024"/>
      <c r="V32" s="2899"/>
      <c r="W32" s="2024"/>
      <c r="X32" s="2894"/>
      <c r="Y32" s="2025"/>
      <c r="Z32" s="2900"/>
      <c r="AA32" s="2901"/>
      <c r="AB32" s="2025"/>
      <c r="AC32" s="2902"/>
      <c r="AD32" s="2025"/>
    </row>
    <row r="33" spans="1:44" s="2042" customFormat="1">
      <c r="A33" s="2037" t="s">
        <v>3393</v>
      </c>
      <c r="B33" s="2028">
        <v>2025</v>
      </c>
      <c r="C33" s="2039">
        <v>4</v>
      </c>
      <c r="D33" s="2004"/>
      <c r="E33" s="2004">
        <v>0</v>
      </c>
      <c r="F33" s="2004">
        <v>0</v>
      </c>
      <c r="G33" s="2004">
        <v>0</v>
      </c>
      <c r="H33" s="2004"/>
      <c r="I33" s="2005">
        <f t="shared" ref="I33" si="119">F33</f>
        <v>0</v>
      </c>
      <c r="J33" s="2904"/>
      <c r="K33" s="2040"/>
      <c r="L33" s="2025">
        <f t="shared" ref="L33" si="120">E33/100</f>
        <v>0</v>
      </c>
      <c r="M33" s="2025">
        <f t="shared" ref="M33" si="121">F33/100</f>
        <v>0</v>
      </c>
      <c r="N33" s="2025">
        <f t="shared" ref="N33" si="122">G33/100</f>
        <v>0</v>
      </c>
      <c r="O33" s="2025"/>
      <c r="P33" s="2025">
        <f t="shared" ref="P33:P39" si="123">M33</f>
        <v>0</v>
      </c>
      <c r="Q33" s="2904"/>
      <c r="R33" s="2024"/>
      <c r="S33" s="2024">
        <f>ROUND(IF(项目基本情况!$B$8="出让",SUMPRODUCT(PRODUCT(1+L33:L$52)),SUMPRODUCT(PRODUCT(1+L33:L$51))),4)</f>
        <v>1.0118</v>
      </c>
      <c r="T33" s="2024">
        <f>ROUND(IF(项目基本情况!$B$8="出让",SUMPRODUCT(PRODUCT(1+M33:M$52)),SUMPRODUCT(PRODUCT(1+M33:M$51))),4)</f>
        <v>0.99680000000000002</v>
      </c>
      <c r="U33" s="2024">
        <f>ROUND(IF(项目基本情况!$B$8="出让",SUMPRODUCT(PRODUCT(1+N33:N$52)),SUMPRODUCT(PRODUCT(1+N33:N$51))),4)</f>
        <v>1.0338000000000001</v>
      </c>
      <c r="V33" s="2024"/>
      <c r="W33" s="2024">
        <f t="shared" ref="W33:W39" si="124">T33</f>
        <v>0.99680000000000002</v>
      </c>
      <c r="X33" s="2904"/>
      <c r="Y33" s="2025"/>
      <c r="Z33" s="2900">
        <f t="shared" ref="Z33" si="125">IF(E33=0,0,ROUND(AVERAGE(E33:E46)/100,4))</f>
        <v>0</v>
      </c>
      <c r="AA33" s="2900">
        <f t="shared" ref="AA33" si="126">IF(F33=0,0,ROUND(AVERAGE(F33:F46)/100,4))</f>
        <v>0</v>
      </c>
      <c r="AB33" s="2900">
        <f t="shared" ref="AB33" si="127">IF(G33=0,0,ROUND(AVERAGE(G33:G46)/100,4))</f>
        <v>0</v>
      </c>
      <c r="AC33" s="2902"/>
      <c r="AD33" s="2025">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2" customFormat="1" ht="12.75">
      <c r="A34" s="2037" t="s">
        <v>3392</v>
      </c>
      <c r="B34" s="2028">
        <v>2025</v>
      </c>
      <c r="C34" s="2039">
        <v>3</v>
      </c>
      <c r="D34" s="2004"/>
      <c r="E34" s="2004">
        <v>0</v>
      </c>
      <c r="F34" s="2004">
        <v>0</v>
      </c>
      <c r="G34" s="2004">
        <v>0</v>
      </c>
      <c r="H34" s="2004"/>
      <c r="I34" s="2005">
        <f t="shared" ref="I34" si="133">F34</f>
        <v>0</v>
      </c>
      <c r="J34" s="2904"/>
      <c r="K34" s="2040"/>
      <c r="L34" s="2025">
        <f t="shared" ref="L34" si="134">E34/100</f>
        <v>0</v>
      </c>
      <c r="M34" s="2025">
        <f t="shared" ref="M34" si="135">F34/100</f>
        <v>0</v>
      </c>
      <c r="N34" s="2025">
        <f t="shared" ref="N34" si="136">G34/100</f>
        <v>0</v>
      </c>
      <c r="O34" s="2025"/>
      <c r="P34" s="2025">
        <f t="shared" si="123"/>
        <v>0</v>
      </c>
      <c r="Q34" s="2904"/>
      <c r="R34" s="2024"/>
      <c r="S34" s="2024">
        <f>ROUND(IF(项目基本情况!$B$8="出让",SUMPRODUCT(PRODUCT(1+L34:L$52)),SUMPRODUCT(PRODUCT(1+L34:L$51))),4)</f>
        <v>1.0118</v>
      </c>
      <c r="T34" s="2024">
        <f>ROUND(IF(项目基本情况!$B$8="出让",SUMPRODUCT(PRODUCT(1+M34:M$52)),SUMPRODUCT(PRODUCT(1+M34:M$51))),4)</f>
        <v>0.99680000000000002</v>
      </c>
      <c r="U34" s="2024">
        <f>ROUND(IF(项目基本情况!$B$8="出让",SUMPRODUCT(PRODUCT(1+N34:N$52)),SUMPRODUCT(PRODUCT(1+N34:N$51))),4)</f>
        <v>1.0338000000000001</v>
      </c>
      <c r="V34" s="2024"/>
      <c r="W34" s="2024">
        <f t="shared" si="124"/>
        <v>0.99680000000000002</v>
      </c>
      <c r="X34" s="2904"/>
      <c r="Y34" s="2025"/>
      <c r="Z34" s="2900">
        <f t="shared" ref="Z34" si="137">IF(E34=0,0,ROUND(AVERAGE(E34:E47)/100,4))</f>
        <v>0</v>
      </c>
      <c r="AA34" s="2900">
        <f t="shared" ref="AA34" si="138">IF(F34=0,0,ROUND(AVERAGE(F34:F47)/100,4))</f>
        <v>0</v>
      </c>
      <c r="AB34" s="2900">
        <f t="shared" ref="AB34" si="139">IF(G34=0,0,ROUND(AVERAGE(G34:G47)/100,4))</f>
        <v>0</v>
      </c>
      <c r="AC34" s="2902"/>
      <c r="AD34" s="2025">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2" customFormat="1" ht="12.75">
      <c r="A36" s="2037" t="s">
        <v>3397</v>
      </c>
      <c r="B36" s="2028">
        <v>2025</v>
      </c>
      <c r="C36" s="2039">
        <v>1</v>
      </c>
      <c r="D36" s="2004"/>
      <c r="E36" s="2004">
        <v>-1.47</v>
      </c>
      <c r="F36" s="2004">
        <v>-0.98</v>
      </c>
      <c r="G36" s="2004">
        <v>-0.51</v>
      </c>
      <c r="H36" s="2004"/>
      <c r="I36" s="2005">
        <f t="shared" ref="I36" si="152">F36</f>
        <v>-0.98</v>
      </c>
      <c r="J36" s="2904"/>
      <c r="K36" s="2040"/>
      <c r="L36" s="2025">
        <f t="shared" ref="L36" si="153">E36/100</f>
        <v>-1.47E-2</v>
      </c>
      <c r="M36" s="2025">
        <f t="shared" ref="M36" si="154">F36/100</f>
        <v>-9.7999999999999997E-3</v>
      </c>
      <c r="N36" s="2025">
        <f t="shared" ref="N36" si="155">G36/100</f>
        <v>-5.1000000000000004E-3</v>
      </c>
      <c r="O36" s="2025"/>
      <c r="P36" s="2025">
        <f t="shared" si="123"/>
        <v>-9.7999999999999997E-3</v>
      </c>
      <c r="Q36" s="2904"/>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4"/>
      <c r="Y36" s="2025"/>
      <c r="Z36" s="2900">
        <f t="shared" ref="Z36" si="156">IF(E36=0,0,ROUND(AVERAGE(E36:E49)/100,4))</f>
        <v>4.0000000000000002E-4</v>
      </c>
      <c r="AA36" s="2900">
        <f t="shared" ref="AA36" si="157">IF(F36=0,0,ROUND(AVERAGE(F36:F49)/100,4))</f>
        <v>0</v>
      </c>
      <c r="AB36" s="2900">
        <f t="shared" ref="AB36" si="158">IF(G36=0,0,ROUND(AVERAGE(G36:G49)/100,4))</f>
        <v>1E-3</v>
      </c>
      <c r="AC36" s="2902"/>
      <c r="AD36" s="2025">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2" customFormat="1" ht="12.75">
      <c r="A37" s="2037" t="s">
        <v>3398</v>
      </c>
      <c r="B37" s="2028">
        <v>2024</v>
      </c>
      <c r="C37" s="2039">
        <v>4</v>
      </c>
      <c r="D37" s="2004"/>
      <c r="E37" s="2004">
        <v>-0.61</v>
      </c>
      <c r="F37" s="2004">
        <v>-0.71</v>
      </c>
      <c r="G37" s="2004">
        <v>-0.88</v>
      </c>
      <c r="H37" s="2004"/>
      <c r="I37" s="2005">
        <f t="shared" ref="I37" si="162">F37</f>
        <v>-0.71</v>
      </c>
      <c r="J37" s="2904"/>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4"/>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4"/>
      <c r="Y37" s="2025"/>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5">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2" customFormat="1" ht="12.75">
      <c r="A38" s="2037" t="s">
        <v>3362</v>
      </c>
      <c r="B38" s="2028">
        <v>2024</v>
      </c>
      <c r="C38" s="2039">
        <v>3</v>
      </c>
      <c r="D38" s="2004"/>
      <c r="E38" s="2004">
        <v>-0.66</v>
      </c>
      <c r="F38" s="2004">
        <v>-0.52</v>
      </c>
      <c r="G38" s="2004">
        <v>-2.87</v>
      </c>
      <c r="H38" s="2004"/>
      <c r="I38" s="2005">
        <f t="shared" ref="I38" si="169">F38</f>
        <v>-0.52</v>
      </c>
      <c r="J38" s="2904"/>
      <c r="K38" s="2040"/>
      <c r="L38" s="2025">
        <f t="shared" ref="L38" si="170">E38/100</f>
        <v>-6.6E-3</v>
      </c>
      <c r="M38" s="2025">
        <f t="shared" ref="M38" si="171">F38/100</f>
        <v>-5.1999999999999998E-3</v>
      </c>
      <c r="N38" s="2025">
        <f t="shared" ref="N38" si="172">G38/100</f>
        <v>-2.87E-2</v>
      </c>
      <c r="O38" s="2025"/>
      <c r="P38" s="2025">
        <f t="shared" si="123"/>
        <v>-5.1999999999999998E-3</v>
      </c>
      <c r="Q38" s="2904"/>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4"/>
      <c r="Y38" s="2025"/>
      <c r="Z38" s="2900">
        <f t="shared" ref="Z38:AB39" si="173">IF(E38=0,0,ROUND(AVERAGE(E38:E51)/100,4))</f>
        <v>2.5999999999999999E-3</v>
      </c>
      <c r="AA38" s="2900">
        <f t="shared" si="173"/>
        <v>1.6999999999999999E-3</v>
      </c>
      <c r="AB38" s="2900">
        <f t="shared" si="173"/>
        <v>3.3999999999999998E-3</v>
      </c>
      <c r="AC38" s="2902"/>
      <c r="AD38" s="2025">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2" customFormat="1" ht="12.75">
      <c r="A39" s="2903" t="s">
        <v>3366</v>
      </c>
      <c r="B39" s="2028">
        <v>2024</v>
      </c>
      <c r="C39" s="2039">
        <v>2</v>
      </c>
      <c r="D39" s="2004"/>
      <c r="E39" s="2004">
        <v>-0.31</v>
      </c>
      <c r="F39" s="2004">
        <v>-0.39</v>
      </c>
      <c r="G39" s="2004">
        <v>1.23</v>
      </c>
      <c r="H39" s="2915"/>
      <c r="I39" s="2005">
        <f t="shared" ref="I39:I52" si="174">F39</f>
        <v>-0.39</v>
      </c>
      <c r="J39" s="2904"/>
      <c r="K39" s="2040"/>
      <c r="L39" s="2025">
        <f t="shared" ref="L39:N52" si="175">E39/100</f>
        <v>-3.0999999999999999E-3</v>
      </c>
      <c r="M39" s="2025">
        <f t="shared" si="175"/>
        <v>-3.9000000000000003E-3</v>
      </c>
      <c r="N39" s="2025">
        <f t="shared" si="175"/>
        <v>1.23E-2</v>
      </c>
      <c r="O39" s="2025"/>
      <c r="P39" s="2025">
        <f t="shared" si="123"/>
        <v>-3.9000000000000003E-3</v>
      </c>
      <c r="Q39" s="2904"/>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4"/>
      <c r="Y39" s="2025"/>
      <c r="Z39" s="2900">
        <f t="shared" si="173"/>
        <v>3.3E-3</v>
      </c>
      <c r="AA39" s="2901">
        <f t="shared" si="173"/>
        <v>2.3999999999999998E-3</v>
      </c>
      <c r="AB39" s="2025">
        <f t="shared" si="173"/>
        <v>6.1999999999999998E-3</v>
      </c>
      <c r="AC39" s="2902"/>
      <c r="AD39" s="2025">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2" customFormat="1" ht="12.75">
      <c r="A40" s="2903" t="s">
        <v>3363</v>
      </c>
      <c r="B40" s="2028">
        <v>2024</v>
      </c>
      <c r="C40" s="2039">
        <v>1</v>
      </c>
      <c r="D40" s="2004"/>
      <c r="E40" s="2004">
        <v>0.25</v>
      </c>
      <c r="F40" s="2004">
        <v>0.4</v>
      </c>
      <c r="G40" s="2004">
        <v>-0.63</v>
      </c>
      <c r="H40" s="2915"/>
      <c r="I40" s="2005">
        <f t="shared" ref="I40:I41" si="176">F40</f>
        <v>0.4</v>
      </c>
      <c r="J40" s="2904"/>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4"/>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4"/>
      <c r="Y40" s="2025"/>
      <c r="Z40" s="2900"/>
      <c r="AA40" s="2901"/>
      <c r="AB40" s="2025"/>
      <c r="AC40" s="2902"/>
      <c r="AD40" s="2025"/>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2" customFormat="1" ht="12.75">
      <c r="A41" s="2903" t="s">
        <v>3361</v>
      </c>
      <c r="B41" s="2028">
        <v>2023</v>
      </c>
      <c r="C41" s="2039">
        <v>4</v>
      </c>
      <c r="D41" s="2004"/>
      <c r="E41" s="2004">
        <v>7.0000000000000007E-2</v>
      </c>
      <c r="F41" s="2004">
        <v>0.09</v>
      </c>
      <c r="G41" s="2004">
        <v>0.03</v>
      </c>
      <c r="H41" s="2915"/>
      <c r="I41" s="2005">
        <f t="shared" si="176"/>
        <v>0.09</v>
      </c>
      <c r="J41" s="2904"/>
      <c r="K41" s="2040"/>
      <c r="L41" s="2025">
        <f t="shared" si="175"/>
        <v>7.000000000000001E-4</v>
      </c>
      <c r="M41" s="2025">
        <f t="shared" si="175"/>
        <v>8.9999999999999998E-4</v>
      </c>
      <c r="N41" s="2025">
        <f t="shared" si="175"/>
        <v>2.9999999999999997E-4</v>
      </c>
      <c r="O41" s="2025"/>
      <c r="P41" s="2025">
        <f t="shared" ref="P41" si="182">M41</f>
        <v>8.9999999999999998E-4</v>
      </c>
      <c r="Q41" s="2904"/>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4"/>
      <c r="Y41" s="2025"/>
      <c r="Z41" s="2900"/>
      <c r="AA41" s="2901"/>
      <c r="AB41" s="2025"/>
      <c r="AC41" s="2902"/>
      <c r="AD41" s="2025"/>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2" customFormat="1" ht="12.75">
      <c r="A42" s="2903" t="s">
        <v>3359</v>
      </c>
      <c r="B42" s="2028">
        <v>2023</v>
      </c>
      <c r="C42" s="2039">
        <v>3</v>
      </c>
      <c r="D42" s="2004"/>
      <c r="E42" s="2004">
        <v>0.35</v>
      </c>
      <c r="F42" s="2004">
        <v>0.17</v>
      </c>
      <c r="G42" s="2004">
        <v>0.52</v>
      </c>
      <c r="H42" s="2915"/>
      <c r="I42" s="2005">
        <f t="shared" si="174"/>
        <v>0.17</v>
      </c>
      <c r="J42" s="2904"/>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4"/>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4"/>
      <c r="Y42" s="2025"/>
      <c r="Z42" s="2900"/>
      <c r="AA42" s="2901"/>
      <c r="AB42" s="2025"/>
      <c r="AC42" s="2902"/>
      <c r="AD42" s="2025"/>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2" customFormat="1" ht="12.75">
      <c r="A43" s="2903" t="s">
        <v>3358</v>
      </c>
      <c r="B43" s="2028">
        <v>2023</v>
      </c>
      <c r="C43" s="2039">
        <v>2</v>
      </c>
      <c r="D43" s="2004"/>
      <c r="E43" s="2004">
        <v>0.5</v>
      </c>
      <c r="F43" s="2004">
        <v>0.45</v>
      </c>
      <c r="G43" s="2004">
        <v>0.89</v>
      </c>
      <c r="H43" s="2915"/>
      <c r="I43" s="2005">
        <f t="shared" si="174"/>
        <v>0.45</v>
      </c>
      <c r="J43" s="2904"/>
      <c r="K43" s="2040"/>
      <c r="L43" s="2025">
        <f t="shared" si="184"/>
        <v>5.0000000000000001E-3</v>
      </c>
      <c r="M43" s="2025">
        <f t="shared" si="185"/>
        <v>4.5000000000000005E-3</v>
      </c>
      <c r="N43" s="2025">
        <f t="shared" si="186"/>
        <v>8.8999999999999999E-3</v>
      </c>
      <c r="O43" s="2025"/>
      <c r="P43" s="2025">
        <f t="shared" si="187"/>
        <v>4.5000000000000005E-3</v>
      </c>
      <c r="Q43" s="2904"/>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4"/>
      <c r="Y43" s="2025"/>
      <c r="Z43" s="2900"/>
      <c r="AA43" s="2901"/>
      <c r="AB43" s="2025"/>
      <c r="AC43" s="2902"/>
      <c r="AD43" s="2025"/>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2" customFormat="1" ht="12.75">
      <c r="A44" s="2903" t="s">
        <v>3356</v>
      </c>
      <c r="B44" s="2028">
        <v>2023</v>
      </c>
      <c r="C44" s="2039">
        <v>1</v>
      </c>
      <c r="D44" s="2004"/>
      <c r="E44" s="2004">
        <v>0.55000000000000004</v>
      </c>
      <c r="F44" s="2004">
        <v>0.59</v>
      </c>
      <c r="G44" s="2004">
        <v>0.64</v>
      </c>
      <c r="H44" s="2915"/>
      <c r="I44" s="2005">
        <f t="shared" si="174"/>
        <v>0.59</v>
      </c>
      <c r="J44" s="2904"/>
      <c r="K44" s="2040"/>
      <c r="L44" s="2025">
        <f t="shared" si="184"/>
        <v>5.5000000000000005E-3</v>
      </c>
      <c r="M44" s="2025">
        <f t="shared" si="185"/>
        <v>5.8999999999999999E-3</v>
      </c>
      <c r="N44" s="2025">
        <f t="shared" si="186"/>
        <v>6.4000000000000003E-3</v>
      </c>
      <c r="O44" s="2025"/>
      <c r="P44" s="2025">
        <f t="shared" si="187"/>
        <v>5.8999999999999999E-3</v>
      </c>
      <c r="Q44" s="2904"/>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4"/>
      <c r="Y44" s="2025"/>
      <c r="Z44" s="2900"/>
      <c r="AA44" s="2901"/>
      <c r="AB44" s="2025"/>
      <c r="AC44" s="2902"/>
      <c r="AD44" s="2025"/>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2" customFormat="1" ht="12.75">
      <c r="A45" s="2903" t="s">
        <v>3355</v>
      </c>
      <c r="B45" s="2028">
        <v>2022</v>
      </c>
      <c r="C45" s="2039">
        <v>4</v>
      </c>
      <c r="D45" s="2004"/>
      <c r="E45" s="2004">
        <v>0.45</v>
      </c>
      <c r="F45" s="2004">
        <v>0.2</v>
      </c>
      <c r="G45" s="2004">
        <v>0.38</v>
      </c>
      <c r="H45" s="2915"/>
      <c r="I45" s="2005">
        <f t="shared" si="174"/>
        <v>0.2</v>
      </c>
      <c r="J45" s="2904"/>
      <c r="K45" s="2040"/>
      <c r="L45" s="2025">
        <f t="shared" si="175"/>
        <v>4.5000000000000005E-3</v>
      </c>
      <c r="M45" s="2025">
        <f t="shared" si="175"/>
        <v>2E-3</v>
      </c>
      <c r="N45" s="2025">
        <f t="shared" si="175"/>
        <v>3.8E-3</v>
      </c>
      <c r="O45" s="2025"/>
      <c r="P45" s="2025">
        <f t="shared" ref="P45:P52" si="189">M45</f>
        <v>2E-3</v>
      </c>
      <c r="Q45" s="2904"/>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4"/>
      <c r="Y45" s="2025"/>
      <c r="Z45" s="2900">
        <f t="shared" ref="Z45:AD52" si="191">IF(E45=0,0,ROUND(AVERAGE(E45:E53)/100,4))</f>
        <v>4.0000000000000001E-3</v>
      </c>
      <c r="AA45" s="2901">
        <f t="shared" si="191"/>
        <v>2.5999999999999999E-3</v>
      </c>
      <c r="AB45" s="2025">
        <f t="shared" si="191"/>
        <v>7.4000000000000003E-3</v>
      </c>
      <c r="AC45" s="2902"/>
      <c r="AD45" s="2025">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2" customFormat="1" ht="12.75">
      <c r="A46" s="2903" t="s">
        <v>3354</v>
      </c>
      <c r="B46" s="2028">
        <v>2022</v>
      </c>
      <c r="C46" s="2039">
        <v>3</v>
      </c>
      <c r="D46" s="2004"/>
      <c r="E46" s="2004">
        <v>0.3</v>
      </c>
      <c r="F46" s="2004">
        <v>0.28999999999999998</v>
      </c>
      <c r="G46" s="2004">
        <v>0.83</v>
      </c>
      <c r="H46" s="2915"/>
      <c r="I46" s="2005">
        <f t="shared" si="174"/>
        <v>0.28999999999999998</v>
      </c>
      <c r="J46" s="2904"/>
      <c r="K46" s="2040"/>
      <c r="L46" s="2025">
        <f t="shared" si="175"/>
        <v>3.0000000000000001E-3</v>
      </c>
      <c r="M46" s="2025">
        <f t="shared" si="175"/>
        <v>2.8999999999999998E-3</v>
      </c>
      <c r="N46" s="2025">
        <f t="shared" si="175"/>
        <v>8.3000000000000001E-3</v>
      </c>
      <c r="O46" s="2025"/>
      <c r="P46" s="2025">
        <f t="shared" si="189"/>
        <v>2.8999999999999998E-3</v>
      </c>
      <c r="Q46" s="2904"/>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4"/>
      <c r="Y46" s="2025"/>
      <c r="Z46" s="2900">
        <f t="shared" si="191"/>
        <v>3.8999999999999998E-3</v>
      </c>
      <c r="AA46" s="2901">
        <f t="shared" si="191"/>
        <v>2.7000000000000001E-3</v>
      </c>
      <c r="AB46" s="2025">
        <f t="shared" si="191"/>
        <v>7.9000000000000008E-3</v>
      </c>
      <c r="AC46" s="2902"/>
      <c r="AD46" s="2025">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2" customFormat="1" ht="12.75">
      <c r="A47" s="2903" t="s">
        <v>3344</v>
      </c>
      <c r="B47" s="2028">
        <v>2022</v>
      </c>
      <c r="C47" s="2039">
        <v>2</v>
      </c>
      <c r="D47" s="2004"/>
      <c r="E47" s="2004">
        <v>-0.11</v>
      </c>
      <c r="F47" s="2004">
        <v>-0.13</v>
      </c>
      <c r="G47" s="2004">
        <v>0.53</v>
      </c>
      <c r="H47" s="2915"/>
      <c r="I47" s="2005">
        <f t="shared" si="174"/>
        <v>-0.13</v>
      </c>
      <c r="J47" s="2904"/>
      <c r="K47" s="2040"/>
      <c r="L47" s="2025">
        <f t="shared" si="175"/>
        <v>-1.1000000000000001E-3</v>
      </c>
      <c r="M47" s="2025">
        <f t="shared" si="175"/>
        <v>-1.2999999999999999E-3</v>
      </c>
      <c r="N47" s="2025">
        <f t="shared" si="175"/>
        <v>5.3E-3</v>
      </c>
      <c r="O47" s="2025"/>
      <c r="P47" s="2025">
        <f t="shared" si="189"/>
        <v>-1.2999999999999999E-3</v>
      </c>
      <c r="Q47" s="2904"/>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4"/>
      <c r="Y47" s="2025"/>
      <c r="Z47" s="2900">
        <f t="shared" si="191"/>
        <v>4.1000000000000003E-3</v>
      </c>
      <c r="AA47" s="2901">
        <f t="shared" si="191"/>
        <v>2.7000000000000001E-3</v>
      </c>
      <c r="AB47" s="2025">
        <f t="shared" si="191"/>
        <v>7.9000000000000008E-3</v>
      </c>
      <c r="AC47" s="2902"/>
      <c r="AD47" s="2025">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2" customFormat="1" ht="12.75">
      <c r="A48" s="2903" t="s">
        <v>2824</v>
      </c>
      <c r="B48" s="2028">
        <v>2022</v>
      </c>
      <c r="C48" s="2039">
        <v>1</v>
      </c>
      <c r="D48" s="2004"/>
      <c r="E48" s="2004">
        <v>0.6</v>
      </c>
      <c r="F48" s="2004">
        <v>0.45</v>
      </c>
      <c r="G48" s="2004">
        <v>0.53</v>
      </c>
      <c r="H48" s="2915"/>
      <c r="I48" s="2005">
        <f t="shared" si="174"/>
        <v>0.45</v>
      </c>
      <c r="J48" s="2904"/>
      <c r="K48" s="2040"/>
      <c r="L48" s="2025">
        <f t="shared" si="175"/>
        <v>6.0000000000000001E-3</v>
      </c>
      <c r="M48" s="2025">
        <f t="shared" si="175"/>
        <v>4.5000000000000005E-3</v>
      </c>
      <c r="N48" s="2025">
        <f t="shared" si="175"/>
        <v>5.3E-3</v>
      </c>
      <c r="O48" s="2025"/>
      <c r="P48" s="2025">
        <f t="shared" si="189"/>
        <v>4.5000000000000005E-3</v>
      </c>
      <c r="Q48" s="2904"/>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4"/>
      <c r="Y48" s="2025"/>
      <c r="Z48" s="2900">
        <f t="shared" si="191"/>
        <v>5.1000000000000004E-3</v>
      </c>
      <c r="AA48" s="2901">
        <f t="shared" si="191"/>
        <v>3.5000000000000001E-3</v>
      </c>
      <c r="AB48" s="2025">
        <f t="shared" si="191"/>
        <v>8.3999999999999995E-3</v>
      </c>
      <c r="AC48" s="2902"/>
      <c r="AD48" s="2025">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2" customFormat="1" ht="12.75">
      <c r="A49" s="2903" t="s">
        <v>2825</v>
      </c>
      <c r="B49" s="2028">
        <v>2021</v>
      </c>
      <c r="C49" s="2039">
        <v>4</v>
      </c>
      <c r="D49" s="2004"/>
      <c r="E49" s="2004">
        <v>0.57999999999999996</v>
      </c>
      <c r="F49" s="2004">
        <v>0.08</v>
      </c>
      <c r="G49" s="2004">
        <v>0.68</v>
      </c>
      <c r="H49" s="2915"/>
      <c r="I49" s="2005">
        <f t="shared" si="174"/>
        <v>0.08</v>
      </c>
      <c r="J49" s="2904"/>
      <c r="K49" s="2040"/>
      <c r="L49" s="2025">
        <f t="shared" si="175"/>
        <v>5.7999999999999996E-3</v>
      </c>
      <c r="M49" s="2025">
        <f t="shared" si="175"/>
        <v>8.0000000000000004E-4</v>
      </c>
      <c r="N49" s="2025">
        <f t="shared" si="175"/>
        <v>6.8000000000000005E-3</v>
      </c>
      <c r="O49" s="2025"/>
      <c r="P49" s="2025">
        <f t="shared" si="189"/>
        <v>8.0000000000000004E-4</v>
      </c>
      <c r="Q49" s="2904"/>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4"/>
      <c r="Y49" s="2025"/>
      <c r="Z49" s="2900">
        <f t="shared" si="191"/>
        <v>4.8999999999999998E-3</v>
      </c>
      <c r="AA49" s="2901">
        <f t="shared" si="191"/>
        <v>3.3E-3</v>
      </c>
      <c r="AB49" s="2025">
        <f t="shared" si="191"/>
        <v>9.1999999999999998E-3</v>
      </c>
      <c r="AC49" s="2902"/>
      <c r="AD49" s="2025">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2" customFormat="1" ht="12.75">
      <c r="A50" s="2903" t="s">
        <v>2826</v>
      </c>
      <c r="B50" s="2028">
        <v>2021</v>
      </c>
      <c r="C50" s="2039">
        <v>3</v>
      </c>
      <c r="D50" s="2004"/>
      <c r="E50" s="2004">
        <v>0.47</v>
      </c>
      <c r="F50" s="2004">
        <v>0.28000000000000003</v>
      </c>
      <c r="G50" s="2004">
        <v>0.91</v>
      </c>
      <c r="H50" s="2915"/>
      <c r="I50" s="2005">
        <f t="shared" si="174"/>
        <v>0.28000000000000003</v>
      </c>
      <c r="J50" s="2904"/>
      <c r="K50" s="2040"/>
      <c r="L50" s="2025">
        <f t="shared" si="175"/>
        <v>4.6999999999999993E-3</v>
      </c>
      <c r="M50" s="2025">
        <f t="shared" si="175"/>
        <v>2.8000000000000004E-3</v>
      </c>
      <c r="N50" s="2025">
        <f t="shared" si="175"/>
        <v>9.1000000000000004E-3</v>
      </c>
      <c r="O50" s="2025"/>
      <c r="P50" s="2025">
        <f t="shared" si="189"/>
        <v>2.8000000000000004E-3</v>
      </c>
      <c r="Q50" s="2904"/>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4"/>
      <c r="Y50" s="2025"/>
      <c r="Z50" s="2900">
        <f t="shared" si="191"/>
        <v>4.5999999999999999E-3</v>
      </c>
      <c r="AA50" s="2901">
        <f t="shared" si="191"/>
        <v>4.1000000000000003E-3</v>
      </c>
      <c r="AB50" s="2025">
        <f t="shared" si="191"/>
        <v>0.01</v>
      </c>
      <c r="AC50" s="2902"/>
      <c r="AD50" s="2025">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2" customFormat="1" ht="12.75">
      <c r="A51" s="2903" t="s">
        <v>2827</v>
      </c>
      <c r="B51" s="2028">
        <v>2021</v>
      </c>
      <c r="C51" s="2039">
        <v>2</v>
      </c>
      <c r="D51" s="2004"/>
      <c r="E51" s="2004">
        <v>0.55000000000000004</v>
      </c>
      <c r="F51" s="2004">
        <v>0.46</v>
      </c>
      <c r="G51" s="2004">
        <v>1.1000000000000001</v>
      </c>
      <c r="H51" s="2915"/>
      <c r="I51" s="2005">
        <f t="shared" si="174"/>
        <v>0.46</v>
      </c>
      <c r="J51" s="2904"/>
      <c r="K51" s="2040"/>
      <c r="L51" s="2025">
        <f t="shared" si="175"/>
        <v>5.5000000000000005E-3</v>
      </c>
      <c r="M51" s="2025">
        <f t="shared" si="175"/>
        <v>4.5999999999999999E-3</v>
      </c>
      <c r="N51" s="2025">
        <f t="shared" si="175"/>
        <v>1.1000000000000001E-2</v>
      </c>
      <c r="O51" s="2025"/>
      <c r="P51" s="2025">
        <f t="shared" si="189"/>
        <v>4.5999999999999999E-3</v>
      </c>
      <c r="Q51" s="2904"/>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4"/>
      <c r="Y51" s="2025"/>
      <c r="Z51" s="2900">
        <f t="shared" si="191"/>
        <v>4.4999999999999997E-3</v>
      </c>
      <c r="AA51" s="2901">
        <f t="shared" si="191"/>
        <v>4.7000000000000002E-3</v>
      </c>
      <c r="AB51" s="2025">
        <f t="shared" si="191"/>
        <v>1.04E-2</v>
      </c>
      <c r="AC51" s="2902"/>
      <c r="AD51" s="2025">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2813</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2112</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2113</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2128</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2126</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2125</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2124</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2122</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2121</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2123</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2119</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2118</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2111</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4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2109</v>
      </c>
      <c r="B25" s="2046">
        <v>439</v>
      </c>
      <c r="C25" s="2046">
        <v>327</v>
      </c>
      <c r="D25" s="2046">
        <f>C25</f>
        <v>327</v>
      </c>
      <c r="E25" s="2046">
        <v>627</v>
      </c>
      <c r="F25" s="2047">
        <v>283</v>
      </c>
      <c r="G25" s="353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2110</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4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3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3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4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4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3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3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3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3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3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3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3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3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3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3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3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6">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37">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3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6">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37">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46" t="s">
        <v>2828</v>
      </c>
      <c r="B1" s="3546"/>
      <c r="C1" s="3546"/>
      <c r="D1" s="3546"/>
      <c r="E1" s="3546"/>
      <c r="F1" s="3546"/>
      <c r="G1" s="3547"/>
      <c r="I1" s="2936" t="s">
        <v>2829</v>
      </c>
      <c r="J1" s="2937" t="s">
        <v>2830</v>
      </c>
      <c r="K1" s="2937" t="s">
        <v>2831</v>
      </c>
      <c r="L1" s="2937" t="s">
        <v>2832</v>
      </c>
      <c r="M1" s="2937" t="s">
        <v>2833</v>
      </c>
      <c r="N1" s="2937" t="s">
        <v>2834</v>
      </c>
      <c r="O1" s="2937" t="s">
        <v>2835</v>
      </c>
      <c r="P1" s="2937" t="s">
        <v>2836</v>
      </c>
      <c r="Q1" s="2937" t="s">
        <v>2837</v>
      </c>
      <c r="R1" s="2937" t="s">
        <v>2838</v>
      </c>
      <c r="S1" s="2937" t="s">
        <v>2839</v>
      </c>
      <c r="T1" s="2938" t="s">
        <v>2840</v>
      </c>
    </row>
    <row r="2" spans="1:20" ht="12" thickBot="1">
      <c r="A2" s="2939" t="s">
        <v>2841</v>
      </c>
      <c r="B2" s="2939"/>
      <c r="C2" s="2939"/>
      <c r="D2" s="2939"/>
      <c r="E2" s="2939"/>
      <c r="F2" s="2939"/>
      <c r="G2" s="2940" t="s">
        <v>2842</v>
      </c>
      <c r="I2" s="2941" t="s">
        <v>2843</v>
      </c>
      <c r="J2" s="2941" t="s">
        <v>2844</v>
      </c>
      <c r="K2" s="2941" t="s">
        <v>2845</v>
      </c>
      <c r="L2" s="2941" t="s">
        <v>2846</v>
      </c>
      <c r="M2" s="2941" t="s">
        <v>2847</v>
      </c>
      <c r="N2" s="2941" t="s">
        <v>2848</v>
      </c>
      <c r="O2" s="2941" t="s">
        <v>2849</v>
      </c>
      <c r="P2" s="2941" t="s">
        <v>2850</v>
      </c>
      <c r="Q2" s="2941" t="s">
        <v>2851</v>
      </c>
      <c r="R2" s="2941" t="s">
        <v>2852</v>
      </c>
      <c r="S2" s="2941" t="s">
        <v>2853</v>
      </c>
      <c r="T2" s="2941" t="s">
        <v>2854</v>
      </c>
    </row>
    <row r="3" spans="1:20" s="2947" customFormat="1">
      <c r="A3" s="3544" t="s">
        <v>2855</v>
      </c>
      <c r="B3" s="2942"/>
      <c r="C3" s="2943" t="s">
        <v>2800</v>
      </c>
      <c r="D3" s="2943" t="s">
        <v>2856</v>
      </c>
      <c r="E3" s="2943" t="s">
        <v>2802</v>
      </c>
      <c r="F3" s="2943" t="s">
        <v>2857</v>
      </c>
      <c r="G3" s="2943" t="s">
        <v>2620</v>
      </c>
      <c r="H3" s="2944"/>
      <c r="I3" s="2945" t="s">
        <v>2858</v>
      </c>
      <c r="J3" s="2946" t="s">
        <v>128</v>
      </c>
      <c r="K3" s="2946" t="s">
        <v>129</v>
      </c>
      <c r="L3" s="2945" t="s">
        <v>130</v>
      </c>
      <c r="M3" s="2945" t="s">
        <v>131</v>
      </c>
      <c r="N3" s="2945" t="s">
        <v>132</v>
      </c>
      <c r="O3" s="2945" t="s">
        <v>133</v>
      </c>
      <c r="P3" s="2945" t="s">
        <v>134</v>
      </c>
      <c r="Q3" s="2945" t="s">
        <v>135</v>
      </c>
      <c r="R3" s="2945" t="s">
        <v>136</v>
      </c>
      <c r="S3" s="2945" t="s">
        <v>2859</v>
      </c>
      <c r="T3" s="2945" t="s">
        <v>2860</v>
      </c>
    </row>
    <row r="4" spans="1:20" s="2947" customFormat="1" ht="12" thickBot="1">
      <c r="A4" s="3545"/>
      <c r="B4" s="2948" t="s">
        <v>2861</v>
      </c>
      <c r="C4" s="2948" t="s">
        <v>2862</v>
      </c>
      <c r="D4" s="2948" t="s">
        <v>2862</v>
      </c>
      <c r="E4" s="2948" t="s">
        <v>2862</v>
      </c>
      <c r="F4" s="2949" t="s">
        <v>2862</v>
      </c>
      <c r="G4" s="2949" t="s">
        <v>2862</v>
      </c>
      <c r="H4" s="2944"/>
      <c r="I4" s="2946" t="s">
        <v>137</v>
      </c>
      <c r="J4" s="2946" t="s">
        <v>111</v>
      </c>
      <c r="K4" s="2946" t="s">
        <v>138</v>
      </c>
      <c r="L4" s="2945" t="s">
        <v>139</v>
      </c>
      <c r="M4" s="2945" t="s">
        <v>140</v>
      </c>
      <c r="N4" s="2945" t="s">
        <v>141</v>
      </c>
      <c r="O4" s="2945" t="s">
        <v>142</v>
      </c>
      <c r="P4" s="2945" t="s">
        <v>143</v>
      </c>
      <c r="Q4" s="2945" t="s">
        <v>2863</v>
      </c>
      <c r="R4" s="2945" t="s">
        <v>2864</v>
      </c>
      <c r="S4" s="2945" t="s">
        <v>2865</v>
      </c>
      <c r="T4" s="2945" t="s">
        <v>2866</v>
      </c>
    </row>
    <row r="5" spans="1:20">
      <c r="A5" s="2950" t="s">
        <v>2829</v>
      </c>
      <c r="B5" s="2941" t="s">
        <v>2843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2867</v>
      </c>
      <c r="R5" s="2945" t="s">
        <v>2868</v>
      </c>
      <c r="S5" s="2945" t="s">
        <v>153</v>
      </c>
      <c r="T5" s="2945" t="s">
        <v>2869</v>
      </c>
    </row>
    <row r="6" spans="1:20" ht="12" thickBot="1">
      <c r="A6" s="2945" t="s">
        <v>144</v>
      </c>
      <c r="B6" s="2945" t="s">
        <v>2858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2870</v>
      </c>
      <c r="Q6" s="2945" t="s">
        <v>2871</v>
      </c>
      <c r="R6" s="2945" t="s">
        <v>161</v>
      </c>
      <c r="S6" s="2945" t="s">
        <v>2872</v>
      </c>
      <c r="T6" s="2945" t="s">
        <v>2873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2874</v>
      </c>
      <c r="Q7" s="2945" t="s">
        <v>2875</v>
      </c>
      <c r="R7" s="2945" t="s">
        <v>2876</v>
      </c>
      <c r="S7" s="2945" t="s">
        <v>2877</v>
      </c>
      <c r="T7" s="2945" t="s">
        <v>2878</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2879</v>
      </c>
      <c r="Q8" s="2945" t="s">
        <v>174</v>
      </c>
      <c r="R8" s="2945" t="s">
        <v>2880</v>
      </c>
      <c r="S8" s="2945" t="s">
        <v>2881</v>
      </c>
      <c r="T8" s="2952" t="s">
        <v>2882</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2883</v>
      </c>
      <c r="Q9" s="2945" t="s">
        <v>182</v>
      </c>
      <c r="R9" s="2945" t="s">
        <v>183</v>
      </c>
      <c r="S9" s="2945" t="s">
        <v>200</v>
      </c>
    </row>
    <row r="10" spans="1:20">
      <c r="A10" s="2950" t="s">
        <v>184</v>
      </c>
      <c r="B10" s="2941" t="s">
        <v>2844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2885</v>
      </c>
      <c r="P11" s="2945" t="s">
        <v>191</v>
      </c>
      <c r="Q11" s="2945" t="s">
        <v>199</v>
      </c>
      <c r="R11" s="2945" t="s">
        <v>2886</v>
      </c>
      <c r="S11" s="2945" t="s">
        <v>2887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2888</v>
      </c>
      <c r="P12" s="2945" t="s">
        <v>2889</v>
      </c>
      <c r="Q12" s="2945" t="s">
        <v>2890</v>
      </c>
      <c r="R12" s="2945" t="s">
        <v>2891</v>
      </c>
      <c r="S12" s="2945" t="s">
        <v>2892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2894</v>
      </c>
      <c r="K14" s="2946" t="s">
        <v>215</v>
      </c>
      <c r="L14" s="2945" t="s">
        <v>216</v>
      </c>
      <c r="M14" s="2945" t="s">
        <v>217</v>
      </c>
      <c r="N14" s="2945" t="s">
        <v>218</v>
      </c>
      <c r="O14" s="2945" t="s">
        <v>240</v>
      </c>
      <c r="P14" s="2945" t="s">
        <v>213</v>
      </c>
      <c r="Q14" s="2945" t="s">
        <v>2895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2896</v>
      </c>
      <c r="P15" s="2945" t="s">
        <v>2897</v>
      </c>
      <c r="Q15" s="2945" t="s">
        <v>242</v>
      </c>
      <c r="R15" s="2945" t="s">
        <v>2898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2899</v>
      </c>
      <c r="P16" s="2945" t="s">
        <v>227</v>
      </c>
      <c r="Q16" s="2945" t="s">
        <v>250</v>
      </c>
      <c r="R16" s="2945" t="s">
        <v>207</v>
      </c>
      <c r="S16" s="2945" t="s">
        <v>2900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2901</v>
      </c>
      <c r="P17" s="2945" t="s">
        <v>2902</v>
      </c>
      <c r="Q17" s="2945" t="s">
        <v>256</v>
      </c>
      <c r="R17" s="2945" t="s">
        <v>2903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2904</v>
      </c>
      <c r="P18" s="2945" t="s">
        <v>241</v>
      </c>
      <c r="Q18" s="2945" t="s">
        <v>2905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2906</v>
      </c>
      <c r="P19" s="2945" t="s">
        <v>249</v>
      </c>
      <c r="Q19" s="2945" t="s">
        <v>2907</v>
      </c>
      <c r="R19" s="2945" t="s">
        <v>265</v>
      </c>
      <c r="S19" s="2945" t="s">
        <v>2908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2909</v>
      </c>
      <c r="P20" s="2945" t="s">
        <v>2910</v>
      </c>
      <c r="Q20" s="2945" t="s">
        <v>290</v>
      </c>
      <c r="R20" s="2945" t="s">
        <v>2911</v>
      </c>
      <c r="S20" s="2945" t="s">
        <v>277</v>
      </c>
    </row>
    <row r="21" spans="1:19" ht="14.25" customHeight="1" thickBot="1">
      <c r="A21" s="2945" t="s">
        <v>184</v>
      </c>
      <c r="B21" s="2946" t="s">
        <v>208</v>
      </c>
      <c r="C21" s="2945">
        <v>32370</v>
      </c>
      <c r="D21" s="2945">
        <v>26730</v>
      </c>
      <c r="E21" s="2945">
        <v>26640</v>
      </c>
      <c r="F21" s="2945"/>
      <c r="G21" s="2945">
        <v>19440</v>
      </c>
      <c r="J21" s="2952" t="s">
        <v>2912</v>
      </c>
      <c r="K21" s="2946" t="s">
        <v>267</v>
      </c>
      <c r="L21" s="2945" t="s">
        <v>268</v>
      </c>
      <c r="M21" s="2945" t="s">
        <v>269</v>
      </c>
      <c r="N21" s="2945" t="s">
        <v>270</v>
      </c>
      <c r="O21" s="2945" t="s">
        <v>264</v>
      </c>
      <c r="P21" s="2945" t="s">
        <v>283</v>
      </c>
      <c r="Q21" s="2945" t="s">
        <v>293</v>
      </c>
      <c r="R21" s="2945" t="s">
        <v>2913</v>
      </c>
      <c r="S21" s="2952" t="s">
        <v>2914</v>
      </c>
    </row>
    <row r="22" spans="1:19" ht="14.25" customHeight="1">
      <c r="A22" s="2945" t="s">
        <v>184</v>
      </c>
      <c r="B22" s="2946" t="s">
        <v>2894</v>
      </c>
      <c r="C22" s="2945">
        <v>29830</v>
      </c>
      <c r="D22" s="2945">
        <v>27600</v>
      </c>
      <c r="E22" s="2945">
        <v>28150</v>
      </c>
      <c r="F22" s="2945"/>
      <c r="G22" s="2945">
        <v>20080</v>
      </c>
      <c r="K22" s="2946" t="s">
        <v>2915</v>
      </c>
      <c r="L22" s="2945" t="s">
        <v>272</v>
      </c>
      <c r="M22" s="2945" t="s">
        <v>273</v>
      </c>
      <c r="N22" s="2945" t="s">
        <v>274</v>
      </c>
      <c r="O22" s="2945" t="s">
        <v>2916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2917</v>
      </c>
      <c r="L23" s="2945" t="s">
        <v>278</v>
      </c>
      <c r="M23" s="2945" t="s">
        <v>279</v>
      </c>
      <c r="N23" s="2945" t="s">
        <v>2918</v>
      </c>
      <c r="O23" s="2945" t="s">
        <v>2919</v>
      </c>
      <c r="P23" s="2945" t="s">
        <v>289</v>
      </c>
      <c r="Q23" s="2945" t="s">
        <v>298</v>
      </c>
      <c r="R23" s="2945" t="s">
        <v>2920</v>
      </c>
    </row>
    <row r="24" spans="1:19" ht="14.25" customHeight="1">
      <c r="A24" s="2945" t="s">
        <v>184</v>
      </c>
      <c r="B24" s="2946" t="s">
        <v>230</v>
      </c>
      <c r="C24" s="2945">
        <v>27930</v>
      </c>
      <c r="D24" s="2945">
        <v>32260</v>
      </c>
      <c r="E24" s="2945">
        <v>32120</v>
      </c>
      <c r="F24" s="2945"/>
      <c r="G24" s="2945">
        <v>23470</v>
      </c>
      <c r="K24" s="2946" t="s">
        <v>2921</v>
      </c>
      <c r="L24" s="2945" t="s">
        <v>281</v>
      </c>
      <c r="M24" s="2945" t="s">
        <v>282</v>
      </c>
      <c r="N24" s="2945" t="s">
        <v>2922</v>
      </c>
      <c r="O24" s="2945" t="s">
        <v>285</v>
      </c>
      <c r="P24" s="2945" t="s">
        <v>2923</v>
      </c>
      <c r="Q24" s="2954" t="s">
        <v>2924</v>
      </c>
      <c r="R24" s="2945" t="s">
        <v>2925</v>
      </c>
    </row>
    <row r="25" spans="1:19" ht="14.25" customHeight="1">
      <c r="A25" s="2945" t="s">
        <v>184</v>
      </c>
      <c r="B25" s="2946" t="s">
        <v>235</v>
      </c>
      <c r="C25" s="2945">
        <v>32230</v>
      </c>
      <c r="D25" s="2945">
        <v>29640</v>
      </c>
      <c r="E25" s="2945">
        <v>29510</v>
      </c>
      <c r="F25" s="2945"/>
      <c r="G25" s="2945">
        <v>21560</v>
      </c>
      <c r="K25" s="2946" t="s">
        <v>2926</v>
      </c>
      <c r="L25" s="2945" t="s">
        <v>2927</v>
      </c>
      <c r="M25" s="2945" t="s">
        <v>284</v>
      </c>
      <c r="N25" s="2945" t="s">
        <v>292</v>
      </c>
      <c r="O25" s="2945" t="s">
        <v>288</v>
      </c>
      <c r="P25" s="2945" t="s">
        <v>275</v>
      </c>
      <c r="Q25" s="2954" t="s">
        <v>271</v>
      </c>
      <c r="R25" s="2945" t="s">
        <v>2928</v>
      </c>
    </row>
    <row r="26" spans="1:19" ht="14.25" customHeight="1" thickBot="1">
      <c r="A26" s="2945" t="s">
        <v>184</v>
      </c>
      <c r="B26" s="2946" t="s">
        <v>244</v>
      </c>
      <c r="C26" s="2945">
        <v>31690</v>
      </c>
      <c r="D26" s="2945">
        <v>27650</v>
      </c>
      <c r="E26" s="2945">
        <v>28200</v>
      </c>
      <c r="F26" s="2945"/>
      <c r="G26" s="2945">
        <v>20110</v>
      </c>
      <c r="K26" s="2951" t="s">
        <v>2929</v>
      </c>
      <c r="L26" s="2945" t="s">
        <v>2930</v>
      </c>
      <c r="M26" s="2945" t="s">
        <v>287</v>
      </c>
      <c r="N26" s="2945" t="s">
        <v>294</v>
      </c>
      <c r="O26" s="2945" t="s">
        <v>2931</v>
      </c>
      <c r="P26" s="2945" t="s">
        <v>2932</v>
      </c>
      <c r="Q26" s="2954" t="s">
        <v>276</v>
      </c>
      <c r="R26" s="2945" t="s">
        <v>2933</v>
      </c>
    </row>
    <row r="27" spans="1:19" ht="14.25" customHeight="1">
      <c r="A27" s="2945" t="s">
        <v>184</v>
      </c>
      <c r="B27" s="2946" t="s">
        <v>251</v>
      </c>
      <c r="C27" s="2945">
        <v>29610</v>
      </c>
      <c r="D27" s="2945">
        <v>27770</v>
      </c>
      <c r="E27" s="2945">
        <v>28300</v>
      </c>
      <c r="F27" s="2945"/>
      <c r="G27" s="2945">
        <v>20210</v>
      </c>
      <c r="L27" s="2945" t="s">
        <v>2934</v>
      </c>
      <c r="M27" s="2945" t="s">
        <v>291</v>
      </c>
      <c r="N27" s="2945" t="s">
        <v>297</v>
      </c>
      <c r="O27" s="2945" t="s">
        <v>2935</v>
      </c>
      <c r="P27" s="2945" t="s">
        <v>2936</v>
      </c>
      <c r="Q27" s="2945" t="s">
        <v>2937</v>
      </c>
      <c r="R27" s="2945" t="s">
        <v>2938</v>
      </c>
    </row>
    <row r="28" spans="1:19" ht="14.25" customHeight="1">
      <c r="A28" s="2945" t="s">
        <v>184</v>
      </c>
      <c r="B28" s="2946" t="s">
        <v>259</v>
      </c>
      <c r="C28" s="2945"/>
      <c r="D28" s="2945">
        <v>31520</v>
      </c>
      <c r="E28" s="2945">
        <v>31410</v>
      </c>
      <c r="F28" s="2945"/>
      <c r="G28" s="2945">
        <v>22940</v>
      </c>
      <c r="L28" s="2945" t="s">
        <v>2939</v>
      </c>
      <c r="M28" s="2945" t="s">
        <v>2940</v>
      </c>
      <c r="N28" s="2945" t="s">
        <v>2941</v>
      </c>
      <c r="O28" s="2945" t="s">
        <v>2942</v>
      </c>
      <c r="P28" s="2945" t="s">
        <v>2943</v>
      </c>
      <c r="Q28" s="2945" t="s">
        <v>2944</v>
      </c>
      <c r="R28" s="2945" t="s">
        <v>2945</v>
      </c>
    </row>
    <row r="29" spans="1:19" ht="14.25" customHeight="1" thickBot="1">
      <c r="A29" s="2953" t="s">
        <v>184</v>
      </c>
      <c r="B29" s="2955" t="s">
        <v>2912</v>
      </c>
      <c r="C29" s="2956"/>
      <c r="D29" s="2956">
        <v>29460</v>
      </c>
      <c r="E29" s="2956">
        <v>28640</v>
      </c>
      <c r="F29" s="2956"/>
      <c r="G29" s="2956">
        <v>21430</v>
      </c>
      <c r="L29" s="2945" t="s">
        <v>2946</v>
      </c>
      <c r="M29" s="2945" t="s">
        <v>2947</v>
      </c>
      <c r="N29" s="2945" t="s">
        <v>2948</v>
      </c>
      <c r="O29" s="2945" t="s">
        <v>2949</v>
      </c>
      <c r="P29" s="2945" t="s">
        <v>2950</v>
      </c>
      <c r="Q29" s="2945" t="s">
        <v>2951</v>
      </c>
      <c r="R29" s="2945" t="s">
        <v>280</v>
      </c>
    </row>
    <row r="30" spans="1:19" ht="14.25" customHeight="1">
      <c r="A30" s="2950" t="s">
        <v>296</v>
      </c>
      <c r="B30" s="2941" t="s">
        <v>2845</v>
      </c>
      <c r="C30" s="2941">
        <v>26890</v>
      </c>
      <c r="D30" s="2941">
        <v>26770</v>
      </c>
      <c r="E30" s="2941">
        <v>25700</v>
      </c>
      <c r="F30" s="2941">
        <v>8180</v>
      </c>
      <c r="G30" s="2957">
        <v>18740</v>
      </c>
      <c r="L30" s="2945" t="s">
        <v>2952</v>
      </c>
      <c r="M30" s="2945" t="s">
        <v>2953</v>
      </c>
      <c r="N30" s="2945" t="s">
        <v>2954</v>
      </c>
      <c r="O30" s="2945" t="s">
        <v>2955</v>
      </c>
      <c r="P30" s="2945" t="s">
        <v>2956</v>
      </c>
      <c r="Q30" s="2945" t="s">
        <v>2957</v>
      </c>
      <c r="R30" s="2945" t="s">
        <v>2958</v>
      </c>
    </row>
    <row r="31" spans="1:19" ht="14.25" customHeight="1">
      <c r="A31" s="2945" t="s">
        <v>296</v>
      </c>
      <c r="B31" s="2946" t="s">
        <v>129</v>
      </c>
      <c r="C31" s="2945">
        <v>24550</v>
      </c>
      <c r="D31" s="2945">
        <v>23990</v>
      </c>
      <c r="E31" s="2945">
        <v>22930</v>
      </c>
      <c r="F31" s="2945">
        <v>7470</v>
      </c>
      <c r="G31" s="2958">
        <v>16790</v>
      </c>
      <c r="L31" s="2945" t="s">
        <v>2959</v>
      </c>
      <c r="M31" s="2945" t="s">
        <v>2960</v>
      </c>
      <c r="N31" s="2945" t="s">
        <v>2961</v>
      </c>
      <c r="O31" s="2945" t="s">
        <v>2962</v>
      </c>
      <c r="P31" s="2945" t="s">
        <v>2963</v>
      </c>
      <c r="Q31" s="2945" t="s">
        <v>2964</v>
      </c>
      <c r="R31" s="2945" t="s">
        <v>2965</v>
      </c>
    </row>
    <row r="32" spans="1:19" ht="14.25" customHeight="1" thickBot="1">
      <c r="A32" s="2945" t="s">
        <v>296</v>
      </c>
      <c r="B32" s="2946" t="s">
        <v>138</v>
      </c>
      <c r="C32" s="2945">
        <v>27210</v>
      </c>
      <c r="D32" s="2945">
        <v>23240</v>
      </c>
      <c r="E32" s="2945">
        <v>23260</v>
      </c>
      <c r="F32" s="2945">
        <v>7130</v>
      </c>
      <c r="G32" s="2958">
        <v>16270</v>
      </c>
      <c r="L32" s="2945" t="s">
        <v>2966</v>
      </c>
      <c r="M32" s="2945" t="s">
        <v>2967</v>
      </c>
      <c r="N32" s="2945" t="s">
        <v>300</v>
      </c>
      <c r="O32" s="2945" t="s">
        <v>2968</v>
      </c>
      <c r="P32" s="2945" t="s">
        <v>299</v>
      </c>
      <c r="Q32" s="2945" t="s">
        <v>2969</v>
      </c>
      <c r="R32" s="2952" t="s">
        <v>2970</v>
      </c>
    </row>
    <row r="33" spans="1:17" ht="14.25" customHeight="1" thickBot="1">
      <c r="A33" s="2945" t="s">
        <v>296</v>
      </c>
      <c r="B33" s="2946" t="s">
        <v>147</v>
      </c>
      <c r="C33" s="2945">
        <v>27300</v>
      </c>
      <c r="D33" s="2945">
        <v>22980</v>
      </c>
      <c r="E33" s="2945">
        <v>24260</v>
      </c>
      <c r="F33" s="2945">
        <v>5860</v>
      </c>
      <c r="G33" s="2958">
        <v>16090</v>
      </c>
      <c r="L33" s="2952" t="s">
        <v>2971</v>
      </c>
      <c r="M33" s="2945" t="s">
        <v>2972</v>
      </c>
      <c r="N33" s="2945" t="s">
        <v>301</v>
      </c>
      <c r="O33" s="2945" t="s">
        <v>2973</v>
      </c>
      <c r="P33" s="2945" t="s">
        <v>2974</v>
      </c>
      <c r="Q33" s="2945" t="s">
        <v>2975</v>
      </c>
    </row>
    <row r="34" spans="1:17" ht="14.25" customHeight="1">
      <c r="A34" s="2945" t="s">
        <v>296</v>
      </c>
      <c r="B34" s="2946" t="s">
        <v>156</v>
      </c>
      <c r="C34" s="2945">
        <v>23090</v>
      </c>
      <c r="D34" s="2945">
        <v>23390</v>
      </c>
      <c r="E34" s="2945">
        <v>23510</v>
      </c>
      <c r="F34" s="2945">
        <v>6700</v>
      </c>
      <c r="G34" s="2958">
        <v>16370</v>
      </c>
      <c r="M34" s="2945" t="s">
        <v>2976</v>
      </c>
      <c r="N34" s="2945" t="s">
        <v>302</v>
      </c>
      <c r="O34" s="2945" t="s">
        <v>2977</v>
      </c>
      <c r="P34" s="2945" t="s">
        <v>2978</v>
      </c>
      <c r="Q34" s="2945" t="s">
        <v>2979</v>
      </c>
    </row>
    <row r="35" spans="1:17" ht="14.25" customHeight="1">
      <c r="A35" s="2945" t="s">
        <v>296</v>
      </c>
      <c r="B35" s="2946" t="s">
        <v>163</v>
      </c>
      <c r="C35" s="2945">
        <v>27270</v>
      </c>
      <c r="D35" s="2945">
        <v>24270</v>
      </c>
      <c r="E35" s="2945">
        <v>24950</v>
      </c>
      <c r="F35" s="2945">
        <v>6600</v>
      </c>
      <c r="G35" s="2958">
        <v>16990</v>
      </c>
      <c r="M35" s="2945" t="s">
        <v>2980</v>
      </c>
      <c r="N35" s="2945" t="s">
        <v>2981</v>
      </c>
      <c r="O35" s="2945" t="s">
        <v>2982</v>
      </c>
      <c r="P35" s="2945" t="s">
        <v>2983</v>
      </c>
      <c r="Q35" s="2945" t="s">
        <v>2984</v>
      </c>
    </row>
    <row r="36" spans="1:17" ht="14.25" customHeight="1">
      <c r="A36" s="2945" t="s">
        <v>296</v>
      </c>
      <c r="B36" s="2946" t="s">
        <v>169</v>
      </c>
      <c r="C36" s="2945">
        <v>23490</v>
      </c>
      <c r="D36" s="2945">
        <v>23020</v>
      </c>
      <c r="E36" s="2945">
        <v>25230</v>
      </c>
      <c r="F36" s="2945">
        <v>6780</v>
      </c>
      <c r="G36" s="2958">
        <v>16120</v>
      </c>
      <c r="M36" s="2945" t="s">
        <v>2985</v>
      </c>
      <c r="N36" s="2945" t="s">
        <v>2986</v>
      </c>
      <c r="O36" s="2945" t="s">
        <v>2987</v>
      </c>
      <c r="P36" s="2945" t="s">
        <v>2988</v>
      </c>
      <c r="Q36" s="2945" t="s">
        <v>2989</v>
      </c>
    </row>
    <row r="37" spans="1:17" ht="14.25" customHeight="1">
      <c r="A37" s="2945" t="s">
        <v>296</v>
      </c>
      <c r="B37" s="2946" t="s">
        <v>176</v>
      </c>
      <c r="C37" s="2945">
        <v>24380</v>
      </c>
      <c r="D37" s="2945">
        <v>22240</v>
      </c>
      <c r="E37" s="2945">
        <v>25980</v>
      </c>
      <c r="F37" s="2945">
        <v>8160</v>
      </c>
      <c r="G37" s="2958">
        <v>15570</v>
      </c>
      <c r="M37" s="2945" t="s">
        <v>2990</v>
      </c>
      <c r="N37" s="2945" t="s">
        <v>2991</v>
      </c>
      <c r="O37" s="2945" t="s">
        <v>2992</v>
      </c>
      <c r="P37" s="2945" t="s">
        <v>2993</v>
      </c>
      <c r="Q37" s="2945" t="s">
        <v>2994</v>
      </c>
    </row>
    <row r="38" spans="1:17" ht="14.25" customHeight="1">
      <c r="A38" s="2945" t="s">
        <v>296</v>
      </c>
      <c r="B38" s="2946" t="s">
        <v>186</v>
      </c>
      <c r="C38" s="2945">
        <v>23120</v>
      </c>
      <c r="D38" s="2945">
        <v>24630</v>
      </c>
      <c r="E38" s="2945">
        <v>25030</v>
      </c>
      <c r="F38" s="2945">
        <v>7710</v>
      </c>
      <c r="G38" s="2958">
        <v>17240</v>
      </c>
      <c r="M38" s="2945" t="s">
        <v>2995</v>
      </c>
      <c r="N38" s="2945" t="s">
        <v>2996</v>
      </c>
      <c r="O38" s="2945" t="s">
        <v>2997</v>
      </c>
      <c r="P38" s="2945" t="s">
        <v>2998</v>
      </c>
      <c r="Q38" s="2945" t="s">
        <v>2999</v>
      </c>
    </row>
    <row r="39" spans="1:17" ht="14.25" customHeight="1">
      <c r="A39" s="2945" t="s">
        <v>296</v>
      </c>
      <c r="B39" s="2946" t="s">
        <v>195</v>
      </c>
      <c r="C39" s="2945">
        <v>22330</v>
      </c>
      <c r="D39" s="2945">
        <v>21140</v>
      </c>
      <c r="E39" s="2945">
        <v>23970</v>
      </c>
      <c r="F39" s="2945">
        <v>7940</v>
      </c>
      <c r="G39" s="2958">
        <v>14790</v>
      </c>
      <c r="M39" s="2945" t="s">
        <v>3000</v>
      </c>
      <c r="N39" s="2945" t="s">
        <v>3001</v>
      </c>
      <c r="O39" s="2945" t="s">
        <v>3002</v>
      </c>
      <c r="P39" s="2945" t="s">
        <v>3003</v>
      </c>
      <c r="Q39" s="2945" t="s">
        <v>3004</v>
      </c>
    </row>
    <row r="40" spans="1:17" ht="14.25" customHeight="1">
      <c r="A40" s="2945" t="s">
        <v>296</v>
      </c>
      <c r="B40" s="2946" t="s">
        <v>202</v>
      </c>
      <c r="C40" s="2945">
        <v>24740</v>
      </c>
      <c r="D40" s="2945">
        <v>24690</v>
      </c>
      <c r="E40" s="2945">
        <v>22610</v>
      </c>
      <c r="F40" s="2945"/>
      <c r="G40" s="2958">
        <v>17280</v>
      </c>
      <c r="M40" s="2945" t="s">
        <v>3005</v>
      </c>
      <c r="N40" s="2945" t="s">
        <v>3006</v>
      </c>
      <c r="O40" s="2945" t="s">
        <v>3007</v>
      </c>
      <c r="P40" s="2945" t="s">
        <v>3008</v>
      </c>
      <c r="Q40" s="2945" t="s">
        <v>3009</v>
      </c>
    </row>
    <row r="41" spans="1:17" ht="14.25" customHeight="1" thickBot="1">
      <c r="A41" s="2945" t="s">
        <v>296</v>
      </c>
      <c r="B41" s="2946" t="s">
        <v>209</v>
      </c>
      <c r="C41" s="2945">
        <v>21220</v>
      </c>
      <c r="D41" s="2945">
        <v>21120</v>
      </c>
      <c r="E41" s="2945">
        <v>22590</v>
      </c>
      <c r="F41" s="2945"/>
      <c r="G41" s="2958">
        <v>14780</v>
      </c>
      <c r="M41" s="2952" t="s">
        <v>3010</v>
      </c>
      <c r="N41" s="2945" t="s">
        <v>3011</v>
      </c>
      <c r="O41" s="2945" t="s">
        <v>3012</v>
      </c>
      <c r="P41" s="2945" t="s">
        <v>3013</v>
      </c>
      <c r="Q41" s="2945" t="s">
        <v>3014</v>
      </c>
    </row>
    <row r="42" spans="1:17" ht="14.25" customHeight="1">
      <c r="A42" s="2945" t="s">
        <v>296</v>
      </c>
      <c r="B42" s="2946" t="s">
        <v>215</v>
      </c>
      <c r="C42" s="2945">
        <v>24800</v>
      </c>
      <c r="D42" s="2945">
        <v>22280</v>
      </c>
      <c r="E42" s="2945">
        <v>24350</v>
      </c>
      <c r="F42" s="2945"/>
      <c r="G42" s="2958">
        <v>15590</v>
      </c>
      <c r="N42" s="2945" t="s">
        <v>3015</v>
      </c>
      <c r="O42" s="2945" t="s">
        <v>3016</v>
      </c>
      <c r="P42" s="2945" t="s">
        <v>3017</v>
      </c>
      <c r="Q42" s="2945" t="s">
        <v>3018</v>
      </c>
    </row>
    <row r="43" spans="1:17" ht="14.25" customHeight="1">
      <c r="A43" s="2945" t="s">
        <v>3019</v>
      </c>
      <c r="B43" s="2946" t="s">
        <v>223</v>
      </c>
      <c r="C43" s="2945">
        <v>21210</v>
      </c>
      <c r="D43" s="2945">
        <v>21160</v>
      </c>
      <c r="E43" s="2945">
        <v>22650</v>
      </c>
      <c r="F43" s="2945"/>
      <c r="G43" s="2958">
        <v>14800</v>
      </c>
      <c r="N43" s="2945" t="s">
        <v>3020</v>
      </c>
      <c r="O43" s="2945" t="s">
        <v>3021</v>
      </c>
      <c r="P43" s="2945" t="s">
        <v>3022</v>
      </c>
      <c r="Q43" s="2945" t="s">
        <v>3023</v>
      </c>
    </row>
    <row r="44" spans="1:17" ht="14.25" customHeight="1" thickBot="1">
      <c r="A44" s="2945" t="s">
        <v>296</v>
      </c>
      <c r="B44" s="2946" t="s">
        <v>231</v>
      </c>
      <c r="C44" s="2945">
        <v>22370</v>
      </c>
      <c r="D44" s="2945">
        <v>23140</v>
      </c>
      <c r="E44" s="2945">
        <v>25090</v>
      </c>
      <c r="F44" s="2945"/>
      <c r="G44" s="2958">
        <v>16190</v>
      </c>
      <c r="N44" s="2945" t="s">
        <v>3024</v>
      </c>
      <c r="O44" s="2945" t="s">
        <v>3025</v>
      </c>
      <c r="P44" s="2952" t="s">
        <v>3026</v>
      </c>
      <c r="Q44" s="2945" t="s">
        <v>3027</v>
      </c>
    </row>
    <row r="45" spans="1:17" ht="14.25" customHeight="1" thickBot="1">
      <c r="A45" s="2945" t="s">
        <v>296</v>
      </c>
      <c r="B45" s="2946" t="s">
        <v>236</v>
      </c>
      <c r="C45" s="2945">
        <v>21240</v>
      </c>
      <c r="D45" s="2945">
        <v>27050</v>
      </c>
      <c r="E45" s="2945">
        <v>28000</v>
      </c>
      <c r="F45" s="2945"/>
      <c r="G45" s="2958">
        <v>18940</v>
      </c>
      <c r="N45" s="2945" t="s">
        <v>3028</v>
      </c>
      <c r="O45" s="2952" t="s">
        <v>3029</v>
      </c>
      <c r="Q45" s="2945" t="s">
        <v>3030</v>
      </c>
    </row>
    <row r="46" spans="1:17" ht="14.25" customHeight="1">
      <c r="A46" s="2945" t="s">
        <v>296</v>
      </c>
      <c r="B46" s="2946" t="s">
        <v>245</v>
      </c>
      <c r="C46" s="2945">
        <v>23240</v>
      </c>
      <c r="D46" s="2945">
        <v>23000</v>
      </c>
      <c r="E46" s="2945">
        <v>24980</v>
      </c>
      <c r="F46" s="2945"/>
      <c r="G46" s="2958">
        <v>16100</v>
      </c>
      <c r="N46" s="2945" t="s">
        <v>3031</v>
      </c>
      <c r="Q46" s="2945" t="s">
        <v>3032</v>
      </c>
    </row>
    <row r="47" spans="1:17" ht="14.25" customHeight="1">
      <c r="A47" s="2945" t="s">
        <v>296</v>
      </c>
      <c r="B47" s="2946" t="s">
        <v>252</v>
      </c>
      <c r="C47" s="2945">
        <v>27150</v>
      </c>
      <c r="D47" s="2945">
        <v>23310</v>
      </c>
      <c r="E47" s="2945">
        <v>25150</v>
      </c>
      <c r="F47" s="2945"/>
      <c r="G47" s="2958">
        <v>16310</v>
      </c>
      <c r="N47" s="2945" t="s">
        <v>3033</v>
      </c>
      <c r="Q47" s="2945" t="s">
        <v>3034</v>
      </c>
    </row>
    <row r="48" spans="1:17" ht="14.25" customHeight="1">
      <c r="A48" s="2945" t="s">
        <v>296</v>
      </c>
      <c r="B48" s="2946" t="s">
        <v>260</v>
      </c>
      <c r="C48" s="2945">
        <v>23100</v>
      </c>
      <c r="D48" s="2945">
        <v>21110</v>
      </c>
      <c r="E48" s="2945">
        <v>23080</v>
      </c>
      <c r="F48" s="2945"/>
      <c r="G48" s="2958">
        <v>14780</v>
      </c>
      <c r="N48" s="2945" t="s">
        <v>3035</v>
      </c>
      <c r="Q48" s="2945" t="s">
        <v>3036</v>
      </c>
    </row>
    <row r="49" spans="1:17" ht="14.25" customHeight="1">
      <c r="A49" s="2945" t="s">
        <v>296</v>
      </c>
      <c r="B49" s="2946" t="s">
        <v>267</v>
      </c>
      <c r="C49" s="2945">
        <v>23400</v>
      </c>
      <c r="D49" s="2945">
        <v>22920</v>
      </c>
      <c r="E49" s="2945">
        <v>24900</v>
      </c>
      <c r="F49" s="2945"/>
      <c r="G49" s="2958">
        <v>16040</v>
      </c>
      <c r="N49" s="2945" t="s">
        <v>3037</v>
      </c>
      <c r="Q49" s="2945" t="s">
        <v>3038</v>
      </c>
    </row>
    <row r="50" spans="1:17" ht="14.25" customHeight="1">
      <c r="A50" s="2945" t="s">
        <v>296</v>
      </c>
      <c r="B50" s="2946" t="s">
        <v>2915</v>
      </c>
      <c r="C50" s="2945">
        <v>21200</v>
      </c>
      <c r="D50" s="2945">
        <v>26540</v>
      </c>
      <c r="E50" s="2945">
        <v>23200</v>
      </c>
      <c r="F50" s="2945"/>
      <c r="G50" s="2958">
        <v>18580</v>
      </c>
      <c r="N50" s="2945" t="s">
        <v>3039</v>
      </c>
      <c r="Q50" s="2946" t="s">
        <v>3040</v>
      </c>
    </row>
    <row r="51" spans="1:17" ht="14.25" customHeight="1" thickBot="1">
      <c r="A51" s="2945" t="s">
        <v>296</v>
      </c>
      <c r="B51" s="2946" t="s">
        <v>2917</v>
      </c>
      <c r="C51" s="2945">
        <v>23000</v>
      </c>
      <c r="D51" s="2945">
        <v>23460</v>
      </c>
      <c r="E51" s="2945">
        <v>25290</v>
      </c>
      <c r="F51" s="2945"/>
      <c r="G51" s="2958">
        <v>16420</v>
      </c>
      <c r="N51" s="2945" t="s">
        <v>3041</v>
      </c>
      <c r="Q51" s="2952" t="s">
        <v>3042</v>
      </c>
    </row>
    <row r="52" spans="1:17" ht="14.25" customHeight="1">
      <c r="A52" s="2945" t="s">
        <v>296</v>
      </c>
      <c r="B52" s="2946" t="s">
        <v>2921</v>
      </c>
      <c r="C52" s="2945">
        <v>26660</v>
      </c>
      <c r="D52" s="2945">
        <v>22350</v>
      </c>
      <c r="E52" s="2945">
        <v>22920</v>
      </c>
      <c r="F52" s="2945"/>
      <c r="G52" s="2958">
        <v>15640</v>
      </c>
      <c r="N52" s="2945" t="s">
        <v>3043</v>
      </c>
    </row>
    <row r="53" spans="1:17" ht="14.25" customHeight="1">
      <c r="A53" s="2945" t="s">
        <v>296</v>
      </c>
      <c r="B53" s="2946" t="s">
        <v>2926</v>
      </c>
      <c r="C53" s="2945">
        <v>23580</v>
      </c>
      <c r="D53" s="2945"/>
      <c r="E53" s="2945">
        <v>24280</v>
      </c>
      <c r="F53" s="2945"/>
      <c r="G53" s="2958"/>
      <c r="N53" s="2945" t="s">
        <v>3044</v>
      </c>
    </row>
    <row r="54" spans="1:17" ht="14.25" customHeight="1" thickBot="1">
      <c r="A54" s="2959" t="s">
        <v>296</v>
      </c>
      <c r="B54" s="2951" t="s">
        <v>2929</v>
      </c>
      <c r="C54" s="2952">
        <v>22460</v>
      </c>
      <c r="D54" s="2952"/>
      <c r="E54" s="2952"/>
      <c r="F54" s="2952"/>
      <c r="G54" s="2960"/>
      <c r="N54" s="2945" t="s">
        <v>3045</v>
      </c>
    </row>
    <row r="55" spans="1:17" ht="14.25" customHeight="1">
      <c r="A55" s="2950" t="s">
        <v>110</v>
      </c>
      <c r="B55" s="2941" t="s">
        <v>3046</v>
      </c>
      <c r="C55" s="2945">
        <v>21970</v>
      </c>
      <c r="D55" s="2945">
        <v>20370</v>
      </c>
      <c r="E55" s="2945">
        <v>20180</v>
      </c>
      <c r="F55" s="2945">
        <v>5730</v>
      </c>
      <c r="G55" s="2945">
        <v>13820</v>
      </c>
      <c r="N55" s="2945" t="s">
        <v>3047</v>
      </c>
    </row>
    <row r="56" spans="1:17" ht="14.25" customHeight="1">
      <c r="A56" s="2945" t="s">
        <v>110</v>
      </c>
      <c r="B56" s="2945" t="s">
        <v>130</v>
      </c>
      <c r="C56" s="2945">
        <v>20470</v>
      </c>
      <c r="D56" s="2945">
        <v>20700</v>
      </c>
      <c r="E56" s="2945">
        <v>20380</v>
      </c>
      <c r="F56" s="2945">
        <v>4760</v>
      </c>
      <c r="G56" s="2945">
        <v>14050</v>
      </c>
      <c r="N56" s="2945" t="s">
        <v>3048</v>
      </c>
    </row>
    <row r="57" spans="1:17" ht="14.25" customHeight="1">
      <c r="A57" s="2945" t="s">
        <v>110</v>
      </c>
      <c r="B57" s="2945" t="s">
        <v>139</v>
      </c>
      <c r="C57" s="2945">
        <v>20790</v>
      </c>
      <c r="D57" s="2945">
        <v>21370</v>
      </c>
      <c r="E57" s="2945">
        <v>20890</v>
      </c>
      <c r="F57" s="2945">
        <v>4910</v>
      </c>
      <c r="G57" s="2945">
        <v>14510</v>
      </c>
      <c r="N57" s="2945" t="s">
        <v>3049</v>
      </c>
    </row>
    <row r="58" spans="1:17" ht="14.25" customHeight="1">
      <c r="A58" s="2945" t="s">
        <v>110</v>
      </c>
      <c r="B58" s="2945" t="s">
        <v>148</v>
      </c>
      <c r="C58" s="2945">
        <v>21460</v>
      </c>
      <c r="D58" s="2945">
        <v>20920</v>
      </c>
      <c r="E58" s="2945">
        <v>23410</v>
      </c>
      <c r="F58" s="2945">
        <v>5100</v>
      </c>
      <c r="G58" s="2945">
        <v>14200</v>
      </c>
      <c r="N58" s="2945" t="s">
        <v>3050</v>
      </c>
    </row>
    <row r="59" spans="1:17" ht="14.25" customHeight="1">
      <c r="A59" s="2945" t="s">
        <v>110</v>
      </c>
      <c r="B59" s="2945" t="s">
        <v>157</v>
      </c>
      <c r="C59" s="2945">
        <v>21000</v>
      </c>
      <c r="D59" s="2945">
        <v>21550</v>
      </c>
      <c r="E59" s="2945">
        <v>21150</v>
      </c>
      <c r="F59" s="2945">
        <v>5250</v>
      </c>
      <c r="G59" s="2945">
        <v>14630</v>
      </c>
      <c r="N59" s="2945" t="s">
        <v>3051</v>
      </c>
    </row>
    <row r="60" spans="1:17" ht="14.25" customHeight="1">
      <c r="A60" s="2945" t="s">
        <v>110</v>
      </c>
      <c r="B60" s="2945" t="s">
        <v>164</v>
      </c>
      <c r="C60" s="2945">
        <v>21640</v>
      </c>
      <c r="D60" s="2945">
        <v>21260</v>
      </c>
      <c r="E60" s="2945">
        <v>24040</v>
      </c>
      <c r="F60" s="2945">
        <v>4470</v>
      </c>
      <c r="G60" s="2945">
        <v>14430</v>
      </c>
      <c r="N60" s="2945" t="s">
        <v>3052</v>
      </c>
    </row>
    <row r="61" spans="1:17" ht="14.25" customHeight="1">
      <c r="A61" s="2945" t="s">
        <v>110</v>
      </c>
      <c r="B61" s="2945" t="s">
        <v>170</v>
      </c>
      <c r="C61" s="2945">
        <v>21330</v>
      </c>
      <c r="D61" s="2945">
        <v>18640</v>
      </c>
      <c r="E61" s="2945">
        <v>21190</v>
      </c>
      <c r="F61" s="2945">
        <v>4180</v>
      </c>
      <c r="G61" s="2945">
        <v>12650</v>
      </c>
      <c r="N61" s="2945" t="s">
        <v>3053</v>
      </c>
    </row>
    <row r="62" spans="1:17" ht="14.25" customHeight="1">
      <c r="A62" s="2945" t="s">
        <v>110</v>
      </c>
      <c r="B62" s="2945" t="s">
        <v>177</v>
      </c>
      <c r="C62" s="2945">
        <v>18710</v>
      </c>
      <c r="D62" s="2945">
        <v>19400</v>
      </c>
      <c r="E62" s="2945">
        <v>23750</v>
      </c>
      <c r="F62" s="2945">
        <v>4860</v>
      </c>
      <c r="G62" s="2945">
        <v>13170</v>
      </c>
      <c r="N62" s="2945" t="s">
        <v>3054</v>
      </c>
    </row>
    <row r="63" spans="1:17" ht="14.25" customHeight="1">
      <c r="A63" s="2945" t="s">
        <v>110</v>
      </c>
      <c r="B63" s="2945" t="s">
        <v>187</v>
      </c>
      <c r="C63" s="2945">
        <v>19480</v>
      </c>
      <c r="D63" s="2945">
        <v>16830</v>
      </c>
      <c r="E63" s="2945">
        <v>21590</v>
      </c>
      <c r="F63" s="2945">
        <v>4560</v>
      </c>
      <c r="G63" s="2945">
        <v>11420</v>
      </c>
      <c r="N63" s="2945" t="s">
        <v>3055</v>
      </c>
    </row>
    <row r="64" spans="1:17" ht="14.25" customHeight="1" thickBot="1">
      <c r="A64" s="2945" t="s">
        <v>110</v>
      </c>
      <c r="B64" s="2945" t="s">
        <v>196</v>
      </c>
      <c r="C64" s="2945">
        <v>16920</v>
      </c>
      <c r="D64" s="2945">
        <v>19190</v>
      </c>
      <c r="E64" s="2945">
        <v>22200</v>
      </c>
      <c r="F64" s="2945">
        <v>4390</v>
      </c>
      <c r="G64" s="2945">
        <v>13030</v>
      </c>
      <c r="N64" s="2952" t="s">
        <v>3056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2927</v>
      </c>
      <c r="C78" s="2945">
        <v>19820</v>
      </c>
      <c r="D78" s="2945">
        <v>19780</v>
      </c>
      <c r="E78" s="2945">
        <v>18560</v>
      </c>
      <c r="F78" s="2945"/>
      <c r="G78" s="2945">
        <v>13430</v>
      </c>
    </row>
    <row r="79" spans="1:7" s="2779" customFormat="1" ht="14.25" customHeight="1">
      <c r="A79" s="2945" t="s">
        <v>110</v>
      </c>
      <c r="B79" s="2945" t="s">
        <v>2930</v>
      </c>
      <c r="C79" s="2945">
        <v>21660</v>
      </c>
      <c r="D79" s="2945">
        <v>18000</v>
      </c>
      <c r="E79" s="2945">
        <v>22570</v>
      </c>
      <c r="F79" s="2945"/>
      <c r="G79" s="2945">
        <v>12220</v>
      </c>
    </row>
    <row r="80" spans="1:7" s="2779" customFormat="1" ht="14.25" customHeight="1">
      <c r="A80" s="2945" t="s">
        <v>110</v>
      </c>
      <c r="B80" s="2945" t="s">
        <v>2934</v>
      </c>
      <c r="C80" s="2945">
        <v>19850</v>
      </c>
      <c r="D80" s="2945"/>
      <c r="E80" s="2945">
        <v>21700</v>
      </c>
      <c r="F80" s="2945"/>
      <c r="G80" s="2945"/>
    </row>
    <row r="81" spans="1:7" s="2779" customFormat="1" ht="14.25" customHeight="1">
      <c r="A81" s="2945" t="s">
        <v>110</v>
      </c>
      <c r="B81" s="2945" t="s">
        <v>2939</v>
      </c>
      <c r="C81" s="2945">
        <v>18080</v>
      </c>
      <c r="D81" s="2945"/>
      <c r="E81" s="2945">
        <v>20900</v>
      </c>
      <c r="F81" s="2945"/>
      <c r="G81" s="2945"/>
    </row>
    <row r="82" spans="1:7" s="2779" customFormat="1" ht="14.25" customHeight="1">
      <c r="A82" s="2945" t="s">
        <v>110</v>
      </c>
      <c r="B82" s="2945" t="s">
        <v>2946</v>
      </c>
      <c r="C82" s="2945"/>
      <c r="D82" s="2945"/>
      <c r="E82" s="2945">
        <v>20840</v>
      </c>
      <c r="F82" s="2945"/>
      <c r="G82" s="2945"/>
    </row>
    <row r="83" spans="1:7" s="2779" customFormat="1" ht="14.25" customHeight="1">
      <c r="A83" s="2945" t="s">
        <v>110</v>
      </c>
      <c r="B83" s="2945" t="s">
        <v>3057</v>
      </c>
      <c r="C83" s="2945"/>
      <c r="D83" s="2945"/>
      <c r="E83" s="2945"/>
      <c r="F83" s="2945">
        <v>4770</v>
      </c>
      <c r="G83" s="2945"/>
    </row>
    <row r="84" spans="1:7" s="2779" customFormat="1" ht="14.25" customHeight="1">
      <c r="A84" s="2945" t="s">
        <v>110</v>
      </c>
      <c r="B84" s="2945" t="s">
        <v>3058</v>
      </c>
      <c r="C84" s="2945"/>
      <c r="D84" s="2945"/>
      <c r="E84" s="2945"/>
      <c r="F84" s="2945">
        <v>4600</v>
      </c>
      <c r="G84" s="2945"/>
    </row>
    <row r="85" spans="1:7" s="2779" customFormat="1" ht="14.25" customHeight="1">
      <c r="A85" s="2945" t="s">
        <v>110</v>
      </c>
      <c r="B85" s="2945" t="s">
        <v>3059</v>
      </c>
      <c r="C85" s="2945"/>
      <c r="D85" s="2945"/>
      <c r="E85" s="2945"/>
      <c r="F85" s="2945">
        <v>4680</v>
      </c>
      <c r="G85" s="2945"/>
    </row>
    <row r="86" spans="1:7" s="2779" customFormat="1" ht="14.25" customHeight="1" thickBot="1">
      <c r="A86" s="2953" t="s">
        <v>110</v>
      </c>
      <c r="B86" s="2955" t="s">
        <v>3060</v>
      </c>
      <c r="C86" s="2956">
        <v>16610</v>
      </c>
      <c r="D86" s="2956">
        <v>16540</v>
      </c>
      <c r="E86" s="2956">
        <v>18850</v>
      </c>
      <c r="F86" s="2956"/>
      <c r="G86" s="2956">
        <v>11220</v>
      </c>
    </row>
    <row r="87" spans="1:7" s="2779" customFormat="1" ht="14.25" customHeight="1">
      <c r="A87" s="2950" t="s">
        <v>303</v>
      </c>
      <c r="B87" s="2941" t="s">
        <v>3061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2940</v>
      </c>
      <c r="C113" s="2945">
        <v>15520</v>
      </c>
      <c r="D113" s="2945">
        <v>15450</v>
      </c>
      <c r="E113" s="2945"/>
      <c r="F113" s="2945"/>
      <c r="G113" s="2958">
        <v>10210</v>
      </c>
    </row>
    <row r="114" spans="1:7" s="2779" customFormat="1" ht="14.25" customHeight="1">
      <c r="A114" s="2945" t="s">
        <v>303</v>
      </c>
      <c r="B114" s="2945" t="s">
        <v>2947</v>
      </c>
      <c r="C114" s="2945">
        <v>13110</v>
      </c>
      <c r="D114" s="2945">
        <v>13050</v>
      </c>
      <c r="E114" s="2945"/>
      <c r="F114" s="2945"/>
      <c r="G114" s="2958">
        <v>8620</v>
      </c>
    </row>
    <row r="115" spans="1:7" s="2779" customFormat="1" ht="14.25" customHeight="1">
      <c r="A115" s="2945" t="s">
        <v>303</v>
      </c>
      <c r="B115" s="2945" t="s">
        <v>2953</v>
      </c>
      <c r="C115" s="2945">
        <v>12460</v>
      </c>
      <c r="D115" s="2945">
        <v>12390</v>
      </c>
      <c r="E115" s="2945"/>
      <c r="F115" s="2945"/>
      <c r="G115" s="2958">
        <v>8190</v>
      </c>
    </row>
    <row r="116" spans="1:7" s="2779" customFormat="1" ht="14.25" customHeight="1">
      <c r="A116" s="2945" t="s">
        <v>303</v>
      </c>
      <c r="B116" s="2945" t="s">
        <v>2960</v>
      </c>
      <c r="C116" s="2945">
        <v>13580</v>
      </c>
      <c r="D116" s="2945">
        <v>13520</v>
      </c>
      <c r="E116" s="2945"/>
      <c r="F116" s="2945"/>
      <c r="G116" s="2958">
        <v>8930</v>
      </c>
    </row>
    <row r="117" spans="1:7" s="2779" customFormat="1" ht="14.25" customHeight="1">
      <c r="A117" s="2945" t="s">
        <v>303</v>
      </c>
      <c r="B117" s="2945" t="s">
        <v>2967</v>
      </c>
      <c r="C117" s="2945">
        <v>17120</v>
      </c>
      <c r="D117" s="2945">
        <v>17040</v>
      </c>
      <c r="E117" s="2945"/>
      <c r="F117" s="2945"/>
      <c r="G117" s="2958">
        <v>11260</v>
      </c>
    </row>
    <row r="118" spans="1:7" s="2779" customFormat="1" ht="14.25" customHeight="1">
      <c r="A118" s="2945" t="s">
        <v>303</v>
      </c>
      <c r="B118" s="2945" t="s">
        <v>2972</v>
      </c>
      <c r="C118" s="2945">
        <v>14860</v>
      </c>
      <c r="D118" s="2945">
        <v>14790</v>
      </c>
      <c r="E118" s="2945"/>
      <c r="F118" s="2945"/>
      <c r="G118" s="2958">
        <v>9780</v>
      </c>
    </row>
    <row r="119" spans="1:7" s="2779" customFormat="1" ht="14.25" customHeight="1">
      <c r="A119" s="2945" t="s">
        <v>303</v>
      </c>
      <c r="B119" s="2945" t="s">
        <v>2976</v>
      </c>
      <c r="C119" s="2945">
        <v>16470</v>
      </c>
      <c r="D119" s="2945">
        <v>16400</v>
      </c>
      <c r="E119" s="2945"/>
      <c r="F119" s="2945"/>
      <c r="G119" s="2958">
        <v>10840</v>
      </c>
    </row>
    <row r="120" spans="1:7" s="2779" customFormat="1" ht="14.25" customHeight="1">
      <c r="A120" s="2945" t="s">
        <v>303</v>
      </c>
      <c r="B120" s="2945" t="s">
        <v>3062</v>
      </c>
      <c r="C120" s="2945"/>
      <c r="D120" s="2945"/>
      <c r="E120" s="2945"/>
      <c r="F120" s="2945">
        <v>4160</v>
      </c>
      <c r="G120" s="2958"/>
    </row>
    <row r="121" spans="1:7" s="2779" customFormat="1" ht="14.25" customHeight="1">
      <c r="A121" s="2945" t="s">
        <v>303</v>
      </c>
      <c r="B121" s="2945" t="s">
        <v>3063</v>
      </c>
      <c r="C121" s="2945"/>
      <c r="D121" s="2945"/>
      <c r="E121" s="2945"/>
      <c r="F121" s="2945">
        <v>3880</v>
      </c>
      <c r="G121" s="2958"/>
    </row>
    <row r="122" spans="1:7" s="2779" customFormat="1" ht="14.25" customHeight="1">
      <c r="A122" s="2945" t="s">
        <v>303</v>
      </c>
      <c r="B122" s="2945" t="s">
        <v>3064</v>
      </c>
      <c r="C122" s="2945">
        <v>13750</v>
      </c>
      <c r="D122" s="2945">
        <v>13680</v>
      </c>
      <c r="E122" s="2945">
        <v>16460</v>
      </c>
      <c r="F122" s="2945">
        <v>2880</v>
      </c>
      <c r="G122" s="2958">
        <v>9040</v>
      </c>
    </row>
    <row r="123" spans="1:7" s="2779" customFormat="1" ht="14.25" customHeight="1">
      <c r="A123" s="2945" t="s">
        <v>303</v>
      </c>
      <c r="B123" s="2945" t="s">
        <v>2995</v>
      </c>
      <c r="C123" s="2945">
        <v>13590</v>
      </c>
      <c r="D123" s="2945">
        <v>13520</v>
      </c>
      <c r="E123" s="2945">
        <v>16290</v>
      </c>
      <c r="F123" s="2945">
        <v>2790</v>
      </c>
      <c r="G123" s="2958">
        <v>8930</v>
      </c>
    </row>
    <row r="124" spans="1:7" s="2779" customFormat="1" ht="14.25" customHeight="1">
      <c r="A124" s="2945" t="s">
        <v>303</v>
      </c>
      <c r="B124" s="2945" t="s">
        <v>3000</v>
      </c>
      <c r="C124" s="2945">
        <v>13400</v>
      </c>
      <c r="D124" s="2945">
        <v>13320</v>
      </c>
      <c r="E124" s="2945">
        <v>16100</v>
      </c>
      <c r="F124" s="2945">
        <v>2320</v>
      </c>
      <c r="G124" s="2958">
        <v>8800</v>
      </c>
    </row>
    <row r="125" spans="1:7" s="2779" customFormat="1" ht="14.25" customHeight="1">
      <c r="A125" s="2945" t="s">
        <v>303</v>
      </c>
      <c r="B125" s="2945" t="s">
        <v>3005</v>
      </c>
      <c r="C125" s="2945">
        <v>12860</v>
      </c>
      <c r="D125" s="2945">
        <v>12790</v>
      </c>
      <c r="E125" s="2945">
        <v>15370</v>
      </c>
      <c r="F125" s="2945">
        <v>2280</v>
      </c>
      <c r="G125" s="2958">
        <v>8450</v>
      </c>
    </row>
    <row r="126" spans="1:7" s="2779" customFormat="1" ht="14.25" customHeight="1" thickBot="1">
      <c r="A126" s="2959" t="s">
        <v>303</v>
      </c>
      <c r="B126" s="2952" t="s">
        <v>3010</v>
      </c>
      <c r="C126" s="2952">
        <v>12960</v>
      </c>
      <c r="D126" s="2952">
        <v>12890</v>
      </c>
      <c r="E126" s="2952">
        <v>15530</v>
      </c>
      <c r="F126" s="2952">
        <v>2910</v>
      </c>
      <c r="G126" s="2960">
        <v>8520</v>
      </c>
    </row>
    <row r="127" spans="1:7" s="2779" customFormat="1" ht="14.25" customHeight="1">
      <c r="A127" s="2950" t="s">
        <v>29</v>
      </c>
      <c r="B127" s="2941" t="s">
        <v>3065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3066</v>
      </c>
      <c r="C148" s="2945">
        <v>10370</v>
      </c>
      <c r="D148" s="2945">
        <v>10310</v>
      </c>
      <c r="E148" s="2945">
        <v>12970</v>
      </c>
      <c r="F148" s="2945"/>
      <c r="G148" s="2945">
        <v>6630</v>
      </c>
    </row>
    <row r="149" spans="1:7" s="2779" customFormat="1" ht="14.25" customHeight="1">
      <c r="A149" s="2945" t="s">
        <v>29</v>
      </c>
      <c r="B149" s="2945" t="s">
        <v>3067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2941</v>
      </c>
      <c r="C153" s="2945">
        <v>10880</v>
      </c>
      <c r="D153" s="2945">
        <v>10820</v>
      </c>
      <c r="E153" s="2945">
        <v>13660</v>
      </c>
      <c r="F153" s="2945">
        <v>2260</v>
      </c>
      <c r="G153" s="2945">
        <v>6970</v>
      </c>
    </row>
    <row r="154" spans="1:7" s="2779" customFormat="1" ht="14.25" customHeight="1">
      <c r="A154" s="2945" t="s">
        <v>29</v>
      </c>
      <c r="B154" s="2945" t="s">
        <v>3068</v>
      </c>
      <c r="C154" s="2945">
        <v>11220</v>
      </c>
      <c r="D154" s="2945">
        <v>11160</v>
      </c>
      <c r="E154" s="2945">
        <v>14130</v>
      </c>
      <c r="F154" s="2945">
        <v>2230</v>
      </c>
      <c r="G154" s="2945">
        <v>7180</v>
      </c>
    </row>
    <row r="155" spans="1:7" s="2779" customFormat="1" ht="14.25" customHeight="1">
      <c r="A155" s="2945" t="s">
        <v>29</v>
      </c>
      <c r="B155" s="2945" t="s">
        <v>2954</v>
      </c>
      <c r="C155" s="2945">
        <v>10430</v>
      </c>
      <c r="D155" s="2945">
        <v>10380</v>
      </c>
      <c r="E155" s="2945">
        <v>13140</v>
      </c>
      <c r="F155" s="2945">
        <v>2080</v>
      </c>
      <c r="G155" s="2945">
        <v>6650</v>
      </c>
    </row>
    <row r="156" spans="1:7" s="2779" customFormat="1" ht="14.25" customHeight="1">
      <c r="A156" s="2945" t="s">
        <v>29</v>
      </c>
      <c r="B156" s="2945" t="s">
        <v>3069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3070</v>
      </c>
      <c r="C160" s="2945">
        <v>11180</v>
      </c>
      <c r="D160" s="2945">
        <v>11140</v>
      </c>
      <c r="E160" s="2945">
        <v>14050</v>
      </c>
      <c r="F160" s="2945">
        <v>2270</v>
      </c>
      <c r="G160" s="2945">
        <v>7170</v>
      </c>
    </row>
    <row r="161" spans="1:7" s="2779" customFormat="1" ht="14.25" customHeight="1">
      <c r="A161" s="2945" t="s">
        <v>29</v>
      </c>
      <c r="B161" s="2945" t="s">
        <v>2986</v>
      </c>
      <c r="C161" s="2945">
        <v>11160</v>
      </c>
      <c r="D161" s="2945">
        <v>11120</v>
      </c>
      <c r="E161" s="2945">
        <v>14020</v>
      </c>
      <c r="F161" s="2945">
        <v>2150</v>
      </c>
      <c r="G161" s="2945">
        <v>7160</v>
      </c>
    </row>
    <row r="162" spans="1:7" s="2779" customFormat="1" ht="14.25" customHeight="1">
      <c r="A162" s="2945" t="s">
        <v>29</v>
      </c>
      <c r="B162" s="2945" t="s">
        <v>2991</v>
      </c>
      <c r="C162" s="2945">
        <v>9620</v>
      </c>
      <c r="D162" s="2945">
        <v>9570</v>
      </c>
      <c r="E162" s="2945">
        <v>12320</v>
      </c>
      <c r="F162" s="2945">
        <v>2010</v>
      </c>
      <c r="G162" s="2945">
        <v>6160</v>
      </c>
    </row>
    <row r="163" spans="1:7" s="2779" customFormat="1" ht="14.25" customHeight="1">
      <c r="A163" s="2945" t="s">
        <v>29</v>
      </c>
      <c r="B163" s="2945" t="s">
        <v>2996</v>
      </c>
      <c r="C163" s="2945">
        <v>9320</v>
      </c>
      <c r="D163" s="2945">
        <v>9270</v>
      </c>
      <c r="E163" s="2945">
        <v>11790</v>
      </c>
      <c r="F163" s="2945">
        <v>1920</v>
      </c>
      <c r="G163" s="2945">
        <v>5960</v>
      </c>
    </row>
    <row r="164" spans="1:7" s="2779" customFormat="1" ht="14.25" customHeight="1">
      <c r="A164" s="2945" t="s">
        <v>29</v>
      </c>
      <c r="B164" s="2945" t="s">
        <v>3001</v>
      </c>
      <c r="C164" s="2945"/>
      <c r="D164" s="2945"/>
      <c r="E164" s="2945"/>
      <c r="F164" s="2945">
        <v>1980</v>
      </c>
      <c r="G164" s="2945"/>
    </row>
    <row r="165" spans="1:7" s="2779" customFormat="1" ht="14.25" customHeight="1">
      <c r="A165" s="2945" t="s">
        <v>29</v>
      </c>
      <c r="B165" s="2945" t="s">
        <v>3071</v>
      </c>
      <c r="C165" s="2945">
        <v>11060</v>
      </c>
      <c r="D165" s="2945">
        <v>11030</v>
      </c>
      <c r="E165" s="2945">
        <v>13850</v>
      </c>
      <c r="F165" s="2945">
        <v>2170</v>
      </c>
      <c r="G165" s="2945">
        <v>7090</v>
      </c>
    </row>
    <row r="166" spans="1:7" s="2779" customFormat="1" ht="14.25" customHeight="1">
      <c r="A166" s="2945" t="s">
        <v>29</v>
      </c>
      <c r="B166" s="2945" t="s">
        <v>3011</v>
      </c>
      <c r="C166" s="2945">
        <v>11050</v>
      </c>
      <c r="D166" s="2945">
        <v>11010</v>
      </c>
      <c r="E166" s="2945">
        <v>13920</v>
      </c>
      <c r="F166" s="2945">
        <v>2140</v>
      </c>
      <c r="G166" s="2945">
        <v>7080</v>
      </c>
    </row>
    <row r="167" spans="1:7" s="2779" customFormat="1" ht="14.25" customHeight="1">
      <c r="A167" s="2945" t="s">
        <v>29</v>
      </c>
      <c r="B167" s="2945" t="s">
        <v>3015</v>
      </c>
      <c r="C167" s="2945">
        <v>10930</v>
      </c>
      <c r="D167" s="2945">
        <v>10890</v>
      </c>
      <c r="E167" s="2945">
        <v>13790</v>
      </c>
      <c r="F167" s="2945">
        <v>2010</v>
      </c>
      <c r="G167" s="2945">
        <v>7000</v>
      </c>
    </row>
    <row r="168" spans="1:7" s="2779" customFormat="1" ht="14.25" customHeight="1">
      <c r="A168" s="2945" t="s">
        <v>29</v>
      </c>
      <c r="B168" s="2945" t="s">
        <v>3020</v>
      </c>
      <c r="C168" s="2945">
        <v>9420</v>
      </c>
      <c r="D168" s="2945">
        <v>9380</v>
      </c>
      <c r="E168" s="2945">
        <v>11970</v>
      </c>
      <c r="F168" s="2945"/>
      <c r="G168" s="2945">
        <v>6040</v>
      </c>
    </row>
    <row r="169" spans="1:7" s="2779" customFormat="1" ht="14.25" customHeight="1">
      <c r="A169" s="2945" t="s">
        <v>29</v>
      </c>
      <c r="B169" s="2945" t="s">
        <v>3072</v>
      </c>
      <c r="C169" s="2945"/>
      <c r="D169" s="2945"/>
      <c r="E169" s="2945"/>
      <c r="F169" s="2945">
        <v>2880</v>
      </c>
      <c r="G169" s="2945"/>
    </row>
    <row r="170" spans="1:7" s="2779" customFormat="1" ht="14.25" customHeight="1">
      <c r="A170" s="2945" t="s">
        <v>29</v>
      </c>
      <c r="B170" s="2945" t="s">
        <v>3028</v>
      </c>
      <c r="C170" s="2945"/>
      <c r="D170" s="2945"/>
      <c r="E170" s="2945"/>
      <c r="F170" s="2945">
        <v>2880</v>
      </c>
      <c r="G170" s="2945"/>
    </row>
    <row r="171" spans="1:7" s="2779" customFormat="1" ht="14.25" customHeight="1">
      <c r="A171" s="2945" t="s">
        <v>29</v>
      </c>
      <c r="B171" s="2945" t="s">
        <v>3031</v>
      </c>
      <c r="C171" s="2945"/>
      <c r="D171" s="2945"/>
      <c r="E171" s="2945"/>
      <c r="F171" s="2945">
        <v>2880</v>
      </c>
      <c r="G171" s="2945"/>
    </row>
    <row r="172" spans="1:7" s="2779" customFormat="1" ht="14.25" customHeight="1">
      <c r="A172" s="2945" t="s">
        <v>29</v>
      </c>
      <c r="B172" s="2945" t="s">
        <v>3033</v>
      </c>
      <c r="C172" s="2945"/>
      <c r="D172" s="2945"/>
      <c r="E172" s="2945"/>
      <c r="F172" s="2945">
        <v>2880</v>
      </c>
      <c r="G172" s="2945"/>
    </row>
    <row r="173" spans="1:7" s="2779" customFormat="1" ht="14.25" customHeight="1">
      <c r="A173" s="2945" t="s">
        <v>29</v>
      </c>
      <c r="B173" s="2945" t="s">
        <v>3035</v>
      </c>
      <c r="C173" s="2945"/>
      <c r="D173" s="2945"/>
      <c r="E173" s="2945"/>
      <c r="F173" s="2945">
        <v>2150</v>
      </c>
      <c r="G173" s="2945"/>
    </row>
    <row r="174" spans="1:7" s="2779" customFormat="1" ht="14.25" customHeight="1">
      <c r="A174" s="2945" t="s">
        <v>29</v>
      </c>
      <c r="B174" s="2945" t="s">
        <v>3037</v>
      </c>
      <c r="C174" s="2945"/>
      <c r="D174" s="2945"/>
      <c r="E174" s="2945"/>
      <c r="F174" s="2945">
        <v>2030</v>
      </c>
      <c r="G174" s="2945"/>
    </row>
    <row r="175" spans="1:7" s="2779" customFormat="1" ht="14.25" customHeight="1">
      <c r="A175" s="2945" t="s">
        <v>29</v>
      </c>
      <c r="B175" s="2945" t="s">
        <v>3039</v>
      </c>
      <c r="C175" s="2945"/>
      <c r="D175" s="2945"/>
      <c r="E175" s="2945"/>
      <c r="F175" s="2945">
        <v>2780</v>
      </c>
      <c r="G175" s="2945"/>
    </row>
    <row r="176" spans="1:7" s="2779" customFormat="1" ht="14.25" customHeight="1">
      <c r="A176" s="2945" t="s">
        <v>29</v>
      </c>
      <c r="B176" s="2945" t="s">
        <v>3041</v>
      </c>
      <c r="C176" s="2945"/>
      <c r="D176" s="2945"/>
      <c r="E176" s="2945"/>
      <c r="F176" s="2945">
        <v>2780</v>
      </c>
      <c r="G176" s="2945"/>
    </row>
    <row r="177" spans="1:7" s="2779" customFormat="1" ht="14.25" customHeight="1">
      <c r="A177" s="2945" t="s">
        <v>29</v>
      </c>
      <c r="B177" s="2945" t="s">
        <v>3073</v>
      </c>
      <c r="C177" s="2945"/>
      <c r="D177" s="2945"/>
      <c r="E177" s="2945"/>
      <c r="F177" s="2945">
        <v>2780</v>
      </c>
      <c r="G177" s="2945"/>
    </row>
    <row r="178" spans="1:7" s="2779" customFormat="1" ht="14.25" customHeight="1">
      <c r="A178" s="2945" t="s">
        <v>29</v>
      </c>
      <c r="B178" s="2945" t="s">
        <v>3074</v>
      </c>
      <c r="C178" s="2945"/>
      <c r="D178" s="2945"/>
      <c r="E178" s="2945"/>
      <c r="F178" s="2945">
        <v>2060</v>
      </c>
      <c r="G178" s="2945"/>
    </row>
    <row r="179" spans="1:7" s="2779" customFormat="1" ht="14.25" customHeight="1">
      <c r="A179" s="2945" t="s">
        <v>29</v>
      </c>
      <c r="B179" s="2945" t="s">
        <v>3075</v>
      </c>
      <c r="C179" s="2945"/>
      <c r="D179" s="2945"/>
      <c r="E179" s="2945"/>
      <c r="F179" s="2945">
        <v>2120</v>
      </c>
      <c r="G179" s="2945"/>
    </row>
    <row r="180" spans="1:7" s="2779" customFormat="1" ht="14.25" customHeight="1">
      <c r="A180" s="2945" t="s">
        <v>29</v>
      </c>
      <c r="B180" s="2945" t="s">
        <v>3047</v>
      </c>
      <c r="C180" s="2945"/>
      <c r="D180" s="2945"/>
      <c r="E180" s="2945"/>
      <c r="F180" s="2945">
        <v>2340</v>
      </c>
      <c r="G180" s="2945"/>
    </row>
    <row r="181" spans="1:7" s="2779" customFormat="1" ht="14.25" customHeight="1">
      <c r="A181" s="2945" t="s">
        <v>29</v>
      </c>
      <c r="B181" s="2945" t="s">
        <v>3048</v>
      </c>
      <c r="C181" s="2945"/>
      <c r="D181" s="2945"/>
      <c r="E181" s="2945"/>
      <c r="F181" s="2945">
        <v>2340</v>
      </c>
      <c r="G181" s="2945"/>
    </row>
    <row r="182" spans="1:7" s="2779" customFormat="1" ht="14.25" customHeight="1">
      <c r="A182" s="2945" t="s">
        <v>29</v>
      </c>
      <c r="B182" s="2945" t="s">
        <v>3049</v>
      </c>
      <c r="C182" s="2945"/>
      <c r="D182" s="2945"/>
      <c r="E182" s="2945"/>
      <c r="F182" s="2945">
        <v>2340</v>
      </c>
      <c r="G182" s="2945"/>
    </row>
    <row r="183" spans="1:7" s="2779" customFormat="1" ht="14.25" customHeight="1">
      <c r="A183" s="2945" t="s">
        <v>29</v>
      </c>
      <c r="B183" s="2945" t="s">
        <v>3050</v>
      </c>
      <c r="C183" s="2945"/>
      <c r="D183" s="2945"/>
      <c r="E183" s="2945"/>
      <c r="F183" s="2945">
        <v>2340</v>
      </c>
      <c r="G183" s="2945"/>
    </row>
    <row r="184" spans="1:7" s="2779" customFormat="1" ht="14.25" customHeight="1">
      <c r="A184" s="2945" t="s">
        <v>29</v>
      </c>
      <c r="B184" s="2945" t="s">
        <v>3051</v>
      </c>
      <c r="C184" s="2945"/>
      <c r="D184" s="2945"/>
      <c r="E184" s="2945"/>
      <c r="F184" s="2945">
        <v>2340</v>
      </c>
      <c r="G184" s="2945"/>
    </row>
    <row r="185" spans="1:7" s="2779" customFormat="1" ht="14.25" customHeight="1">
      <c r="A185" s="2945" t="s">
        <v>29</v>
      </c>
      <c r="B185" s="2945" t="s">
        <v>3052</v>
      </c>
      <c r="C185" s="2945"/>
      <c r="D185" s="2945"/>
      <c r="E185" s="2945"/>
      <c r="F185" s="2945">
        <v>2530</v>
      </c>
      <c r="G185" s="2945"/>
    </row>
    <row r="186" spans="1:7" s="2779" customFormat="1" ht="14.25" customHeight="1">
      <c r="A186" s="2945" t="s">
        <v>29</v>
      </c>
      <c r="B186" s="2945" t="s">
        <v>3053</v>
      </c>
      <c r="C186" s="2945"/>
      <c r="D186" s="2945"/>
      <c r="E186" s="2945"/>
      <c r="F186" s="2945">
        <v>2550</v>
      </c>
      <c r="G186" s="2945"/>
    </row>
    <row r="187" spans="1:7" s="2779" customFormat="1" ht="14.25" customHeight="1">
      <c r="A187" s="2945" t="s">
        <v>29</v>
      </c>
      <c r="B187" s="2945" t="s">
        <v>3054</v>
      </c>
      <c r="C187" s="2945"/>
      <c r="D187" s="2945"/>
      <c r="E187" s="2945"/>
      <c r="F187" s="2945">
        <v>2070</v>
      </c>
      <c r="G187" s="2945"/>
    </row>
    <row r="188" spans="1:7" s="2779" customFormat="1" ht="14.25" customHeight="1">
      <c r="A188" s="2945" t="s">
        <v>29</v>
      </c>
      <c r="B188" s="2945" t="s">
        <v>3055</v>
      </c>
      <c r="C188" s="2945"/>
      <c r="D188" s="2945"/>
      <c r="E188" s="2945"/>
      <c r="F188" s="2945">
        <v>2340</v>
      </c>
      <c r="G188" s="2945"/>
    </row>
    <row r="189" spans="1:7" s="2779" customFormat="1" ht="14.25" customHeight="1" thickBot="1">
      <c r="A189" s="2953" t="s">
        <v>29</v>
      </c>
      <c r="B189" s="2956" t="s">
        <v>3056</v>
      </c>
      <c r="C189" s="2956"/>
      <c r="D189" s="2956"/>
      <c r="E189" s="2956"/>
      <c r="F189" s="2956">
        <v>2050</v>
      </c>
      <c r="G189" s="2956"/>
    </row>
    <row r="190" spans="1:7" s="2779" customFormat="1" ht="14.25" customHeight="1">
      <c r="A190" s="2950" t="s">
        <v>304</v>
      </c>
      <c r="B190" s="2941" t="s">
        <v>3076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3077</v>
      </c>
      <c r="C199" s="2945">
        <v>8690</v>
      </c>
      <c r="D199" s="2945">
        <v>8630</v>
      </c>
      <c r="E199" s="2945">
        <v>11350</v>
      </c>
      <c r="F199" s="2945">
        <v>1600</v>
      </c>
      <c r="G199" s="2958">
        <v>5450</v>
      </c>
    </row>
    <row r="200" spans="1:7" s="2779" customFormat="1" ht="14.25" customHeight="1">
      <c r="A200" s="2945" t="s">
        <v>304</v>
      </c>
      <c r="B200" s="2945" t="s">
        <v>2888</v>
      </c>
      <c r="C200" s="2945"/>
      <c r="D200" s="2945"/>
      <c r="E200" s="2945"/>
      <c r="F200" s="2945">
        <v>1510</v>
      </c>
      <c r="G200" s="2958"/>
    </row>
    <row r="201" spans="1:7" s="2779" customFormat="1" ht="14.25" customHeight="1">
      <c r="A201" s="2945" t="s">
        <v>304</v>
      </c>
      <c r="B201" s="2945" t="s">
        <v>3078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3079</v>
      </c>
      <c r="C203" s="2945">
        <v>8130</v>
      </c>
      <c r="D203" s="2945">
        <v>8070</v>
      </c>
      <c r="E203" s="2945">
        <v>10820</v>
      </c>
      <c r="F203" s="2945">
        <v>1690</v>
      </c>
      <c r="G203" s="2958">
        <v>5100</v>
      </c>
    </row>
    <row r="204" spans="1:7" s="2779" customFormat="1" ht="14.25" customHeight="1">
      <c r="A204" s="2945" t="s">
        <v>304</v>
      </c>
      <c r="B204" s="2945" t="s">
        <v>2899</v>
      </c>
      <c r="C204" s="2945">
        <v>8350</v>
      </c>
      <c r="D204" s="2945">
        <v>8290</v>
      </c>
      <c r="E204" s="2945">
        <v>11080</v>
      </c>
      <c r="F204" s="2945">
        <v>1450</v>
      </c>
      <c r="G204" s="2958">
        <v>5240</v>
      </c>
    </row>
    <row r="205" spans="1:7" s="2779" customFormat="1" ht="14.25" customHeight="1">
      <c r="A205" s="2945" t="s">
        <v>304</v>
      </c>
      <c r="B205" s="2945" t="s">
        <v>2901</v>
      </c>
      <c r="C205" s="2945">
        <v>7190</v>
      </c>
      <c r="D205" s="2945">
        <v>7130</v>
      </c>
      <c r="E205" s="2945">
        <v>9490</v>
      </c>
      <c r="F205" s="2945">
        <v>1470</v>
      </c>
      <c r="G205" s="2958">
        <v>4510</v>
      </c>
    </row>
    <row r="206" spans="1:7" s="2779" customFormat="1" ht="14.25" customHeight="1">
      <c r="A206" s="2945" t="s">
        <v>304</v>
      </c>
      <c r="B206" s="2945" t="s">
        <v>2904</v>
      </c>
      <c r="C206" s="2945">
        <v>7000</v>
      </c>
      <c r="D206" s="2945">
        <v>6950</v>
      </c>
      <c r="E206" s="2945">
        <v>9170</v>
      </c>
      <c r="F206" s="2945">
        <v>1400</v>
      </c>
      <c r="G206" s="2958">
        <v>4380</v>
      </c>
    </row>
    <row r="207" spans="1:7" s="2779" customFormat="1" ht="14.25" customHeight="1">
      <c r="A207" s="2945" t="s">
        <v>304</v>
      </c>
      <c r="B207" s="2945" t="s">
        <v>2906</v>
      </c>
      <c r="C207" s="2945">
        <v>6950</v>
      </c>
      <c r="D207" s="2945">
        <v>6900</v>
      </c>
      <c r="E207" s="2945">
        <v>9110</v>
      </c>
      <c r="F207" s="2945">
        <v>1790</v>
      </c>
      <c r="G207" s="2958">
        <v>4360</v>
      </c>
    </row>
    <row r="208" spans="1:7" s="2779" customFormat="1" ht="14.25" customHeight="1">
      <c r="A208" s="2945" t="s">
        <v>304</v>
      </c>
      <c r="B208" s="2945" t="s">
        <v>3080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2916</v>
      </c>
      <c r="C210" s="2945">
        <v>8710</v>
      </c>
      <c r="D210" s="2945">
        <v>8660</v>
      </c>
      <c r="E210" s="2945">
        <v>11440</v>
      </c>
      <c r="F210" s="2945">
        <v>1740</v>
      </c>
      <c r="G210" s="2958">
        <v>5470</v>
      </c>
    </row>
    <row r="211" spans="1:7" s="2779" customFormat="1" ht="14.25" customHeight="1">
      <c r="A211" s="2945" t="s">
        <v>304</v>
      </c>
      <c r="B211" s="2945" t="s">
        <v>3081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3082</v>
      </c>
      <c r="C214" s="2945">
        <v>8090</v>
      </c>
      <c r="D214" s="2945">
        <v>8030</v>
      </c>
      <c r="E214" s="2945">
        <v>10780</v>
      </c>
      <c r="F214" s="2945">
        <v>1570</v>
      </c>
      <c r="G214" s="2958">
        <v>5070</v>
      </c>
    </row>
    <row r="215" spans="1:7" s="2779" customFormat="1" ht="14.25" customHeight="1">
      <c r="A215" s="2945" t="s">
        <v>304</v>
      </c>
      <c r="B215" s="2945" t="s">
        <v>3083</v>
      </c>
      <c r="C215" s="2945">
        <v>7950</v>
      </c>
      <c r="D215" s="2945">
        <v>7900</v>
      </c>
      <c r="E215" s="2945">
        <v>10560</v>
      </c>
      <c r="F215" s="2945">
        <v>1630</v>
      </c>
      <c r="G215" s="2958">
        <v>4990</v>
      </c>
    </row>
    <row r="216" spans="1:7" s="2779" customFormat="1" ht="14.25" customHeight="1">
      <c r="A216" s="2945" t="s">
        <v>304</v>
      </c>
      <c r="B216" s="2945" t="s">
        <v>3084</v>
      </c>
      <c r="C216" s="2945">
        <v>8490</v>
      </c>
      <c r="D216" s="2945">
        <v>8440</v>
      </c>
      <c r="E216" s="2945">
        <v>11260</v>
      </c>
      <c r="F216" s="2945">
        <v>1690</v>
      </c>
      <c r="G216" s="2958">
        <v>5330</v>
      </c>
    </row>
    <row r="217" spans="1:7" s="2779" customFormat="1" ht="14.25" customHeight="1">
      <c r="A217" s="2945" t="s">
        <v>304</v>
      </c>
      <c r="B217" s="2945" t="s">
        <v>2949</v>
      </c>
      <c r="C217" s="2945">
        <v>8200</v>
      </c>
      <c r="D217" s="2945">
        <v>8150</v>
      </c>
      <c r="E217" s="2945">
        <v>10910</v>
      </c>
      <c r="F217" s="2945">
        <v>1670</v>
      </c>
      <c r="G217" s="2958">
        <v>5150</v>
      </c>
    </row>
    <row r="218" spans="1:7" s="2779" customFormat="1" ht="14.25" customHeight="1">
      <c r="A218" s="2945" t="s">
        <v>304</v>
      </c>
      <c r="B218" s="2945" t="s">
        <v>3085</v>
      </c>
      <c r="C218" s="2945"/>
      <c r="D218" s="2945"/>
      <c r="E218" s="2945"/>
      <c r="F218" s="2945">
        <v>2040</v>
      </c>
      <c r="G218" s="2958"/>
    </row>
    <row r="219" spans="1:7" s="2779" customFormat="1" ht="14.25" customHeight="1">
      <c r="A219" s="2945" t="s">
        <v>304</v>
      </c>
      <c r="B219" s="2945" t="s">
        <v>3086</v>
      </c>
      <c r="C219" s="2945"/>
      <c r="D219" s="2945"/>
      <c r="E219" s="2945"/>
      <c r="F219" s="2945">
        <v>2040</v>
      </c>
      <c r="G219" s="2958"/>
    </row>
    <row r="220" spans="1:7" s="2779" customFormat="1" ht="14.25" customHeight="1">
      <c r="A220" s="2945" t="s">
        <v>304</v>
      </c>
      <c r="B220" s="2945" t="s">
        <v>3087</v>
      </c>
      <c r="C220" s="2945"/>
      <c r="D220" s="2945"/>
      <c r="E220" s="2945"/>
      <c r="F220" s="2945">
        <v>2040</v>
      </c>
      <c r="G220" s="2958"/>
    </row>
    <row r="221" spans="1:7" s="2779" customFormat="1" ht="14.25" customHeight="1">
      <c r="A221" s="2945" t="s">
        <v>304</v>
      </c>
      <c r="B221" s="2945" t="s">
        <v>3088</v>
      </c>
      <c r="C221" s="2945"/>
      <c r="D221" s="2945"/>
      <c r="E221" s="2945"/>
      <c r="F221" s="2945">
        <v>2040</v>
      </c>
      <c r="G221" s="2958"/>
    </row>
    <row r="222" spans="1:7" s="2779" customFormat="1" ht="14.25" customHeight="1">
      <c r="A222" s="2945" t="s">
        <v>304</v>
      </c>
      <c r="B222" s="2945" t="s">
        <v>3089</v>
      </c>
      <c r="C222" s="2945"/>
      <c r="D222" s="2945"/>
      <c r="E222" s="2945"/>
      <c r="F222" s="2945">
        <v>2040</v>
      </c>
      <c r="G222" s="2958"/>
    </row>
    <row r="223" spans="1:7" s="2779" customFormat="1" ht="14.25" customHeight="1">
      <c r="A223" s="2945" t="s">
        <v>304</v>
      </c>
      <c r="B223" s="2945" t="s">
        <v>3090</v>
      </c>
      <c r="C223" s="2945"/>
      <c r="D223" s="2945"/>
      <c r="E223" s="2945"/>
      <c r="F223" s="2945">
        <v>1930</v>
      </c>
      <c r="G223" s="2958"/>
    </row>
    <row r="224" spans="1:7" s="2779" customFormat="1" ht="14.25" customHeight="1">
      <c r="A224" s="2945" t="s">
        <v>304</v>
      </c>
      <c r="B224" s="2945" t="s">
        <v>3091</v>
      </c>
      <c r="C224" s="2945"/>
      <c r="D224" s="2945"/>
      <c r="E224" s="2945"/>
      <c r="F224" s="2945">
        <v>1930</v>
      </c>
      <c r="G224" s="2958"/>
    </row>
    <row r="225" spans="1:7" s="2779" customFormat="1" ht="14.25" customHeight="1">
      <c r="A225" s="2945" t="s">
        <v>304</v>
      </c>
      <c r="B225" s="2945" t="s">
        <v>3092</v>
      </c>
      <c r="C225" s="2945"/>
      <c r="D225" s="2945"/>
      <c r="E225" s="2945"/>
      <c r="F225" s="2945">
        <v>1930</v>
      </c>
      <c r="G225" s="2958"/>
    </row>
    <row r="226" spans="1:7" s="2779" customFormat="1" ht="14.25" customHeight="1">
      <c r="A226" s="2945" t="s">
        <v>304</v>
      </c>
      <c r="B226" s="2945" t="s">
        <v>3093</v>
      </c>
      <c r="C226" s="2945"/>
      <c r="D226" s="2945"/>
      <c r="E226" s="2945"/>
      <c r="F226" s="2945">
        <v>1700</v>
      </c>
      <c r="G226" s="2958"/>
    </row>
    <row r="227" spans="1:7" s="2779" customFormat="1" ht="14.25" customHeight="1">
      <c r="A227" s="2945" t="s">
        <v>304</v>
      </c>
      <c r="B227" s="2945" t="s">
        <v>3094</v>
      </c>
      <c r="C227" s="2945"/>
      <c r="D227" s="2945"/>
      <c r="E227" s="2945"/>
      <c r="F227" s="2945">
        <v>1520</v>
      </c>
      <c r="G227" s="2958"/>
    </row>
    <row r="228" spans="1:7" s="2779" customFormat="1" ht="14.25" customHeight="1">
      <c r="A228" s="2945" t="s">
        <v>304</v>
      </c>
      <c r="B228" s="2945" t="s">
        <v>3095</v>
      </c>
      <c r="C228" s="2945"/>
      <c r="D228" s="2945"/>
      <c r="E228" s="2945"/>
      <c r="F228" s="2945">
        <v>1520</v>
      </c>
      <c r="G228" s="2958"/>
    </row>
    <row r="229" spans="1:7" s="2779" customFormat="1" ht="14.25" customHeight="1">
      <c r="A229" s="2945" t="s">
        <v>304</v>
      </c>
      <c r="B229" s="2945" t="s">
        <v>3012</v>
      </c>
      <c r="C229" s="2945"/>
      <c r="D229" s="2945"/>
      <c r="E229" s="2945"/>
      <c r="F229" s="2945">
        <v>1520</v>
      </c>
      <c r="G229" s="2958"/>
    </row>
    <row r="230" spans="1:7" s="2779" customFormat="1" ht="14.25" customHeight="1">
      <c r="A230" s="2945" t="s">
        <v>304</v>
      </c>
      <c r="B230" s="2945" t="s">
        <v>3096</v>
      </c>
      <c r="C230" s="2945"/>
      <c r="D230" s="2945"/>
      <c r="E230" s="2945"/>
      <c r="F230" s="2945">
        <v>1820</v>
      </c>
      <c r="G230" s="2958"/>
    </row>
    <row r="231" spans="1:7" s="2779" customFormat="1" ht="14.25" customHeight="1">
      <c r="A231" s="2945" t="s">
        <v>304</v>
      </c>
      <c r="B231" s="2945" t="s">
        <v>3097</v>
      </c>
      <c r="C231" s="2945"/>
      <c r="D231" s="2945"/>
      <c r="E231" s="2945"/>
      <c r="F231" s="2945">
        <v>1760</v>
      </c>
      <c r="G231" s="2958"/>
    </row>
    <row r="232" spans="1:7" s="2779" customFormat="1" ht="14.25" customHeight="1">
      <c r="A232" s="2945" t="s">
        <v>304</v>
      </c>
      <c r="B232" s="2945" t="s">
        <v>3098</v>
      </c>
      <c r="C232" s="2945"/>
      <c r="D232" s="2945"/>
      <c r="E232" s="2945"/>
      <c r="F232" s="2945">
        <v>1840</v>
      </c>
      <c r="G232" s="2958"/>
    </row>
    <row r="233" spans="1:7" s="2779" customFormat="1" ht="14.25" customHeight="1" thickBot="1">
      <c r="A233" s="2959" t="s">
        <v>304</v>
      </c>
      <c r="B233" s="2952" t="s">
        <v>3029</v>
      </c>
      <c r="C233" s="2952"/>
      <c r="D233" s="2952"/>
      <c r="E233" s="2952"/>
      <c r="F233" s="2952">
        <v>1770</v>
      </c>
      <c r="G233" s="2960"/>
    </row>
    <row r="234" spans="1:7" s="2779" customFormat="1" ht="14.25" customHeight="1">
      <c r="A234" s="2950" t="s">
        <v>305</v>
      </c>
      <c r="B234" s="2941" t="s">
        <v>3099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2870</v>
      </c>
      <c r="C238" s="2945">
        <v>6920</v>
      </c>
      <c r="D238" s="2945">
        <v>6890</v>
      </c>
      <c r="E238" s="2945">
        <v>8640</v>
      </c>
      <c r="F238" s="2945">
        <v>1310</v>
      </c>
      <c r="G238" s="2945">
        <v>4230</v>
      </c>
    </row>
    <row r="239" spans="1:7" s="2779" customFormat="1" ht="14.25" customHeight="1">
      <c r="A239" s="2945" t="s">
        <v>305</v>
      </c>
      <c r="B239" s="2945" t="s">
        <v>3100</v>
      </c>
      <c r="C239" s="2945">
        <v>6780</v>
      </c>
      <c r="D239" s="2945">
        <v>6750</v>
      </c>
      <c r="E239" s="2945">
        <v>8440</v>
      </c>
      <c r="F239" s="2945">
        <v>1160</v>
      </c>
      <c r="G239" s="2945">
        <v>4140</v>
      </c>
    </row>
    <row r="240" spans="1:7" s="2779" customFormat="1" ht="14.25" customHeight="1">
      <c r="A240" s="2945" t="s">
        <v>305</v>
      </c>
      <c r="B240" s="2945" t="s">
        <v>3101</v>
      </c>
      <c r="C240" s="2945">
        <v>5420</v>
      </c>
      <c r="D240" s="2945">
        <v>5380</v>
      </c>
      <c r="E240" s="2945">
        <v>6640</v>
      </c>
      <c r="F240" s="2945">
        <v>1020</v>
      </c>
      <c r="G240" s="2945">
        <v>3300</v>
      </c>
    </row>
    <row r="241" spans="1:7" s="2779" customFormat="1" ht="14.25" customHeight="1">
      <c r="A241" s="2945" t="s">
        <v>305</v>
      </c>
      <c r="B241" s="2945" t="s">
        <v>3102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2932</v>
      </c>
      <c r="C258" s="2945">
        <v>6190</v>
      </c>
      <c r="D258" s="2945">
        <v>6160</v>
      </c>
      <c r="E258" s="2945">
        <v>7680</v>
      </c>
      <c r="F258" s="2945">
        <v>1170</v>
      </c>
      <c r="G258" s="2945">
        <v>3780</v>
      </c>
    </row>
    <row r="259" spans="1:7" s="2779" customFormat="1" ht="14.25" customHeight="1">
      <c r="A259" s="2945" t="s">
        <v>305</v>
      </c>
      <c r="B259" s="2945" t="s">
        <v>3108</v>
      </c>
      <c r="C259" s="2945">
        <v>7610</v>
      </c>
      <c r="D259" s="2945">
        <v>7570</v>
      </c>
      <c r="E259" s="2945">
        <v>9350</v>
      </c>
      <c r="F259" s="2945">
        <v>1350</v>
      </c>
      <c r="G259" s="2945">
        <v>4650</v>
      </c>
    </row>
    <row r="260" spans="1:7" s="2779" customFormat="1" ht="14.25" customHeight="1">
      <c r="A260" s="2945" t="s">
        <v>305</v>
      </c>
      <c r="B260" s="2945" t="s">
        <v>3109</v>
      </c>
      <c r="C260" s="2945">
        <v>6920</v>
      </c>
      <c r="D260" s="2945">
        <v>6880</v>
      </c>
      <c r="E260" s="2945">
        <v>8380</v>
      </c>
      <c r="F260" s="2945">
        <v>1160</v>
      </c>
      <c r="G260" s="2945">
        <v>4220</v>
      </c>
    </row>
    <row r="261" spans="1:7" s="2779" customFormat="1" ht="14.25" customHeight="1">
      <c r="A261" s="2945" t="s">
        <v>305</v>
      </c>
      <c r="B261" s="2945" t="s">
        <v>3110</v>
      </c>
      <c r="C261" s="2945">
        <v>6850</v>
      </c>
      <c r="D261" s="2945">
        <v>6810</v>
      </c>
      <c r="E261" s="2945">
        <v>8290</v>
      </c>
      <c r="F261" s="2945">
        <v>1130</v>
      </c>
      <c r="G261" s="2945">
        <v>4180</v>
      </c>
    </row>
    <row r="262" spans="1:7" s="2779" customFormat="1" ht="14.25" customHeight="1">
      <c r="A262" s="2945" t="s">
        <v>305</v>
      </c>
      <c r="B262" s="2945" t="s">
        <v>3111</v>
      </c>
      <c r="C262" s="2945">
        <v>5860</v>
      </c>
      <c r="D262" s="2945">
        <v>5820</v>
      </c>
      <c r="E262" s="2945">
        <v>7640</v>
      </c>
      <c r="F262" s="2945">
        <v>1070</v>
      </c>
      <c r="G262" s="2945">
        <v>3570</v>
      </c>
    </row>
    <row r="263" spans="1:7" s="2779" customFormat="1" ht="14.25" customHeight="1">
      <c r="A263" s="2945" t="s">
        <v>305</v>
      </c>
      <c r="B263" s="2945" t="s">
        <v>3112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3113</v>
      </c>
      <c r="C265" s="2945"/>
      <c r="D265" s="2945"/>
      <c r="E265" s="2945"/>
      <c r="F265" s="2945">
        <v>1500</v>
      </c>
      <c r="G265" s="2945"/>
    </row>
    <row r="266" spans="1:7" s="2779" customFormat="1" ht="14.25" customHeight="1">
      <c r="A266" s="2945" t="s">
        <v>305</v>
      </c>
      <c r="B266" s="2945" t="s">
        <v>3114</v>
      </c>
      <c r="C266" s="2945"/>
      <c r="D266" s="2945"/>
      <c r="E266" s="2945"/>
      <c r="F266" s="2945">
        <v>1500</v>
      </c>
      <c r="G266" s="2945"/>
    </row>
    <row r="267" spans="1:7" s="2779" customFormat="1" ht="14.25" customHeight="1">
      <c r="A267" s="2945" t="s">
        <v>305</v>
      </c>
      <c r="B267" s="2945" t="s">
        <v>3115</v>
      </c>
      <c r="C267" s="2945"/>
      <c r="D267" s="2945"/>
      <c r="E267" s="2945"/>
      <c r="F267" s="2945">
        <v>1500</v>
      </c>
      <c r="G267" s="2945"/>
    </row>
    <row r="268" spans="1:7" s="2779" customFormat="1" ht="14.25" customHeight="1">
      <c r="A268" s="2945" t="s">
        <v>305</v>
      </c>
      <c r="B268" s="2945" t="s">
        <v>3116</v>
      </c>
      <c r="C268" s="2945"/>
      <c r="D268" s="2945"/>
      <c r="E268" s="2945"/>
      <c r="F268" s="2945">
        <v>1290</v>
      </c>
      <c r="G268" s="2945"/>
    </row>
    <row r="269" spans="1:7" s="2779" customFormat="1" ht="14.25" customHeight="1">
      <c r="A269" s="2945" t="s">
        <v>305</v>
      </c>
      <c r="B269" s="2945" t="s">
        <v>3117</v>
      </c>
      <c r="C269" s="2945"/>
      <c r="D269" s="2945"/>
      <c r="E269" s="2945"/>
      <c r="F269" s="2945">
        <v>1150</v>
      </c>
      <c r="G269" s="2945"/>
    </row>
    <row r="270" spans="1:7" s="2779" customFormat="1" ht="14.25" customHeight="1">
      <c r="A270" s="2945" t="s">
        <v>305</v>
      </c>
      <c r="B270" s="2945" t="s">
        <v>3118</v>
      </c>
      <c r="C270" s="2945"/>
      <c r="D270" s="2945"/>
      <c r="E270" s="2945"/>
      <c r="F270" s="2945">
        <v>1380</v>
      </c>
      <c r="G270" s="2945"/>
    </row>
    <row r="271" spans="1:7" s="2779" customFormat="1" ht="14.25" customHeight="1">
      <c r="A271" s="2945" t="s">
        <v>305</v>
      </c>
      <c r="B271" s="2945" t="s">
        <v>3119</v>
      </c>
      <c r="C271" s="2945"/>
      <c r="D271" s="2945"/>
      <c r="E271" s="2945"/>
      <c r="F271" s="2945">
        <v>1460</v>
      </c>
      <c r="G271" s="2945"/>
    </row>
    <row r="272" spans="1:7" s="2779" customFormat="1" ht="14.25" customHeight="1">
      <c r="A272" s="2945" t="s">
        <v>305</v>
      </c>
      <c r="B272" s="2945" t="s">
        <v>3120</v>
      </c>
      <c r="C272" s="2945"/>
      <c r="D272" s="2945"/>
      <c r="E272" s="2945"/>
      <c r="F272" s="2945">
        <v>1460</v>
      </c>
      <c r="G272" s="2945"/>
    </row>
    <row r="273" spans="1:7" s="2779" customFormat="1" ht="14.25" customHeight="1">
      <c r="A273" s="2945" t="s">
        <v>305</v>
      </c>
      <c r="B273" s="2945" t="s">
        <v>3013</v>
      </c>
      <c r="C273" s="2945"/>
      <c r="D273" s="2945"/>
      <c r="E273" s="2945"/>
      <c r="F273" s="2945">
        <v>1490</v>
      </c>
      <c r="G273" s="2945"/>
    </row>
    <row r="274" spans="1:7" s="2779" customFormat="1" ht="14.25" customHeight="1">
      <c r="A274" s="2945" t="s">
        <v>305</v>
      </c>
      <c r="B274" s="2945" t="s">
        <v>3121</v>
      </c>
      <c r="C274" s="2945"/>
      <c r="D274" s="2945"/>
      <c r="E274" s="2945"/>
      <c r="F274" s="2945">
        <v>1490</v>
      </c>
      <c r="G274" s="2945"/>
    </row>
    <row r="275" spans="1:7" s="2779" customFormat="1" ht="14.25" customHeight="1">
      <c r="A275" s="2945" t="s">
        <v>305</v>
      </c>
      <c r="B275" s="2945" t="s">
        <v>3122</v>
      </c>
      <c r="C275" s="2945"/>
      <c r="D275" s="2945"/>
      <c r="E275" s="2945"/>
      <c r="F275" s="2945">
        <v>1220</v>
      </c>
      <c r="G275" s="2945"/>
    </row>
    <row r="276" spans="1:7" s="2779" customFormat="1" ht="14.25" customHeight="1" thickBot="1">
      <c r="A276" s="2953" t="s">
        <v>305</v>
      </c>
      <c r="B276" s="2955" t="s">
        <v>3123</v>
      </c>
      <c r="C276" s="2956"/>
      <c r="D276" s="2956"/>
      <c r="E276" s="2956"/>
      <c r="F276" s="2956">
        <v>1380</v>
      </c>
      <c r="G276" s="2956"/>
    </row>
    <row r="277" spans="1:7" s="2779" customFormat="1" ht="14.25" customHeight="1">
      <c r="A277" s="2950" t="s">
        <v>306</v>
      </c>
      <c r="B277" s="2941" t="s">
        <v>3124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3125</v>
      </c>
      <c r="C279" s="2945">
        <v>4760</v>
      </c>
      <c r="D279" s="2945">
        <v>4720</v>
      </c>
      <c r="E279" s="2945">
        <v>5540</v>
      </c>
      <c r="F279" s="2945">
        <v>810</v>
      </c>
      <c r="G279" s="2958">
        <v>2850</v>
      </c>
    </row>
    <row r="280" spans="1:7" s="2779" customFormat="1" ht="14.25" customHeight="1">
      <c r="A280" s="2945" t="s">
        <v>306</v>
      </c>
      <c r="B280" s="2945" t="s">
        <v>3126</v>
      </c>
      <c r="C280" s="2945">
        <v>4010</v>
      </c>
      <c r="D280" s="2945">
        <v>3950</v>
      </c>
      <c r="E280" s="2945">
        <v>4710</v>
      </c>
      <c r="F280" s="2945">
        <v>800</v>
      </c>
      <c r="G280" s="2958">
        <v>2390</v>
      </c>
    </row>
    <row r="281" spans="1:7" s="2779" customFormat="1" ht="14.25" customHeight="1">
      <c r="A281" s="2945" t="s">
        <v>306</v>
      </c>
      <c r="B281" s="2945" t="s">
        <v>3127</v>
      </c>
      <c r="C281" s="2945">
        <v>4480</v>
      </c>
      <c r="D281" s="2945">
        <v>4420</v>
      </c>
      <c r="E281" s="2945">
        <v>5230</v>
      </c>
      <c r="F281" s="2945">
        <v>870</v>
      </c>
      <c r="G281" s="2958">
        <v>2660</v>
      </c>
    </row>
    <row r="282" spans="1:7" s="2779" customFormat="1" ht="14.25" customHeight="1">
      <c r="A282" s="2945" t="s">
        <v>306</v>
      </c>
      <c r="B282" s="2945" t="s">
        <v>3128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2905</v>
      </c>
      <c r="C293" s="2945">
        <v>5320</v>
      </c>
      <c r="D293" s="2945">
        <v>5270</v>
      </c>
      <c r="E293" s="2945">
        <v>6160</v>
      </c>
      <c r="F293" s="2945">
        <v>990</v>
      </c>
      <c r="G293" s="2958">
        <v>3170</v>
      </c>
    </row>
    <row r="294" spans="1:7" s="2779" customFormat="1" ht="14.25" customHeight="1">
      <c r="A294" s="2945" t="s">
        <v>306</v>
      </c>
      <c r="B294" s="2945" t="s">
        <v>3131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3132</v>
      </c>
      <c r="C302" s="2945">
        <v>5520</v>
      </c>
      <c r="D302" s="2945">
        <v>5470</v>
      </c>
      <c r="E302" s="2945">
        <v>6410</v>
      </c>
      <c r="F302" s="2945">
        <v>950</v>
      </c>
      <c r="G302" s="2958">
        <v>3300</v>
      </c>
    </row>
    <row r="303" spans="1:7" s="2779" customFormat="1" ht="14.25" customHeight="1">
      <c r="A303" s="2945" t="s">
        <v>306</v>
      </c>
      <c r="B303" s="2945" t="s">
        <v>2944</v>
      </c>
      <c r="C303" s="2945">
        <v>5630</v>
      </c>
      <c r="D303" s="2945">
        <v>5590</v>
      </c>
      <c r="E303" s="2945">
        <v>6550</v>
      </c>
      <c r="F303" s="2945">
        <v>1010</v>
      </c>
      <c r="G303" s="2958">
        <v>3370</v>
      </c>
    </row>
    <row r="304" spans="1:7" s="2779" customFormat="1" ht="14.25" customHeight="1">
      <c r="A304" s="2945" t="s">
        <v>306</v>
      </c>
      <c r="B304" s="2945" t="s">
        <v>2951</v>
      </c>
      <c r="C304" s="2945">
        <v>5680</v>
      </c>
      <c r="D304" s="2945">
        <v>5620</v>
      </c>
      <c r="E304" s="2945">
        <v>6620</v>
      </c>
      <c r="F304" s="2945">
        <v>1050</v>
      </c>
      <c r="G304" s="2958">
        <v>3390</v>
      </c>
    </row>
    <row r="305" spans="1:7" s="2779" customFormat="1" ht="14.25" customHeight="1">
      <c r="A305" s="2945" t="s">
        <v>306</v>
      </c>
      <c r="B305" s="2945" t="s">
        <v>2957</v>
      </c>
      <c r="C305" s="2945">
        <v>5590</v>
      </c>
      <c r="D305" s="2945">
        <v>5530</v>
      </c>
      <c r="E305" s="2945">
        <v>6460</v>
      </c>
      <c r="F305" s="2945">
        <v>900</v>
      </c>
      <c r="G305" s="2958">
        <v>3340</v>
      </c>
    </row>
    <row r="306" spans="1:7" s="2779" customFormat="1" ht="14.25" customHeight="1">
      <c r="A306" s="2945" t="s">
        <v>306</v>
      </c>
      <c r="B306" s="2945" t="s">
        <v>3133</v>
      </c>
      <c r="C306" s="2945">
        <v>5560</v>
      </c>
      <c r="D306" s="2945">
        <v>5510</v>
      </c>
      <c r="E306" s="2945">
        <v>6440</v>
      </c>
      <c r="F306" s="2945">
        <v>900</v>
      </c>
      <c r="G306" s="2958">
        <v>3320</v>
      </c>
    </row>
    <row r="307" spans="1:7" s="2779" customFormat="1" ht="14.25" customHeight="1">
      <c r="A307" s="2945" t="s">
        <v>306</v>
      </c>
      <c r="B307" s="2945" t="s">
        <v>2969</v>
      </c>
      <c r="C307" s="2945">
        <v>5650</v>
      </c>
      <c r="D307" s="2945">
        <v>5600</v>
      </c>
      <c r="E307" s="2945">
        <v>6590</v>
      </c>
      <c r="F307" s="2945">
        <v>930</v>
      </c>
      <c r="G307" s="2958">
        <v>3380</v>
      </c>
    </row>
    <row r="308" spans="1:7" s="2779" customFormat="1" ht="14.25" customHeight="1">
      <c r="A308" s="2945" t="s">
        <v>306</v>
      </c>
      <c r="B308" s="2945" t="s">
        <v>3134</v>
      </c>
      <c r="C308" s="2945">
        <v>5620</v>
      </c>
      <c r="D308" s="2945">
        <v>5580</v>
      </c>
      <c r="E308" s="2945">
        <v>6540</v>
      </c>
      <c r="F308" s="2945">
        <v>910</v>
      </c>
      <c r="G308" s="2958">
        <v>3370</v>
      </c>
    </row>
    <row r="309" spans="1:7" s="2779" customFormat="1" ht="14.25" customHeight="1">
      <c r="A309" s="2945" t="s">
        <v>306</v>
      </c>
      <c r="B309" s="2945" t="s">
        <v>3135</v>
      </c>
      <c r="C309" s="2945">
        <v>5060</v>
      </c>
      <c r="D309" s="2945">
        <v>5020</v>
      </c>
      <c r="E309" s="2945">
        <v>6370</v>
      </c>
      <c r="F309" s="2945">
        <v>800</v>
      </c>
      <c r="G309" s="2958">
        <v>3020</v>
      </c>
    </row>
    <row r="310" spans="1:7" s="2779" customFormat="1" ht="14.25" customHeight="1">
      <c r="A310" s="2945" t="s">
        <v>306</v>
      </c>
      <c r="B310" s="2945" t="s">
        <v>2984</v>
      </c>
      <c r="C310" s="2945">
        <v>5150</v>
      </c>
      <c r="D310" s="2945">
        <v>5110</v>
      </c>
      <c r="E310" s="2945">
        <v>6500</v>
      </c>
      <c r="F310" s="2945">
        <v>880</v>
      </c>
      <c r="G310" s="2958">
        <v>3080</v>
      </c>
    </row>
    <row r="311" spans="1:7" s="2779" customFormat="1" ht="14.25" customHeight="1">
      <c r="A311" s="2945" t="s">
        <v>306</v>
      </c>
      <c r="B311" s="2945" t="s">
        <v>3136</v>
      </c>
      <c r="C311" s="2945">
        <v>4750</v>
      </c>
      <c r="D311" s="2945">
        <v>4710</v>
      </c>
      <c r="E311" s="2945">
        <v>5510</v>
      </c>
      <c r="F311" s="2945">
        <v>880</v>
      </c>
      <c r="G311" s="2958">
        <v>2840</v>
      </c>
    </row>
    <row r="312" spans="1:7" s="2779" customFormat="1" ht="14.25" customHeight="1">
      <c r="A312" s="2945" t="s">
        <v>306</v>
      </c>
      <c r="B312" s="2945" t="s">
        <v>2994</v>
      </c>
      <c r="C312" s="2945">
        <v>4690</v>
      </c>
      <c r="D312" s="2945">
        <v>4640</v>
      </c>
      <c r="E312" s="2945">
        <v>5420</v>
      </c>
      <c r="F312" s="2945">
        <v>800</v>
      </c>
      <c r="G312" s="2958">
        <v>2800</v>
      </c>
    </row>
    <row r="313" spans="1:7" s="2779" customFormat="1" ht="14.25" customHeight="1">
      <c r="A313" s="2945" t="s">
        <v>306</v>
      </c>
      <c r="B313" s="2945" t="s">
        <v>2999</v>
      </c>
      <c r="C313" s="2945">
        <v>4810</v>
      </c>
      <c r="D313" s="2945">
        <v>4760</v>
      </c>
      <c r="E313" s="2945">
        <v>5550</v>
      </c>
      <c r="F313" s="2945">
        <v>920</v>
      </c>
      <c r="G313" s="2958">
        <v>2870</v>
      </c>
    </row>
    <row r="314" spans="1:7" s="2779" customFormat="1" ht="14.25" customHeight="1">
      <c r="A314" s="2945" t="s">
        <v>306</v>
      </c>
      <c r="B314" s="2945" t="s">
        <v>3137</v>
      </c>
      <c r="C314" s="2945"/>
      <c r="D314" s="2945"/>
      <c r="E314" s="2945"/>
      <c r="F314" s="2945">
        <v>1020</v>
      </c>
      <c r="G314" s="2958"/>
    </row>
    <row r="315" spans="1:7" s="2779" customFormat="1" ht="14.25" customHeight="1">
      <c r="A315" s="2945" t="s">
        <v>306</v>
      </c>
      <c r="B315" s="2945" t="s">
        <v>3138</v>
      </c>
      <c r="C315" s="2945"/>
      <c r="D315" s="2945"/>
      <c r="E315" s="2945"/>
      <c r="F315" s="2945">
        <v>1050</v>
      </c>
      <c r="G315" s="2958"/>
    </row>
    <row r="316" spans="1:7" s="2779" customFormat="1" ht="14.25" customHeight="1">
      <c r="A316" s="2945" t="s">
        <v>306</v>
      </c>
      <c r="B316" s="2945" t="s">
        <v>3014</v>
      </c>
      <c r="C316" s="2945"/>
      <c r="D316" s="2945"/>
      <c r="E316" s="2945"/>
      <c r="F316" s="2945">
        <v>900</v>
      </c>
      <c r="G316" s="2958"/>
    </row>
    <row r="317" spans="1:7" s="2779" customFormat="1" ht="14.25" customHeight="1">
      <c r="A317" s="2945" t="s">
        <v>306</v>
      </c>
      <c r="B317" s="2945" t="s">
        <v>3139</v>
      </c>
      <c r="C317" s="2945"/>
      <c r="D317" s="2945"/>
      <c r="E317" s="2945"/>
      <c r="F317" s="2945">
        <v>920</v>
      </c>
      <c r="G317" s="2958"/>
    </row>
    <row r="318" spans="1:7" s="2779" customFormat="1" ht="14.25" customHeight="1">
      <c r="A318" s="2945" t="s">
        <v>306</v>
      </c>
      <c r="B318" s="2945" t="s">
        <v>3140</v>
      </c>
      <c r="C318" s="2945"/>
      <c r="D318" s="2945"/>
      <c r="E318" s="2945"/>
      <c r="F318" s="2945">
        <v>1080</v>
      </c>
      <c r="G318" s="2958"/>
    </row>
    <row r="319" spans="1:7" s="2779" customFormat="1" ht="14.25" customHeight="1">
      <c r="A319" s="2945" t="s">
        <v>306</v>
      </c>
      <c r="B319" s="2945" t="s">
        <v>3027</v>
      </c>
      <c r="C319" s="2945"/>
      <c r="D319" s="2945"/>
      <c r="E319" s="2945"/>
      <c r="F319" s="2945">
        <v>1020</v>
      </c>
      <c r="G319" s="2958"/>
    </row>
    <row r="320" spans="1:7" s="2779" customFormat="1" ht="14.25" customHeight="1">
      <c r="A320" s="2945" t="s">
        <v>306</v>
      </c>
      <c r="B320" s="2945" t="s">
        <v>3030</v>
      </c>
      <c r="C320" s="2945"/>
      <c r="D320" s="2945"/>
      <c r="E320" s="2945"/>
      <c r="F320" s="2945">
        <v>1050</v>
      </c>
      <c r="G320" s="2958"/>
    </row>
    <row r="321" spans="1:7" s="2779" customFormat="1" ht="14.25" customHeight="1">
      <c r="A321" s="2945" t="s">
        <v>306</v>
      </c>
      <c r="B321" s="2945" t="s">
        <v>3032</v>
      </c>
      <c r="C321" s="2945"/>
      <c r="D321" s="2945"/>
      <c r="E321" s="2945"/>
      <c r="F321" s="2945">
        <v>960</v>
      </c>
      <c r="G321" s="2958"/>
    </row>
    <row r="322" spans="1:7" s="2779" customFormat="1" ht="14.25" customHeight="1">
      <c r="A322" s="2945" t="s">
        <v>306</v>
      </c>
      <c r="B322" s="2945" t="s">
        <v>3034</v>
      </c>
      <c r="C322" s="2945"/>
      <c r="D322" s="2945"/>
      <c r="E322" s="2945"/>
      <c r="F322" s="2945">
        <v>960</v>
      </c>
      <c r="G322" s="2958"/>
    </row>
    <row r="323" spans="1:7" s="2779" customFormat="1" ht="14.25" customHeight="1">
      <c r="A323" s="2945" t="s">
        <v>306</v>
      </c>
      <c r="B323" s="2945" t="s">
        <v>3036</v>
      </c>
      <c r="C323" s="2945"/>
      <c r="D323" s="2945"/>
      <c r="E323" s="2945"/>
      <c r="F323" s="2945">
        <v>880</v>
      </c>
      <c r="G323" s="2958"/>
    </row>
    <row r="324" spans="1:7" s="2779" customFormat="1" ht="14.25" customHeight="1">
      <c r="A324" s="2945" t="s">
        <v>306</v>
      </c>
      <c r="B324" s="2945" t="s">
        <v>3038</v>
      </c>
      <c r="C324" s="2945"/>
      <c r="D324" s="2945"/>
      <c r="E324" s="2945"/>
      <c r="F324" s="2945">
        <v>930</v>
      </c>
      <c r="G324" s="2958"/>
    </row>
    <row r="325" spans="1:7" s="2779" customFormat="1" ht="14.25" customHeight="1">
      <c r="A325" s="2945" t="s">
        <v>306</v>
      </c>
      <c r="B325" s="2946" t="s">
        <v>3040</v>
      </c>
      <c r="C325" s="2945"/>
      <c r="D325" s="2945"/>
      <c r="E325" s="2945"/>
      <c r="F325" s="2945">
        <v>900</v>
      </c>
      <c r="G325" s="2958"/>
    </row>
    <row r="326" spans="1:7" s="2779" customFormat="1" ht="14.25" customHeight="1" thickBot="1">
      <c r="A326" s="2959" t="s">
        <v>306</v>
      </c>
      <c r="B326" s="2952" t="s">
        <v>3042</v>
      </c>
      <c r="C326" s="2952"/>
      <c r="D326" s="2952"/>
      <c r="E326" s="2952"/>
      <c r="F326" s="2952">
        <v>790</v>
      </c>
      <c r="G326" s="2960"/>
    </row>
    <row r="327" spans="1:7" s="2779" customFormat="1" ht="14.25" customHeight="1">
      <c r="A327" s="2950" t="s">
        <v>307</v>
      </c>
      <c r="B327" s="2941" t="s">
        <v>3141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3142</v>
      </c>
      <c r="C329" s="2945">
        <v>2730</v>
      </c>
      <c r="D329" s="2945">
        <v>2690</v>
      </c>
      <c r="E329" s="2945">
        <v>3100</v>
      </c>
      <c r="F329" s="2945">
        <v>660</v>
      </c>
      <c r="G329" s="2945">
        <v>1610</v>
      </c>
    </row>
    <row r="330" spans="1:7" s="2779" customFormat="1" ht="14.25" customHeight="1">
      <c r="A330" s="2945" t="s">
        <v>307</v>
      </c>
      <c r="B330" s="2945" t="s">
        <v>3143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2876</v>
      </c>
      <c r="C332" s="2945">
        <v>3520</v>
      </c>
      <c r="D332" s="2945">
        <v>3480</v>
      </c>
      <c r="E332" s="2945">
        <v>3830</v>
      </c>
      <c r="F332" s="2945">
        <v>720</v>
      </c>
      <c r="G332" s="2945">
        <v>2090</v>
      </c>
    </row>
    <row r="333" spans="1:7" s="2779" customFormat="1" ht="14.25" customHeight="1">
      <c r="A333" s="2945" t="s">
        <v>307</v>
      </c>
      <c r="B333" s="2945" t="s">
        <v>3144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2886</v>
      </c>
      <c r="C336" s="2945">
        <v>3570</v>
      </c>
      <c r="D336" s="2945">
        <v>3530</v>
      </c>
      <c r="E336" s="2945">
        <v>3880</v>
      </c>
      <c r="F336" s="2945">
        <v>770</v>
      </c>
      <c r="G336" s="2945">
        <v>2110</v>
      </c>
    </row>
    <row r="337" spans="1:10" s="2779" customFormat="1" ht="14.25" customHeight="1">
      <c r="A337" s="2945" t="s">
        <v>307</v>
      </c>
      <c r="B337" s="2945" t="s">
        <v>3145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2911</v>
      </c>
      <c r="C345" s="2945">
        <v>3190</v>
      </c>
      <c r="D345" s="2945">
        <v>3140</v>
      </c>
      <c r="E345" s="2945">
        <v>3450</v>
      </c>
      <c r="F345" s="2945">
        <v>720</v>
      </c>
      <c r="G345" s="2945">
        <v>1880</v>
      </c>
      <c r="J345" s="2779"/>
    </row>
    <row r="346" spans="1:10">
      <c r="A346" s="2945" t="s">
        <v>307</v>
      </c>
      <c r="B346" s="2945" t="s">
        <v>3148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2920</v>
      </c>
      <c r="C348" s="2945">
        <v>4000</v>
      </c>
      <c r="D348" s="2945">
        <v>3950</v>
      </c>
      <c r="E348" s="2945">
        <v>4430</v>
      </c>
      <c r="F348" s="2945">
        <v>760</v>
      </c>
      <c r="G348" s="2945">
        <v>2360</v>
      </c>
      <c r="J348" s="2779"/>
    </row>
    <row r="349" spans="1:10">
      <c r="A349" s="2945" t="s">
        <v>307</v>
      </c>
      <c r="B349" s="2945" t="s">
        <v>2925</v>
      </c>
      <c r="C349" s="2945">
        <v>3820</v>
      </c>
      <c r="D349" s="2945">
        <v>3780</v>
      </c>
      <c r="E349" s="2945">
        <v>4170</v>
      </c>
      <c r="F349" s="2945">
        <v>710</v>
      </c>
      <c r="G349" s="2945">
        <v>2260</v>
      </c>
      <c r="J349" s="2779"/>
    </row>
    <row r="350" spans="1:10">
      <c r="A350" s="2945" t="s">
        <v>307</v>
      </c>
      <c r="B350" s="2945" t="s">
        <v>3149</v>
      </c>
      <c r="C350" s="2945">
        <v>3760</v>
      </c>
      <c r="D350" s="2945">
        <v>3730</v>
      </c>
      <c r="E350" s="2945">
        <v>4100</v>
      </c>
      <c r="F350" s="2945">
        <v>800</v>
      </c>
      <c r="G350" s="2945">
        <v>2230</v>
      </c>
      <c r="J350" s="2779"/>
    </row>
    <row r="351" spans="1:10">
      <c r="A351" s="2945" t="s">
        <v>307</v>
      </c>
      <c r="B351" s="2945" t="s">
        <v>2933</v>
      </c>
      <c r="C351" s="2945">
        <v>3610</v>
      </c>
      <c r="D351" s="2945">
        <v>3580</v>
      </c>
      <c r="E351" s="2945">
        <v>3930</v>
      </c>
      <c r="F351" s="2945">
        <v>700</v>
      </c>
      <c r="G351" s="2945">
        <v>2140</v>
      </c>
      <c r="J351" s="2779"/>
    </row>
    <row r="352" spans="1:10">
      <c r="A352" s="2945" t="s">
        <v>307</v>
      </c>
      <c r="B352" s="2945" t="s">
        <v>2938</v>
      </c>
      <c r="C352" s="2945">
        <v>3670</v>
      </c>
      <c r="D352" s="2945">
        <v>3630</v>
      </c>
      <c r="E352" s="2945">
        <v>4000</v>
      </c>
      <c r="F352" s="2945">
        <v>750</v>
      </c>
      <c r="G352" s="2945">
        <v>2180</v>
      </c>
    </row>
    <row r="353" spans="1:7" s="2780" customFormat="1">
      <c r="A353" s="2945" t="s">
        <v>307</v>
      </c>
      <c r="B353" s="2945" t="s">
        <v>3150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2958</v>
      </c>
      <c r="C355" s="2945">
        <v>3650</v>
      </c>
      <c r="D355" s="2945">
        <v>3610</v>
      </c>
      <c r="E355" s="2945">
        <v>4200</v>
      </c>
      <c r="F355" s="2945">
        <v>640</v>
      </c>
      <c r="G355" s="2945">
        <v>2160</v>
      </c>
    </row>
    <row r="356" spans="1:7" s="2780" customFormat="1">
      <c r="A356" s="2945" t="s">
        <v>307</v>
      </c>
      <c r="B356" s="2945" t="s">
        <v>2965</v>
      </c>
      <c r="C356" s="2945">
        <v>3260</v>
      </c>
      <c r="D356" s="2945">
        <v>3230</v>
      </c>
      <c r="E356" s="2945">
        <v>3740</v>
      </c>
      <c r="F356" s="2945">
        <v>600</v>
      </c>
      <c r="G356" s="2945">
        <v>1930</v>
      </c>
    </row>
    <row r="357" spans="1:7" s="2780" customFormat="1" ht="12" thickBot="1">
      <c r="A357" s="2953" t="s">
        <v>307</v>
      </c>
      <c r="B357" s="2956" t="s">
        <v>3151</v>
      </c>
      <c r="C357" s="2956">
        <v>3690</v>
      </c>
      <c r="D357" s="2956">
        <v>3650</v>
      </c>
      <c r="E357" s="2956">
        <v>4020</v>
      </c>
      <c r="F357" s="2956">
        <v>700</v>
      </c>
      <c r="G357" s="2956">
        <v>2190</v>
      </c>
    </row>
    <row r="358" spans="1:7" s="2780" customFormat="1">
      <c r="A358" s="2950" t="s">
        <v>3152</v>
      </c>
      <c r="B358" s="2941" t="s">
        <v>3153</v>
      </c>
      <c r="C358" s="2941">
        <v>2080</v>
      </c>
      <c r="D358" s="2941">
        <v>2040</v>
      </c>
      <c r="E358" s="2941">
        <v>2010</v>
      </c>
      <c r="F358" s="2941">
        <v>530</v>
      </c>
      <c r="G358" s="2957">
        <v>1230</v>
      </c>
    </row>
    <row r="359" spans="1:7" s="2780" customFormat="1">
      <c r="A359" s="2945" t="s">
        <v>3152</v>
      </c>
      <c r="B359" s="2945" t="s">
        <v>3154</v>
      </c>
      <c r="C359" s="2945">
        <v>1850</v>
      </c>
      <c r="D359" s="2945">
        <v>1820</v>
      </c>
      <c r="E359" s="2945">
        <v>1780</v>
      </c>
      <c r="F359" s="2945">
        <v>520</v>
      </c>
      <c r="G359" s="2958">
        <v>1100</v>
      </c>
    </row>
    <row r="360" spans="1:7" s="2780" customFormat="1">
      <c r="A360" s="2945" t="s">
        <v>3152</v>
      </c>
      <c r="B360" s="2945" t="s">
        <v>3155</v>
      </c>
      <c r="C360" s="2945">
        <v>2020</v>
      </c>
      <c r="D360" s="2945">
        <v>1990</v>
      </c>
      <c r="E360" s="2945">
        <v>1950</v>
      </c>
      <c r="F360" s="2945">
        <v>500</v>
      </c>
      <c r="G360" s="2958">
        <v>1200</v>
      </c>
    </row>
    <row r="361" spans="1:7" s="2780" customFormat="1">
      <c r="A361" s="2945" t="s">
        <v>3152</v>
      </c>
      <c r="B361" s="2945" t="s">
        <v>153</v>
      </c>
      <c r="C361" s="2945">
        <v>2260</v>
      </c>
      <c r="D361" s="2945">
        <v>2220</v>
      </c>
      <c r="E361" s="2945">
        <v>2180</v>
      </c>
      <c r="F361" s="2945">
        <v>580</v>
      </c>
      <c r="G361" s="2958">
        <v>1340</v>
      </c>
    </row>
    <row r="362" spans="1:7" s="2780" customFormat="1">
      <c r="A362" s="2945" t="s">
        <v>3152</v>
      </c>
      <c r="B362" s="2945" t="s">
        <v>3156</v>
      </c>
      <c r="C362" s="2945">
        <v>2650</v>
      </c>
      <c r="D362" s="2945">
        <v>2610</v>
      </c>
      <c r="E362" s="2945">
        <v>2570</v>
      </c>
      <c r="F362" s="2945">
        <v>630</v>
      </c>
      <c r="G362" s="2958">
        <v>1570</v>
      </c>
    </row>
    <row r="363" spans="1:7" s="2780" customFormat="1">
      <c r="A363" s="2945" t="s">
        <v>3152</v>
      </c>
      <c r="B363" s="2945" t="s">
        <v>2877</v>
      </c>
      <c r="C363" s="2945">
        <v>2390</v>
      </c>
      <c r="D363" s="2945">
        <v>2360</v>
      </c>
      <c r="E363" s="2945">
        <v>2320</v>
      </c>
      <c r="F363" s="2945">
        <v>600</v>
      </c>
      <c r="G363" s="2958">
        <v>1420</v>
      </c>
    </row>
    <row r="364" spans="1:7" s="2780" customFormat="1">
      <c r="A364" s="2945" t="s">
        <v>3152</v>
      </c>
      <c r="B364" s="2945" t="s">
        <v>3157</v>
      </c>
      <c r="C364" s="2945">
        <v>2050</v>
      </c>
      <c r="D364" s="2945">
        <v>2030</v>
      </c>
      <c r="E364" s="2945">
        <v>1990</v>
      </c>
      <c r="F364" s="2945">
        <v>550</v>
      </c>
      <c r="G364" s="2958">
        <v>1220</v>
      </c>
    </row>
    <row r="365" spans="1:7" s="2780" customFormat="1">
      <c r="A365" s="2945" t="s">
        <v>3152</v>
      </c>
      <c r="B365" s="2945" t="s">
        <v>200</v>
      </c>
      <c r="C365" s="2945">
        <v>2140</v>
      </c>
      <c r="D365" s="2945">
        <v>2100</v>
      </c>
      <c r="E365" s="2945">
        <v>2060</v>
      </c>
      <c r="F365" s="2945">
        <v>540</v>
      </c>
      <c r="G365" s="2958">
        <v>1270</v>
      </c>
    </row>
    <row r="366" spans="1:7" s="2780" customFormat="1">
      <c r="A366" s="2945" t="s">
        <v>3152</v>
      </c>
      <c r="B366" s="2945" t="s">
        <v>2884</v>
      </c>
      <c r="C366" s="2945">
        <v>2410</v>
      </c>
      <c r="D366" s="2945">
        <v>2370</v>
      </c>
      <c r="E366" s="2945">
        <v>2330</v>
      </c>
      <c r="F366" s="2945">
        <v>570</v>
      </c>
      <c r="G366" s="2958">
        <v>1440</v>
      </c>
    </row>
    <row r="367" spans="1:7" s="2780" customFormat="1">
      <c r="A367" s="2945" t="s">
        <v>3152</v>
      </c>
      <c r="B367" s="2945" t="s">
        <v>3158</v>
      </c>
      <c r="C367" s="2945">
        <v>2300</v>
      </c>
      <c r="D367" s="2945">
        <v>2260</v>
      </c>
      <c r="E367" s="2945">
        <v>2220</v>
      </c>
      <c r="F367" s="2945">
        <v>560</v>
      </c>
      <c r="G367" s="2958">
        <v>1370</v>
      </c>
    </row>
    <row r="368" spans="1:7" s="2780" customFormat="1">
      <c r="A368" s="2945" t="s">
        <v>3152</v>
      </c>
      <c r="B368" s="2945" t="s">
        <v>3159</v>
      </c>
      <c r="C368" s="2945">
        <v>2430</v>
      </c>
      <c r="D368" s="2945">
        <v>2390</v>
      </c>
      <c r="E368" s="2945">
        <v>2350</v>
      </c>
      <c r="F368" s="2945">
        <v>570</v>
      </c>
      <c r="G368" s="2958">
        <v>1450</v>
      </c>
    </row>
    <row r="369" spans="1:7" s="2780" customFormat="1">
      <c r="A369" s="2945" t="s">
        <v>3152</v>
      </c>
      <c r="B369" s="2945" t="s">
        <v>214</v>
      </c>
      <c r="C369" s="2945">
        <v>2320</v>
      </c>
      <c r="D369" s="2945">
        <v>2290</v>
      </c>
      <c r="E369" s="2945">
        <v>2250</v>
      </c>
      <c r="F369" s="2945">
        <v>550</v>
      </c>
      <c r="G369" s="2958">
        <v>1380</v>
      </c>
    </row>
    <row r="370" spans="1:7" s="2780" customFormat="1">
      <c r="A370" s="2945" t="s">
        <v>3152</v>
      </c>
      <c r="B370" s="2945" t="s">
        <v>221</v>
      </c>
      <c r="C370" s="2945">
        <v>2190</v>
      </c>
      <c r="D370" s="2945">
        <v>2170</v>
      </c>
      <c r="E370" s="2945">
        <v>2130</v>
      </c>
      <c r="F370" s="2945">
        <v>530</v>
      </c>
      <c r="G370" s="2958">
        <v>1310</v>
      </c>
    </row>
    <row r="371" spans="1:7" s="2780" customFormat="1">
      <c r="A371" s="2945" t="s">
        <v>3152</v>
      </c>
      <c r="B371" s="2945" t="s">
        <v>229</v>
      </c>
      <c r="C371" s="2945">
        <v>2460</v>
      </c>
      <c r="D371" s="2945">
        <v>2420</v>
      </c>
      <c r="E371" s="2945">
        <v>2370</v>
      </c>
      <c r="F371" s="2945">
        <v>560</v>
      </c>
      <c r="G371" s="2958">
        <v>1470</v>
      </c>
    </row>
    <row r="372" spans="1:7" s="2780" customFormat="1">
      <c r="A372" s="2945" t="s">
        <v>3152</v>
      </c>
      <c r="B372" s="2945" t="s">
        <v>3160</v>
      </c>
      <c r="C372" s="2945">
        <v>2250</v>
      </c>
      <c r="D372" s="2945">
        <v>2210</v>
      </c>
      <c r="E372" s="2945">
        <v>2180</v>
      </c>
      <c r="F372" s="2945">
        <v>550</v>
      </c>
      <c r="G372" s="2958">
        <v>1340</v>
      </c>
    </row>
    <row r="373" spans="1:7" s="2780" customFormat="1">
      <c r="A373" s="2945" t="s">
        <v>3152</v>
      </c>
      <c r="B373" s="2945" t="s">
        <v>258</v>
      </c>
      <c r="C373" s="2945">
        <v>2210</v>
      </c>
      <c r="D373" s="2945">
        <v>2190</v>
      </c>
      <c r="E373" s="2945">
        <v>2150</v>
      </c>
      <c r="F373" s="2945">
        <v>530</v>
      </c>
      <c r="G373" s="2958">
        <v>1320</v>
      </c>
    </row>
    <row r="374" spans="1:7" s="2780" customFormat="1">
      <c r="A374" s="2945" t="s">
        <v>3152</v>
      </c>
      <c r="B374" s="2945" t="s">
        <v>266</v>
      </c>
      <c r="C374" s="2945">
        <v>2320</v>
      </c>
      <c r="D374" s="2945">
        <v>2280</v>
      </c>
      <c r="E374" s="2945">
        <v>2230</v>
      </c>
      <c r="F374" s="2945">
        <v>580</v>
      </c>
      <c r="G374" s="2958">
        <v>1380</v>
      </c>
    </row>
    <row r="375" spans="1:7" s="2780" customFormat="1">
      <c r="A375" s="2945" t="s">
        <v>3152</v>
      </c>
      <c r="B375" s="2945" t="s">
        <v>3161</v>
      </c>
      <c r="C375" s="2945">
        <v>2090</v>
      </c>
      <c r="D375" s="2945">
        <v>2050</v>
      </c>
      <c r="E375" s="2945">
        <v>2020</v>
      </c>
      <c r="F375" s="2945">
        <v>520</v>
      </c>
      <c r="G375" s="2958">
        <v>1240</v>
      </c>
    </row>
    <row r="376" spans="1:7" s="2780" customFormat="1">
      <c r="A376" s="2945" t="s">
        <v>3152</v>
      </c>
      <c r="B376" s="2945" t="s">
        <v>277</v>
      </c>
      <c r="C376" s="2945">
        <v>2010</v>
      </c>
      <c r="D376" s="2945">
        <v>1980</v>
      </c>
      <c r="E376" s="2945">
        <v>1940</v>
      </c>
      <c r="F376" s="2945">
        <v>540</v>
      </c>
      <c r="G376" s="2958">
        <v>1190</v>
      </c>
    </row>
    <row r="377" spans="1:7" s="2780" customFormat="1" ht="12" thickBot="1">
      <c r="A377" s="2953" t="s">
        <v>3152</v>
      </c>
      <c r="B377" s="2956" t="s">
        <v>2914</v>
      </c>
      <c r="C377" s="2956">
        <v>1930</v>
      </c>
      <c r="D377" s="2956">
        <v>1890</v>
      </c>
      <c r="E377" s="2956">
        <v>1860</v>
      </c>
      <c r="F377" s="2956">
        <v>530</v>
      </c>
      <c r="G377" s="2961">
        <v>1150</v>
      </c>
    </row>
    <row r="378" spans="1:7" s="2780" customFormat="1">
      <c r="A378" s="2962" t="s">
        <v>3162</v>
      </c>
      <c r="B378" s="2941" t="s">
        <v>3163</v>
      </c>
      <c r="C378" s="2941">
        <v>1520</v>
      </c>
      <c r="D378" s="2941">
        <v>1490</v>
      </c>
      <c r="E378" s="2941">
        <v>1460</v>
      </c>
      <c r="F378" s="2941">
        <v>460</v>
      </c>
      <c r="G378" s="2957">
        <v>940</v>
      </c>
    </row>
    <row r="379" spans="1:7" s="2780" customFormat="1">
      <c r="A379" s="2963" t="s">
        <v>3162</v>
      </c>
      <c r="B379" s="2945" t="s">
        <v>3164</v>
      </c>
      <c r="C379" s="2945">
        <v>1500</v>
      </c>
      <c r="D379" s="2945">
        <v>1470</v>
      </c>
      <c r="E379" s="2945">
        <v>1430</v>
      </c>
      <c r="F379" s="2945">
        <v>460</v>
      </c>
      <c r="G379" s="2958">
        <v>920</v>
      </c>
    </row>
    <row r="380" spans="1:7" s="2780" customFormat="1">
      <c r="A380" s="2963" t="s">
        <v>3162</v>
      </c>
      <c r="B380" s="2945" t="s">
        <v>3165</v>
      </c>
      <c r="C380" s="2945">
        <v>1620</v>
      </c>
      <c r="D380" s="2945">
        <v>1590</v>
      </c>
      <c r="E380" s="2945">
        <v>1560</v>
      </c>
      <c r="F380" s="2945">
        <v>480</v>
      </c>
      <c r="G380" s="2958">
        <v>1000</v>
      </c>
    </row>
    <row r="381" spans="1:7" s="2780" customFormat="1">
      <c r="A381" s="2963" t="s">
        <v>3162</v>
      </c>
      <c r="B381" s="2945" t="s">
        <v>3166</v>
      </c>
      <c r="C381" s="2945">
        <v>1460</v>
      </c>
      <c r="D381" s="2945">
        <v>1430</v>
      </c>
      <c r="E381" s="2945">
        <v>1390</v>
      </c>
      <c r="F381" s="2945">
        <v>450</v>
      </c>
      <c r="G381" s="2958">
        <v>900</v>
      </c>
    </row>
    <row r="382" spans="1:7" s="2780" customFormat="1">
      <c r="A382" s="2963" t="s">
        <v>3162</v>
      </c>
      <c r="B382" s="2945" t="s">
        <v>3167</v>
      </c>
      <c r="C382" s="2945">
        <v>1310</v>
      </c>
      <c r="D382" s="2945">
        <v>1280</v>
      </c>
      <c r="E382" s="2945">
        <v>1250</v>
      </c>
      <c r="F382" s="2945">
        <v>440</v>
      </c>
      <c r="G382" s="2958">
        <v>800</v>
      </c>
    </row>
    <row r="383" spans="1:7" s="2780" customFormat="1">
      <c r="A383" s="2963" t="s">
        <v>3162</v>
      </c>
      <c r="B383" s="2945" t="s">
        <v>3168</v>
      </c>
      <c r="C383" s="2945">
        <v>1260</v>
      </c>
      <c r="D383" s="2945">
        <v>1230</v>
      </c>
      <c r="E383" s="2945">
        <v>1200</v>
      </c>
      <c r="F383" s="2945">
        <v>420</v>
      </c>
      <c r="G383" s="2958">
        <v>770</v>
      </c>
    </row>
    <row r="384" spans="1:7" s="2780" customFormat="1" ht="12" thickBot="1">
      <c r="A384" s="2964" t="s">
        <v>3162</v>
      </c>
      <c r="B384" s="2952" t="s">
        <v>3169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45881</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2298</v>
      </c>
      <c r="C27" s="1204">
        <v>43697</v>
      </c>
      <c r="D27" s="2572">
        <v>4.25</v>
      </c>
      <c r="E27" s="2572">
        <v>4.25</v>
      </c>
      <c r="F27" s="2572">
        <v>4.25</v>
      </c>
      <c r="G27" s="2572">
        <v>4.25</v>
      </c>
      <c r="H27" s="2572">
        <v>4.8499999999999996</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5"/>
      <c r="C28" s="2576">
        <v>42301</v>
      </c>
      <c r="D28" s="2577">
        <v>4.3499999999999996</v>
      </c>
      <c r="E28" s="2577">
        <v>4.3499999999999996</v>
      </c>
      <c r="F28" s="2577">
        <v>4.75</v>
      </c>
      <c r="G28" s="2577">
        <v>4.75</v>
      </c>
      <c r="H28" s="2577">
        <v>4.9000000000000004</v>
      </c>
      <c r="I28" s="2577"/>
      <c r="J28" s="2577"/>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3" t="s">
        <v>949</v>
      </c>
      <c r="B1" s="3223"/>
      <c r="C1" s="3223"/>
      <c r="D1" s="3223"/>
    </row>
    <row r="2" spans="1:4" ht="18">
      <c r="A2" s="3224" t="s">
        <v>933</v>
      </c>
      <c r="B2" s="3224"/>
      <c r="C2" s="3224"/>
      <c r="D2" s="3224"/>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24" t="s">
        <v>939</v>
      </c>
      <c r="B6" s="3224"/>
      <c r="C6" s="3224"/>
      <c r="D6" s="3224"/>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5"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945</v>
      </c>
      <c r="B22" s="3231"/>
      <c r="C22" s="3231"/>
      <c r="D22" s="3231"/>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7" t="s">
        <v>956</v>
      </c>
      <c r="B15" s="3232" t="s">
        <v>109</v>
      </c>
      <c r="C15" s="3233"/>
    </row>
    <row r="16" spans="1:7" ht="13.5">
      <c r="A16" s="3238"/>
      <c r="B16" s="3232" t="s">
        <v>42</v>
      </c>
      <c r="C16" s="3233"/>
    </row>
    <row r="17" spans="1:3" ht="13.5">
      <c r="A17" s="3238"/>
      <c r="B17" s="3235" t="s">
        <v>957</v>
      </c>
      <c r="C17" s="1426" t="s">
        <v>956</v>
      </c>
    </row>
    <row r="18" spans="1:3" ht="13.5">
      <c r="A18" s="3238"/>
      <c r="B18" s="3235"/>
      <c r="C18" s="1426" t="s">
        <v>958</v>
      </c>
    </row>
    <row r="19" spans="1:3" ht="13.5">
      <c r="A19" s="3238"/>
      <c r="B19" s="3235"/>
      <c r="C19" s="1426" t="s">
        <v>959</v>
      </c>
    </row>
    <row r="20" spans="1:3" ht="13.5">
      <c r="A20" s="3239"/>
      <c r="B20" s="3234" t="s">
        <v>960</v>
      </c>
      <c r="C20" s="3233"/>
    </row>
    <row r="21" spans="1:3" ht="13.5">
      <c r="A21" s="1427" t="s">
        <v>961</v>
      </c>
      <c r="B21" s="1428"/>
      <c r="C21" s="1429"/>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6" t="s">
        <v>967</v>
      </c>
    </row>
    <row r="26" spans="1:3" ht="13.5">
      <c r="A26" s="3236"/>
      <c r="B26" s="3235"/>
      <c r="C26" s="1426" t="s">
        <v>968</v>
      </c>
    </row>
    <row r="27" spans="1:3" ht="13.5">
      <c r="A27" s="3236"/>
      <c r="B27" s="3235"/>
      <c r="C27" s="1426" t="s">
        <v>969</v>
      </c>
    </row>
    <row r="28" spans="1:3" ht="13.5">
      <c r="A28" s="3236"/>
      <c r="B28" s="3235"/>
      <c r="C28" s="1426" t="s">
        <v>970</v>
      </c>
    </row>
    <row r="29" spans="1:3" ht="13.5">
      <c r="A29" s="3236"/>
      <c r="B29" s="3235"/>
      <c r="C29" s="1426" t="s">
        <v>971</v>
      </c>
    </row>
    <row r="30" spans="1:3" ht="13.5">
      <c r="A30" s="3236"/>
      <c r="B30" s="3235"/>
      <c r="C30" s="1426" t="s">
        <v>972</v>
      </c>
    </row>
    <row r="31" spans="1:3" ht="13.5">
      <c r="A31" s="3236"/>
      <c r="B31" s="3235"/>
      <c r="C31" s="1426" t="s">
        <v>973</v>
      </c>
    </row>
    <row r="32" spans="1:3" ht="13.5">
      <c r="A32" s="3236"/>
      <c r="B32" s="3235"/>
      <c r="C32" s="1426" t="s">
        <v>974</v>
      </c>
    </row>
    <row r="33" spans="1:3" ht="13.5">
      <c r="A33" s="3236"/>
      <c r="B33" s="323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2137</v>
      </c>
      <c r="B2" s="2154">
        <f ca="1">TODAY()</f>
        <v>45891</v>
      </c>
      <c r="C2" s="2155" t="s">
        <v>2138</v>
      </c>
      <c r="D2" s="2155"/>
      <c r="E2" s="2155"/>
      <c r="F2" s="2151"/>
      <c r="G2" s="2151"/>
      <c r="H2" s="2151"/>
    </row>
    <row r="3" spans="1:8" ht="24" customHeight="1">
      <c r="A3" s="2156" t="s">
        <v>2139</v>
      </c>
      <c r="B3" s="1216" t="s">
        <v>2140</v>
      </c>
      <c r="C3" s="1216" t="s">
        <v>2141</v>
      </c>
      <c r="D3" s="2157" t="s">
        <v>2142</v>
      </c>
      <c r="E3" s="2158" t="s">
        <v>2143</v>
      </c>
      <c r="F3" s="1216" t="s">
        <v>2144</v>
      </c>
      <c r="G3" s="1216" t="s">
        <v>2141</v>
      </c>
      <c r="H3" s="2157" t="s">
        <v>2145</v>
      </c>
    </row>
    <row r="4" spans="1:8" ht="24" customHeight="1">
      <c r="A4" s="1216" t="s">
        <v>2146</v>
      </c>
      <c r="B4" s="1216">
        <f ca="1">IF(C4&lt;B2,"已过期",1119970066)</f>
        <v>1119970066</v>
      </c>
      <c r="C4" s="2159">
        <v>45937</v>
      </c>
      <c r="D4" s="2160" t="str">
        <f ca="1">A4&amp;"（注册号："&amp;B4&amp;"）"</f>
        <v>梁津（注册号：1119970066）</v>
      </c>
      <c r="E4" s="2161" t="s">
        <v>2146</v>
      </c>
      <c r="F4" s="1216">
        <f ca="1">IF(G4&lt;B2,"已过期",96010014)</f>
        <v>96010014</v>
      </c>
      <c r="G4" s="2162">
        <v>47118</v>
      </c>
      <c r="H4" s="2163" t="str">
        <f ca="1">E4&amp;"（注册号："&amp;F4&amp;"）"</f>
        <v>梁津（注册号：96010014）</v>
      </c>
    </row>
    <row r="5" spans="1:8" ht="24" customHeight="1">
      <c r="A5" s="1216" t="s">
        <v>2147</v>
      </c>
      <c r="B5" s="1216">
        <f ca="1">IF(C5&lt;B2,"已过期",1119970111)</f>
        <v>1119970111</v>
      </c>
      <c r="C5" s="2159">
        <v>45937</v>
      </c>
      <c r="D5" s="2160" t="str">
        <f t="shared" ref="D5:D15" ca="1" si="0">A5&amp;"（注册号："&amp;B5&amp;"）"</f>
        <v>叶凌（注册号：1119970111）</v>
      </c>
      <c r="E5" s="2161" t="s">
        <v>2147</v>
      </c>
      <c r="F5" s="1216">
        <f ca="1">IF(G5&lt;B2,"已过期",94010078)</f>
        <v>94010078</v>
      </c>
      <c r="G5" s="2162">
        <v>46387</v>
      </c>
      <c r="H5" s="2163" t="str">
        <f t="shared" ref="H5:H16" ca="1" si="1">E5&amp;"（注册号："&amp;F5&amp;"）"</f>
        <v>叶凌（注册号：94010078）</v>
      </c>
    </row>
    <row r="6" spans="1:8" ht="24" customHeight="1">
      <c r="A6" s="1216" t="s">
        <v>2148</v>
      </c>
      <c r="B6" s="1216" t="str">
        <f ca="1">IF(C6&lt;B2,"已过期",1120050019)</f>
        <v>已过期</v>
      </c>
      <c r="C6" s="2159">
        <v>45410</v>
      </c>
      <c r="D6" s="2160" t="str">
        <f t="shared" ca="1" si="0"/>
        <v>王鹏（注册号：已过期）</v>
      </c>
      <c r="E6" s="2161" t="s">
        <v>2148</v>
      </c>
      <c r="F6" s="1216">
        <f ca="1">IF(G6&lt;B2,"已过期",2002110030)</f>
        <v>2002110030</v>
      </c>
      <c r="G6" s="2162">
        <v>46387</v>
      </c>
      <c r="H6" s="2163" t="str">
        <f t="shared" ca="1" si="1"/>
        <v>王鹏（注册号：2002110030）</v>
      </c>
    </row>
    <row r="7" spans="1:8" ht="24" customHeight="1">
      <c r="A7" s="1216" t="s">
        <v>2149</v>
      </c>
      <c r="B7" s="1216">
        <f ca="1">IF(C7&lt;B2,"已过期",1120000080)</f>
        <v>1120000080</v>
      </c>
      <c r="C7" s="2159">
        <v>45937</v>
      </c>
      <c r="D7" s="2160" t="str">
        <f t="shared" ca="1" si="0"/>
        <v>欧红伟（注册号：1120000080）</v>
      </c>
      <c r="E7" s="2161" t="s">
        <v>2149</v>
      </c>
      <c r="F7" s="1216">
        <f ca="1">IF(G7&lt;B2,"已过期",2000110082)</f>
        <v>2000110082</v>
      </c>
      <c r="G7" s="2162">
        <v>46387</v>
      </c>
      <c r="H7" s="2163" t="str">
        <f t="shared" ca="1" si="1"/>
        <v>欧红伟（注册号：2000110082）</v>
      </c>
    </row>
    <row r="8" spans="1:8" ht="24" customHeight="1">
      <c r="A8" s="1216" t="s">
        <v>2150</v>
      </c>
      <c r="B8" s="1216">
        <f ca="1">IF(C8&lt;B2,"已过期",1419970001)</f>
        <v>1419970001</v>
      </c>
      <c r="C8" s="2159">
        <v>45937</v>
      </c>
      <c r="D8" s="2160" t="str">
        <f t="shared" ca="1" si="0"/>
        <v>吴薇（注册号：1419970001）</v>
      </c>
      <c r="E8" s="2161" t="s">
        <v>2150</v>
      </c>
      <c r="F8" s="1216">
        <f ca="1">IF(G8&lt;B2,"已过期",2002110125)</f>
        <v>2002110125</v>
      </c>
      <c r="G8" s="2162">
        <v>47118</v>
      </c>
      <c r="H8" s="2163" t="str">
        <f t="shared" ca="1" si="1"/>
        <v>吴薇（注册号：2002110125）</v>
      </c>
    </row>
    <row r="9" spans="1:8" ht="24" customHeight="1">
      <c r="A9" s="1216" t="s">
        <v>2151</v>
      </c>
      <c r="B9" s="1216" t="str">
        <f ca="1">IF(C9&lt;B2,"已过期",1120060040)</f>
        <v>已过期</v>
      </c>
      <c r="C9" s="2164">
        <v>45592</v>
      </c>
      <c r="D9" s="2160" t="str">
        <f t="shared" ca="1" si="0"/>
        <v>陈颖（注册号：已过期）</v>
      </c>
      <c r="E9" s="2161" t="s">
        <v>2151</v>
      </c>
      <c r="F9" s="1216">
        <f ca="1">IF(G9&lt;B2,"已过期",2004110096)</f>
        <v>2004110096</v>
      </c>
      <c r="G9" s="2162">
        <v>47118</v>
      </c>
      <c r="H9" s="2163" t="str">
        <f t="shared" ca="1" si="1"/>
        <v>陈颖（注册号：2004110096）</v>
      </c>
    </row>
    <row r="10" spans="1:8" ht="24" customHeight="1">
      <c r="A10" s="1216" t="s">
        <v>2152</v>
      </c>
      <c r="B10" s="1216" t="str">
        <f ca="1">IF(C10&lt;B2,"已过期",1120100036)</f>
        <v>已过期</v>
      </c>
      <c r="C10" s="2164">
        <v>45752</v>
      </c>
      <c r="D10" s="2160" t="str">
        <f t="shared" ca="1" si="0"/>
        <v>崔锴（注册号：已过期）</v>
      </c>
      <c r="E10" s="2161" t="s">
        <v>2152</v>
      </c>
      <c r="F10" s="1216">
        <f ca="1">IF(G10&lt;B2,"已过期",2010110070)</f>
        <v>2010110070</v>
      </c>
      <c r="G10" s="2162">
        <v>47907</v>
      </c>
      <c r="H10" s="2163" t="str">
        <f t="shared" ca="1" si="1"/>
        <v>崔锴（注册号：2010110070）</v>
      </c>
    </row>
    <row r="11" spans="1:8" ht="24" customHeight="1">
      <c r="A11" s="1216" t="s">
        <v>2153</v>
      </c>
      <c r="B11" s="1216">
        <f ca="1">IF(C11&lt;B2,"已过期",1120070131)</f>
        <v>1120070131</v>
      </c>
      <c r="C11" s="2159">
        <v>45937</v>
      </c>
      <c r="D11" s="2160" t="str">
        <f t="shared" ca="1" si="0"/>
        <v>郑燚（注册号：1120070131）</v>
      </c>
      <c r="E11" s="2161" t="s">
        <v>2153</v>
      </c>
      <c r="F11" s="1216">
        <f ca="1">IF(G11&lt;B2,"已过期",2014110011)</f>
        <v>2014110011</v>
      </c>
      <c r="G11" s="2162">
        <v>49302</v>
      </c>
      <c r="H11" s="2163" t="str">
        <f t="shared" ca="1" si="1"/>
        <v>郑燚（注册号：2014110011）</v>
      </c>
    </row>
    <row r="12" spans="1:8" ht="24" customHeight="1">
      <c r="A12" s="1216" t="s">
        <v>2154</v>
      </c>
      <c r="B12" s="1216">
        <f ca="1">IF(C12&lt;B2,"已过期",1120040230)</f>
        <v>1120040230</v>
      </c>
      <c r="C12" s="2164">
        <v>45937</v>
      </c>
      <c r="D12" s="2160" t="str">
        <f t="shared" ca="1" si="0"/>
        <v>苏海（注册号：1120040230）</v>
      </c>
      <c r="E12" s="2161" t="s">
        <v>2154</v>
      </c>
      <c r="F12" s="1216">
        <f ca="1">IF(G12&lt;B2,"已过期",98030020)</f>
        <v>98030020</v>
      </c>
      <c r="G12" s="2162">
        <v>47118</v>
      </c>
      <c r="H12" s="2163" t="str">
        <f t="shared" ca="1" si="1"/>
        <v>苏海（注册号：98030020）</v>
      </c>
    </row>
    <row r="13" spans="1:8" ht="24" customHeight="1">
      <c r="A13" s="1216" t="s">
        <v>2155</v>
      </c>
      <c r="B13" s="1216" t="str">
        <f ca="1">IF(C13&lt;B2,"已过期",1120020033)</f>
        <v>已过期</v>
      </c>
      <c r="C13" s="2159">
        <v>45375</v>
      </c>
      <c r="D13" s="2160" t="str">
        <f t="shared" ca="1" si="0"/>
        <v>刘敬东（注册号：已过期）</v>
      </c>
      <c r="E13" s="2161" t="s">
        <v>2155</v>
      </c>
      <c r="F13" s="1216">
        <f ca="1">IF(G13&lt;B2,"已过期",2000110137)</f>
        <v>2000110137</v>
      </c>
      <c r="G13" s="2162">
        <v>46387</v>
      </c>
      <c r="H13" s="2163" t="str">
        <f t="shared" ca="1" si="1"/>
        <v>刘敬东（注册号：2000110137）</v>
      </c>
    </row>
    <row r="14" spans="1:8" ht="24" customHeight="1">
      <c r="A14" s="1216" t="s">
        <v>2156</v>
      </c>
      <c r="B14" s="1216" t="str">
        <f ca="1">IF(C14&lt;B2,"已过期",1119980106)</f>
        <v>已过期</v>
      </c>
      <c r="C14" s="2164">
        <v>44969</v>
      </c>
      <c r="D14" s="2160" t="str">
        <f t="shared" ca="1" si="0"/>
        <v>刘俊财（注册号：已过期）</v>
      </c>
      <c r="E14" s="2161" t="s">
        <v>2156</v>
      </c>
      <c r="F14" s="1216">
        <f ca="1">IF(G14&lt;B2,"已过期",96010063)</f>
        <v>96010063</v>
      </c>
      <c r="G14" s="2162">
        <v>47483</v>
      </c>
      <c r="H14" s="2163" t="str">
        <f t="shared" ca="1" si="1"/>
        <v>刘俊财（注册号：96010063）</v>
      </c>
    </row>
    <row r="15" spans="1:8" ht="24" customHeight="1">
      <c r="A15" s="1216" t="s">
        <v>2426</v>
      </c>
      <c r="B15" s="1216">
        <v>1120210056</v>
      </c>
      <c r="C15" s="2164">
        <v>45410</v>
      </c>
      <c r="D15" s="2160" t="str">
        <f t="shared" si="0"/>
        <v>宁小鳗（注册号：1120210056）</v>
      </c>
      <c r="E15" s="2161" t="s">
        <v>2157</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40" t="s">
        <v>2158</v>
      </c>
      <c r="B17" s="3240"/>
      <c r="C17" s="3240"/>
      <c r="D17" s="3240"/>
      <c r="E17" s="3240"/>
      <c r="F17" s="3240"/>
      <c r="G17" s="3240"/>
      <c r="H17" s="3240"/>
    </row>
    <row r="18" spans="1:8" ht="24" customHeight="1">
      <c r="A18" s="3241" t="s">
        <v>2159</v>
      </c>
      <c r="B18" s="3241"/>
      <c r="C18" s="3241"/>
      <c r="D18" s="2157"/>
      <c r="E18" s="3242" t="s">
        <v>2160</v>
      </c>
      <c r="F18" s="3241"/>
      <c r="G18" s="3241"/>
    </row>
    <row r="19" spans="1:8" s="2167" customFormat="1" ht="24" customHeight="1">
      <c r="A19" s="2166" t="s">
        <v>2161</v>
      </c>
      <c r="B19" s="1216" t="s">
        <v>2162</v>
      </c>
      <c r="C19" s="1216" t="s">
        <v>2141</v>
      </c>
      <c r="D19" s="2157"/>
      <c r="E19" s="2161" t="s">
        <v>2161</v>
      </c>
      <c r="F19" s="1216" t="s">
        <v>2162</v>
      </c>
      <c r="G19" s="1216" t="s">
        <v>2141</v>
      </c>
    </row>
    <row r="20" spans="1:8" s="2167" customFormat="1" ht="24" customHeight="1">
      <c r="A20" s="2168" t="s">
        <v>2163</v>
      </c>
      <c r="B20" s="2168" t="s">
        <v>2164</v>
      </c>
      <c r="C20" s="2162">
        <v>45898</v>
      </c>
      <c r="D20" s="2169"/>
      <c r="E20" s="2170" t="s">
        <v>2165</v>
      </c>
      <c r="F20" s="2173" t="s">
        <v>2427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16号楼A座面积</vt:lpstr>
      <vt:lpstr>21号楼F座面积明细</vt:lpstr>
      <vt:lpstr>22号楼H座面积明细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收益法-酒店模型</vt:lpstr>
      <vt:lpstr>收益法（汇总）</vt:lpstr>
      <vt:lpstr>比较法-住宅</vt:lpstr>
      <vt:lpstr>比较法-商业</vt:lpstr>
      <vt:lpstr>典型户型修正</vt:lpstr>
      <vt:lpstr>大宗案例</vt:lpstr>
      <vt:lpstr>华樾北京</vt:lpstr>
      <vt:lpstr>保利大都汇</vt:lpstr>
      <vt:lpstr>悦荣中心</vt:lpstr>
      <vt:lpstr>A座租户台账</vt:lpstr>
      <vt:lpstr>F座租户台账</vt:lpstr>
      <vt:lpstr>H座租户台账</vt:lpstr>
      <vt:lpstr>19-24年经营情况</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2025-08-22T02:28:58Z</dcterms:modified>
</cp:coreProperties>
</file>