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7"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2)" sheetId="78" r:id="rId22"/>
    <sheet name="收益法 (元)" sheetId="67" state="hidden"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2"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8" i="79" l="1"/>
  <c r="N19" i="79"/>
  <c r="N20" i="79"/>
  <c r="N21" i="79"/>
  <c r="N22" i="79"/>
  <c r="N25" i="79"/>
  <c r="N3" i="79"/>
  <c r="N4" i="79"/>
  <c r="N5" i="79"/>
  <c r="N6" i="79"/>
  <c r="N7" i="79"/>
  <c r="N8" i="79"/>
  <c r="N10" i="79"/>
  <c r="N11" i="79"/>
  <c r="N12" i="79"/>
  <c r="N13" i="79"/>
  <c r="N14" i="79"/>
  <c r="N15" i="79"/>
  <c r="N16" i="79"/>
  <c r="N17" i="79"/>
  <c r="N2" i="79"/>
  <c r="L7" i="1" l="1"/>
  <c r="N20" i="6"/>
  <c r="N14" i="1"/>
  <c r="L14" i="1"/>
  <c r="E30" i="79" l="1"/>
  <c r="W7" i="1"/>
  <c r="AM7" i="1"/>
  <c r="AL7" i="1"/>
  <c r="AK7" i="1"/>
  <c r="I7" i="1"/>
  <c r="F20" i="6"/>
  <c r="F19" i="6"/>
  <c r="Q72" i="78"/>
  <c r="Q59" i="78"/>
  <c r="K59" i="78"/>
  <c r="P61" i="78" s="1"/>
  <c r="F59" i="78"/>
  <c r="P74" i="78" l="1"/>
  <c r="Q58" i="78"/>
  <c r="Q51" i="78"/>
  <c r="J50" i="78"/>
  <c r="M47" i="78" l="1"/>
  <c r="D46" i="78" l="1"/>
  <c r="F33" i="78"/>
  <c r="F61" i="78" s="1"/>
  <c r="F31" i="78"/>
  <c r="F23" i="78"/>
  <c r="D24" i="78" s="1"/>
  <c r="D23" i="78" l="1"/>
  <c r="D22" i="78"/>
  <c r="F21" i="78"/>
  <c r="F20" i="78"/>
  <c r="M19" i="78"/>
  <c r="F18" i="78"/>
  <c r="M17" i="78"/>
  <c r="F17" i="78" l="1"/>
  <c r="F15" i="78"/>
  <c r="M19" i="1"/>
  <c r="O19" i="1" s="1"/>
  <c r="N7" i="1" s="1"/>
  <c r="Y7" i="1" s="1"/>
  <c r="M18" i="1"/>
  <c r="O18" i="1" s="1"/>
  <c r="N6" i="1" s="1"/>
  <c r="Y6" i="1" s="1"/>
  <c r="J7" i="1"/>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C7" i="69" s="1"/>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D15" i="71"/>
  <c r="AH13" i="71"/>
  <c r="AG13" i="71"/>
  <c r="AE13" i="71"/>
  <c r="AF13" i="71" s="1"/>
  <c r="AD13" i="71"/>
  <c r="AD14" i="71"/>
  <c r="AG14" i="71"/>
  <c r="AH14" i="71"/>
  <c r="AE14" i="71"/>
  <c r="AF14" i="71" s="1"/>
  <c r="N14" i="71"/>
  <c r="Q14" i="71"/>
  <c r="P14" i="71"/>
  <c r="O14" i="71"/>
  <c r="Q15" i="71"/>
  <c r="F14" i="71"/>
  <c r="F13" i="71" s="1"/>
  <c r="F12" i="71" s="1"/>
  <c r="P15" i="71"/>
  <c r="E14" i="71"/>
  <c r="O15" i="71"/>
  <c r="N15" i="71"/>
  <c r="A2" i="53"/>
  <c r="K59" i="67"/>
  <c r="P61" i="67"/>
  <c r="K59" i="15"/>
  <c r="P74" i="15" s="1"/>
  <c r="P74" i="67"/>
  <c r="D116" i="39"/>
  <c r="E116" i="39"/>
  <c r="F116" i="39"/>
  <c r="G116" i="39"/>
  <c r="H116" i="39"/>
  <c r="I116" i="39"/>
  <c r="J116" i="39"/>
  <c r="K116" i="39"/>
  <c r="L116" i="39"/>
  <c r="M116" i="39"/>
  <c r="C116" i="39"/>
  <c r="A21" i="62"/>
  <c r="A20" i="62"/>
  <c r="B66" i="72" s="1"/>
  <c r="A22" i="51"/>
  <c r="B17" i="72" s="1"/>
  <c r="A21" i="51"/>
  <c r="B16" i="72" s="1"/>
  <c r="A20" i="51"/>
  <c r="A15" i="62"/>
  <c r="B61" i="72" s="1"/>
  <c r="A14" i="62"/>
  <c r="B60" i="72" s="1"/>
  <c r="A13" i="62"/>
  <c r="B59" i="72"/>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E10" i="43"/>
  <c r="AI10" i="43"/>
  <c r="AB10" i="43"/>
  <c r="AJ10" i="43"/>
  <c r="K49" i="9"/>
  <c r="E107" i="9"/>
  <c r="A122" i="9" s="1"/>
  <c r="A8" i="52" s="1"/>
  <c r="E111" i="9"/>
  <c r="B19" i="53" s="1"/>
  <c r="B37" i="72" s="1"/>
  <c r="E109" i="9"/>
  <c r="A124" i="9" s="1"/>
  <c r="A10" i="52" s="1"/>
  <c r="B55" i="72" s="1"/>
  <c r="B44" i="72"/>
  <c r="B42" i="72"/>
  <c r="B69" i="72"/>
  <c r="B68" i="72"/>
  <c r="B63" i="72"/>
  <c r="B62" i="72"/>
  <c r="B65" i="72"/>
  <c r="B67" i="72"/>
  <c r="B10" i="72"/>
  <c r="C53" i="10"/>
  <c r="B51" i="10"/>
  <c r="B19" i="72"/>
  <c r="A18" i="51"/>
  <c r="B13" i="72" s="1"/>
  <c r="B49" i="48"/>
  <c r="B5" i="72" s="1"/>
  <c r="I19" i="43"/>
  <c r="D79" i="71"/>
  <c r="F78" i="71"/>
  <c r="F77" i="71" s="1"/>
  <c r="F76" i="71" s="1"/>
  <c r="E78" i="71"/>
  <c r="E77" i="71" s="1"/>
  <c r="E76" i="71" s="1"/>
  <c r="C78" i="71"/>
  <c r="B78" i="71"/>
  <c r="B77" i="71" s="1"/>
  <c r="B76" i="71" s="1"/>
  <c r="D75" i="71"/>
  <c r="F74" i="71"/>
  <c r="F73" i="71" s="1"/>
  <c r="E74" i="71"/>
  <c r="E73" i="71" s="1"/>
  <c r="E72" i="71" s="1"/>
  <c r="C74" i="71"/>
  <c r="D74" i="71" s="1"/>
  <c r="B74" i="71"/>
  <c r="B73" i="71" s="1"/>
  <c r="B72" i="71" s="1"/>
  <c r="F72" i="7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s="1"/>
  <c r="E66" i="71"/>
  <c r="C66" i="71"/>
  <c r="T66" i="71" s="1"/>
  <c r="B66" i="71"/>
  <c r="S66" i="71" s="1"/>
  <c r="Q65" i="71"/>
  <c r="P65" i="71"/>
  <c r="O65" i="71"/>
  <c r="N65" i="71"/>
  <c r="F65" i="71"/>
  <c r="F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F58" i="71"/>
  <c r="V58" i="71" s="1"/>
  <c r="E58" i="71"/>
  <c r="C58" i="71"/>
  <c r="O58" i="71" s="1"/>
  <c r="B58" i="71"/>
  <c r="S58" i="71" s="1"/>
  <c r="F57" i="71"/>
  <c r="B57" i="71"/>
  <c r="N57" i="71" s="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c r="P39" i="71"/>
  <c r="E40" i="71"/>
  <c r="E41" i="71" s="1"/>
  <c r="E42" i="71" s="1"/>
  <c r="U42" i="71" s="1"/>
  <c r="O39" i="71"/>
  <c r="C40" i="71" s="1"/>
  <c r="N39" i="71"/>
  <c r="B40"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AB29" i="71"/>
  <c r="Q29" i="71"/>
  <c r="P29" i="71"/>
  <c r="AA29" i="71" s="1"/>
  <c r="O29" i="71"/>
  <c r="Y29" i="71" s="1"/>
  <c r="Z29" i="71" s="1"/>
  <c r="N29" i="71"/>
  <c r="X29" i="71" s="1"/>
  <c r="Q28" i="71"/>
  <c r="P28" i="71"/>
  <c r="AA28" i="71" s="1"/>
  <c r="O28" i="71"/>
  <c r="Y28" i="71" s="1"/>
  <c r="Z28" i="71" s="1"/>
  <c r="N28" i="71"/>
  <c r="X28" i="71" s="1"/>
  <c r="Q27" i="71"/>
  <c r="F28" i="71" s="1"/>
  <c r="P27" i="71"/>
  <c r="E28" i="71" s="1"/>
  <c r="E29" i="71" s="1"/>
  <c r="E30" i="71" s="1"/>
  <c r="U30" i="71" s="1"/>
  <c r="O27" i="71"/>
  <c r="N27" i="71"/>
  <c r="B28" i="71" s="1"/>
  <c r="B29" i="71" s="1"/>
  <c r="B30" i="71" s="1"/>
  <c r="S30" i="71" s="1"/>
  <c r="D27" i="71"/>
  <c r="Q26" i="71"/>
  <c r="P26" i="71"/>
  <c r="AA26" i="71" s="1"/>
  <c r="O26" i="71"/>
  <c r="N26" i="71"/>
  <c r="X26" i="71" s="1"/>
  <c r="Q25" i="71"/>
  <c r="P25" i="71"/>
  <c r="O25" i="71"/>
  <c r="Y25" i="71"/>
  <c r="Z25" i="71" s="1"/>
  <c r="N25" i="71"/>
  <c r="Q24" i="71"/>
  <c r="P24" i="71"/>
  <c r="O24" i="71"/>
  <c r="Y24" i="71" s="1"/>
  <c r="Z24" i="71" s="1"/>
  <c r="N24" i="71"/>
  <c r="X24" i="71" s="1"/>
  <c r="Q23" i="71"/>
  <c r="F24" i="71" s="1"/>
  <c r="P23" i="71"/>
  <c r="E24" i="71" s="1"/>
  <c r="E25" i="71" s="1"/>
  <c r="O23" i="71"/>
  <c r="N23" i="71"/>
  <c r="D23" i="71"/>
  <c r="Q22" i="71"/>
  <c r="P22" i="71"/>
  <c r="O22" i="71"/>
  <c r="N22" i="71"/>
  <c r="Q21" i="71"/>
  <c r="P21" i="71"/>
  <c r="O21" i="71"/>
  <c r="Y21" i="71"/>
  <c r="Z21" i="71" s="1"/>
  <c r="N21" i="71"/>
  <c r="Q20" i="71"/>
  <c r="AB15" i="71" s="1"/>
  <c r="P20" i="71"/>
  <c r="O20" i="71"/>
  <c r="Y20" i="71" s="1"/>
  <c r="Z20" i="71" s="1"/>
  <c r="N20" i="71"/>
  <c r="Q19" i="71"/>
  <c r="F20" i="71" s="1"/>
  <c r="P19" i="71"/>
  <c r="O19" i="71"/>
  <c r="Y19" i="71" s="1"/>
  <c r="Z19" i="71" s="1"/>
  <c r="N19" i="71"/>
  <c r="D19" i="71"/>
  <c r="O18" i="71"/>
  <c r="Y16" i="71" s="1"/>
  <c r="Z16" i="71" s="1"/>
  <c r="N18" i="71"/>
  <c r="B20" i="71"/>
  <c r="B21" i="71" s="1"/>
  <c r="B22" i="71" s="1"/>
  <c r="S22" i="71" s="1"/>
  <c r="E20" i="71"/>
  <c r="E21" i="71" s="1"/>
  <c r="B24" i="71"/>
  <c r="B25" i="71" s="1"/>
  <c r="B26" i="71" s="1"/>
  <c r="S26" i="71" s="1"/>
  <c r="X27" i="71"/>
  <c r="N58" i="71"/>
  <c r="C20" i="71"/>
  <c r="X20" i="71"/>
  <c r="X22" i="71"/>
  <c r="C24" i="71"/>
  <c r="C25" i="71" s="1"/>
  <c r="Y23" i="71"/>
  <c r="Z23" i="71" s="1"/>
  <c r="C28" i="71"/>
  <c r="Y27" i="71"/>
  <c r="Z27" i="71" s="1"/>
  <c r="F41" i="71"/>
  <c r="F42" i="71" s="1"/>
  <c r="V42" i="71" s="1"/>
  <c r="C18" i="71"/>
  <c r="C17" i="71" s="1"/>
  <c r="B18" i="71"/>
  <c r="X15" i="71"/>
  <c r="D24" i="71"/>
  <c r="C29" i="71"/>
  <c r="D28" i="71"/>
  <c r="P18" i="71"/>
  <c r="E53" i="71"/>
  <c r="E54" i="71" s="1"/>
  <c r="U54" i="71" s="1"/>
  <c r="Q18" i="71"/>
  <c r="AB16" i="71" s="1"/>
  <c r="B56" i="71"/>
  <c r="N55" i="71" s="1"/>
  <c r="T58" i="71"/>
  <c r="D58" i="71"/>
  <c r="Q58" i="71"/>
  <c r="C61" i="71"/>
  <c r="D62" i="71"/>
  <c r="C65" i="71"/>
  <c r="D66" i="71"/>
  <c r="C69" i="71"/>
  <c r="C68" i="71" s="1"/>
  <c r="D68" i="71" s="1"/>
  <c r="E69" i="71"/>
  <c r="E68" i="71" s="1"/>
  <c r="D70" i="71"/>
  <c r="C73" i="71"/>
  <c r="C72" i="71" s="1"/>
  <c r="T18" i="71"/>
  <c r="S18" i="71"/>
  <c r="E18" i="71"/>
  <c r="AA16" i="71"/>
  <c r="D73" i="71"/>
  <c r="D72" i="71"/>
  <c r="N56" i="71"/>
  <c r="D69" i="71"/>
  <c r="D61" i="71"/>
  <c r="C60" i="71"/>
  <c r="D60" i="71"/>
  <c r="C30" i="71"/>
  <c r="T30" i="71" s="1"/>
  <c r="D29" i="71"/>
  <c r="D3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s="1"/>
  <c r="F25" i="40"/>
  <c r="AA25" i="40" s="1"/>
  <c r="Z29" i="39"/>
  <c r="Q29" i="39"/>
  <c r="D103" i="39"/>
  <c r="E103" i="39" s="1"/>
  <c r="F29" i="39"/>
  <c r="AA29" i="39" s="1"/>
  <c r="Q18" i="36"/>
  <c r="Z18" i="36" s="1"/>
  <c r="D66" i="36"/>
  <c r="E66" i="36" s="1"/>
  <c r="F66" i="36" s="1"/>
  <c r="G66" i="36" s="1"/>
  <c r="H18" i="36"/>
  <c r="AB18" i="36" s="1"/>
  <c r="F18" i="36"/>
  <c r="C18" i="36"/>
  <c r="Q18" i="35"/>
  <c r="Z18" i="35" s="1"/>
  <c r="D68" i="35"/>
  <c r="E68" i="35"/>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E83" i="21" s="1"/>
  <c r="F83" i="21" s="1"/>
  <c r="G83" i="21" s="1"/>
  <c r="F21" i="21"/>
  <c r="AA21" i="21" s="1"/>
  <c r="D81" i="21"/>
  <c r="G20" i="20"/>
  <c r="C25" i="40" s="1"/>
  <c r="B86" i="43"/>
  <c r="C22" i="20"/>
  <c r="B75" i="43"/>
  <c r="B55" i="43"/>
  <c r="B66" i="43"/>
  <c r="C29" i="39"/>
  <c r="S25" i="40"/>
  <c r="S29" i="39"/>
  <c r="U18" i="36"/>
  <c r="F94" i="40"/>
  <c r="G94" i="40" s="1"/>
  <c r="H25" i="40"/>
  <c r="J25" i="40"/>
  <c r="F103" i="39"/>
  <c r="G103" i="39" s="1"/>
  <c r="H29" i="39"/>
  <c r="J29" i="39"/>
  <c r="J18" i="36"/>
  <c r="AC18" i="36" s="1"/>
  <c r="H18" i="35"/>
  <c r="AB18" i="35" s="1"/>
  <c r="S18" i="35"/>
  <c r="G68" i="35"/>
  <c r="J18" i="35"/>
  <c r="H21" i="37"/>
  <c r="F21" i="37"/>
  <c r="H21" i="34"/>
  <c r="AB21" i="34" s="1"/>
  <c r="F83" i="33"/>
  <c r="G83" i="33" s="1"/>
  <c r="H21" i="33"/>
  <c r="U21" i="33" s="1"/>
  <c r="F21" i="33"/>
  <c r="S21" i="21"/>
  <c r="H1" i="69"/>
  <c r="AC25" i="40"/>
  <c r="W25" i="40"/>
  <c r="AB25" i="40"/>
  <c r="U25" i="40"/>
  <c r="AB29" i="39"/>
  <c r="U29" i="39"/>
  <c r="AC29" i="39"/>
  <c r="W29" i="39"/>
  <c r="W18" i="36"/>
  <c r="AB21" i="37"/>
  <c r="U21" i="37"/>
  <c r="U21" i="34"/>
  <c r="U18" i="35"/>
  <c r="AC18" i="35"/>
  <c r="W18" i="35"/>
  <c r="J21" i="37"/>
  <c r="AC21" i="37" s="1"/>
  <c r="J21" i="34"/>
  <c r="J21" i="33"/>
  <c r="AC21" i="33" s="1"/>
  <c r="H21" i="21"/>
  <c r="F38" i="69"/>
  <c r="E37" i="69"/>
  <c r="F36" i="69"/>
  <c r="F35" i="69"/>
  <c r="F21" i="69"/>
  <c r="C21" i="69" s="1"/>
  <c r="F20" i="69"/>
  <c r="E10" i="69"/>
  <c r="E9" i="69"/>
  <c r="W21" i="37"/>
  <c r="W21" i="33"/>
  <c r="J21" i="21"/>
  <c r="F38" i="68"/>
  <c r="E37" i="68"/>
  <c r="F36" i="68"/>
  <c r="F35" i="68"/>
  <c r="F21" i="68"/>
  <c r="C40" i="68" s="1"/>
  <c r="F20" i="68"/>
  <c r="E10" i="68"/>
  <c r="E9" i="68"/>
  <c r="Q72" i="67"/>
  <c r="Q59" i="67"/>
  <c r="Q58" i="67"/>
  <c r="Q51" i="67"/>
  <c r="J50" i="67"/>
  <c r="M47" i="67"/>
  <c r="D46" i="67"/>
  <c r="F33" i="67"/>
  <c r="F61" i="67" s="1"/>
  <c r="F23" i="67"/>
  <c r="D24" i="67" s="1"/>
  <c r="F21" i="67"/>
  <c r="F20" i="67"/>
  <c r="M19" i="67"/>
  <c r="F18" i="67"/>
  <c r="F17" i="67"/>
  <c r="F15" i="67"/>
  <c r="S2" i="4"/>
  <c r="A2" i="9" s="1"/>
  <c r="A13" i="51"/>
  <c r="B11" i="72" s="1"/>
  <c r="S1" i="4"/>
  <c r="A4" i="51" s="1"/>
  <c r="B6" i="72" s="1"/>
  <c r="B1" i="4"/>
  <c r="C31" i="66"/>
  <c r="C27" i="66"/>
  <c r="C32" i="66" s="1"/>
  <c r="I23" i="66"/>
  <c r="D20" i="66"/>
  <c r="I19" i="66"/>
  <c r="I18" i="66"/>
  <c r="I17" i="66"/>
  <c r="I20" i="66" s="1"/>
  <c r="E15" i="66"/>
  <c r="I14" i="66"/>
  <c r="I13" i="66"/>
  <c r="I12" i="66"/>
  <c r="I15" i="66" s="1"/>
  <c r="I9" i="66"/>
  <c r="I8" i="66"/>
  <c r="I7" i="66"/>
  <c r="I6" i="66"/>
  <c r="I5" i="66"/>
  <c r="I4" i="66"/>
  <c r="I3" i="66"/>
  <c r="I10" i="66" s="1"/>
  <c r="I21" i="66" s="1"/>
  <c r="F113" i="43"/>
  <c r="N99" i="43"/>
  <c r="N108" i="43"/>
  <c r="D99" i="43"/>
  <c r="D108" i="43" s="1"/>
  <c r="E99" i="43"/>
  <c r="F99" i="43"/>
  <c r="F108" i="43" s="1"/>
  <c r="G99" i="43"/>
  <c r="G108" i="43"/>
  <c r="H99" i="43"/>
  <c r="H108" i="43" s="1"/>
  <c r="I99" i="43"/>
  <c r="J99" i="43"/>
  <c r="J108" i="43" s="1"/>
  <c r="K99" i="43"/>
  <c r="K108" i="43"/>
  <c r="L99" i="43"/>
  <c r="L108" i="43" s="1"/>
  <c r="M99" i="43"/>
  <c r="C99" i="43"/>
  <c r="C108" i="43" s="1"/>
  <c r="N100" i="43"/>
  <c r="D100" i="43"/>
  <c r="G100" i="43"/>
  <c r="K100" i="43"/>
  <c r="B48" i="43"/>
  <c r="B84" i="43"/>
  <c r="B83" i="43"/>
  <c r="B72" i="43"/>
  <c r="B61" i="43"/>
  <c r="B50" i="43"/>
  <c r="D83" i="43"/>
  <c r="D81" i="43"/>
  <c r="D67" i="43"/>
  <c r="D60" i="43"/>
  <c r="D61" i="43"/>
  <c r="D62" i="43"/>
  <c r="D63" i="43"/>
  <c r="D64" i="43"/>
  <c r="D65" i="43"/>
  <c r="D66" i="43"/>
  <c r="D59" i="43"/>
  <c r="M88" i="43"/>
  <c r="N88" i="43" s="1"/>
  <c r="K88" i="43"/>
  <c r="J88" i="43" s="1"/>
  <c r="M87" i="43"/>
  <c r="N87" i="43" s="1"/>
  <c r="K87" i="43"/>
  <c r="D87" i="43" s="1"/>
  <c r="M86" i="43"/>
  <c r="N86" i="43" s="1"/>
  <c r="K86" i="43"/>
  <c r="J86" i="43" s="1"/>
  <c r="D86" i="43" s="1"/>
  <c r="M85" i="43"/>
  <c r="N85" i="43" s="1"/>
  <c r="K85" i="43"/>
  <c r="J85" i="43" s="1"/>
  <c r="M84" i="43"/>
  <c r="N84" i="43" s="1"/>
  <c r="K84" i="43"/>
  <c r="J84" i="43" s="1"/>
  <c r="D84" i="43" s="1"/>
  <c r="M83" i="43"/>
  <c r="N83" i="43" s="1"/>
  <c r="K83" i="43"/>
  <c r="J83" i="43" s="1"/>
  <c r="M82" i="43"/>
  <c r="N82" i="43" s="1"/>
  <c r="K82" i="43"/>
  <c r="D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51"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A8" i="1"/>
  <c r="R8" i="1" s="1"/>
  <c r="A9" i="1"/>
  <c r="B9" i="1" s="1"/>
  <c r="E9" i="1" s="1"/>
  <c r="A10" i="1"/>
  <c r="A11" i="1"/>
  <c r="A12" i="1"/>
  <c r="A13" i="1"/>
  <c r="K13" i="1" s="1"/>
  <c r="M13" i="1" s="1"/>
  <c r="A6" i="1"/>
  <c r="G1" i="78" s="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A60" i="3" s="1"/>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A298" i="3" s="1"/>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c r="R318" i="31"/>
  <c r="R319" i="31"/>
  <c r="S319" i="31" s="1"/>
  <c r="R320" i="31"/>
  <c r="R321" i="31"/>
  <c r="S321" i="31" s="1"/>
  <c r="R322" i="31"/>
  <c r="R323" i="31"/>
  <c r="S323" i="31" s="1"/>
  <c r="R324" i="31"/>
  <c r="S324" i="31" s="1"/>
  <c r="R325" i="31"/>
  <c r="S325" i="31" s="1"/>
  <c r="R326" i="31"/>
  <c r="R327" i="31"/>
  <c r="S327" i="31" s="1"/>
  <c r="R328" i="31"/>
  <c r="R329" i="31"/>
  <c r="S329" i="31"/>
  <c r="R330" i="31"/>
  <c r="R331" i="31"/>
  <c r="S331" i="31" s="1"/>
  <c r="R332" i="31"/>
  <c r="R333" i="31"/>
  <c r="S333" i="31"/>
  <c r="R334" i="31"/>
  <c r="R335" i="31"/>
  <c r="S335" i="31" s="1"/>
  <c r="R336" i="31"/>
  <c r="R337" i="31"/>
  <c r="S337" i="31" s="1"/>
  <c r="R338" i="31"/>
  <c r="R339" i="31"/>
  <c r="S339" i="31" s="1"/>
  <c r="R340" i="31"/>
  <c r="S340" i="31" s="1"/>
  <c r="R341" i="31"/>
  <c r="S341" i="31" s="1"/>
  <c r="R342" i="31"/>
  <c r="R343" i="31"/>
  <c r="S343" i="31" s="1"/>
  <c r="R344" i="31"/>
  <c r="R345" i="31"/>
  <c r="S345" i="31"/>
  <c r="R346" i="31"/>
  <c r="R347" i="31"/>
  <c r="S347" i="31" s="1"/>
  <c r="R348" i="31"/>
  <c r="R349" i="31"/>
  <c r="S349" i="31"/>
  <c r="R350" i="31"/>
  <c r="R351" i="31"/>
  <c r="S351" i="31" s="1"/>
  <c r="R352" i="31"/>
  <c r="R353" i="31"/>
  <c r="S353" i="31" s="1"/>
  <c r="R354" i="31"/>
  <c r="R355" i="31"/>
  <c r="S355" i="31" s="1"/>
  <c r="R356" i="31"/>
  <c r="S356" i="31" s="1"/>
  <c r="R357" i="31"/>
  <c r="S357" i="31" s="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S372" i="31" s="1"/>
  <c r="R373" i="31"/>
  <c r="S373" i="31" s="1"/>
  <c r="R374" i="31"/>
  <c r="R375" i="31"/>
  <c r="S375" i="31" s="1"/>
  <c r="R376" i="31"/>
  <c r="R377" i="31"/>
  <c r="S377" i="31"/>
  <c r="R378" i="31"/>
  <c r="R379" i="31"/>
  <c r="S379" i="31" s="1"/>
  <c r="R380" i="31"/>
  <c r="R381" i="31"/>
  <c r="S381" i="31"/>
  <c r="R382" i="31"/>
  <c r="R383" i="31"/>
  <c r="S383" i="31" s="1"/>
  <c r="R384" i="31"/>
  <c r="R385" i="31"/>
  <c r="S385" i="31" s="1"/>
  <c r="R386" i="31"/>
  <c r="R387" i="31"/>
  <c r="S387" i="31" s="1"/>
  <c r="R388" i="31"/>
  <c r="S388" i="31" s="1"/>
  <c r="R389" i="31"/>
  <c r="S389" i="31" s="1"/>
  <c r="R390" i="31"/>
  <c r="R391" i="31"/>
  <c r="S391" i="31" s="1"/>
  <c r="R392" i="31"/>
  <c r="R393" i="31"/>
  <c r="S393" i="31"/>
  <c r="R394" i="31"/>
  <c r="R395" i="31"/>
  <c r="S395" i="31" s="1"/>
  <c r="R396" i="31"/>
  <c r="R397" i="31"/>
  <c r="S397" i="31"/>
  <c r="R398" i="31"/>
  <c r="R399" i="31"/>
  <c r="S399" i="31" s="1"/>
  <c r="R400" i="31"/>
  <c r="R401" i="31"/>
  <c r="S401" i="31" s="1"/>
  <c r="R402" i="31"/>
  <c r="R403" i="31"/>
  <c r="S403" i="31" s="1"/>
  <c r="R404" i="31"/>
  <c r="S404" i="31" s="1"/>
  <c r="R405" i="31"/>
  <c r="S405" i="31" s="1"/>
  <c r="R406" i="31"/>
  <c r="R407" i="31"/>
  <c r="S407" i="31" s="1"/>
  <c r="R408" i="31"/>
  <c r="R409" i="31"/>
  <c r="S409" i="31"/>
  <c r="R410" i="31"/>
  <c r="R411" i="31"/>
  <c r="S411" i="31" s="1"/>
  <c r="R412" i="31"/>
  <c r="R413" i="31"/>
  <c r="S413" i="3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s="1"/>
  <c r="B13" i="53"/>
  <c r="B29" i="72" s="1"/>
  <c r="R35" i="4"/>
  <c r="Q35" i="4"/>
  <c r="P35" i="4"/>
  <c r="O35" i="4"/>
  <c r="N35" i="4"/>
  <c r="M35" i="4"/>
  <c r="L35" i="4"/>
  <c r="K34" i="4"/>
  <c r="T34" i="4"/>
  <c r="I15" i="4"/>
  <c r="F7" i="1" s="1"/>
  <c r="H15" i="4"/>
  <c r="G15" i="4"/>
  <c r="E15" i="4"/>
  <c r="D15" i="4"/>
  <c r="L21" i="4"/>
  <c r="F19" i="4"/>
  <c r="F2" i="52"/>
  <c r="B50" i="72" s="1"/>
  <c r="D2" i="52"/>
  <c r="B46" i="72" s="1"/>
  <c r="B8" i="53"/>
  <c r="B23" i="72" s="1"/>
  <c r="L4" i="9"/>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22"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G15" i="3" s="1"/>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C92" i="9" s="1"/>
  <c r="J55" i="9"/>
  <c r="B31" i="1"/>
  <c r="E19" i="68" s="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F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2" i="31"/>
  <c r="S410" i="31"/>
  <c r="S408" i="31"/>
  <c r="S406" i="31"/>
  <c r="S402" i="31"/>
  <c r="S400" i="31"/>
  <c r="S398" i="31"/>
  <c r="S396" i="31"/>
  <c r="S394" i="31"/>
  <c r="S392" i="31"/>
  <c r="S390" i="31"/>
  <c r="S386" i="31"/>
  <c r="S384" i="31"/>
  <c r="S382" i="31"/>
  <c r="S380" i="31"/>
  <c r="S378" i="31"/>
  <c r="S376" i="31"/>
  <c r="S374" i="31"/>
  <c r="S370" i="31"/>
  <c r="S368" i="31"/>
  <c r="S366" i="31"/>
  <c r="S364" i="31"/>
  <c r="S362" i="31"/>
  <c r="S360" i="31"/>
  <c r="S358" i="31"/>
  <c r="S354" i="31"/>
  <c r="S352" i="31"/>
  <c r="S350" i="31"/>
  <c r="S348" i="31"/>
  <c r="S346" i="31"/>
  <c r="S344" i="31"/>
  <c r="S342" i="31"/>
  <c r="S338" i="31"/>
  <c r="S336" i="31"/>
  <c r="S334" i="31"/>
  <c r="S332" i="31"/>
  <c r="S330" i="31"/>
  <c r="S328" i="31"/>
  <c r="S326"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AZ548" i="3" s="1"/>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L553" i="3" s="1"/>
  <c r="AZ553" i="3" s="1"/>
  <c r="BP553" i="3"/>
  <c r="BR553" i="3"/>
  <c r="BS553" i="3"/>
  <c r="BT553" i="3"/>
  <c r="H554" i="3"/>
  <c r="AC554" i="3"/>
  <c r="G554" i="3" s="1"/>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A557" i="3" s="1"/>
  <c r="BF557" i="3"/>
  <c r="BG557" i="3"/>
  <c r="BH557" i="3"/>
  <c r="BI557" i="3"/>
  <c r="BI5" i="3" s="1"/>
  <c r="BJ557" i="3"/>
  <c r="BK557" i="3"/>
  <c r="BM557" i="3"/>
  <c r="BN557" i="3"/>
  <c r="BL557" i="3" s="1"/>
  <c r="AZ557" i="3" s="1"/>
  <c r="BO557" i="3"/>
  <c r="BP557" i="3"/>
  <c r="BR557" i="3"/>
  <c r="BS557" i="3"/>
  <c r="BT557" i="3"/>
  <c r="H558" i="3"/>
  <c r="AC558" i="3"/>
  <c r="G558" i="3"/>
  <c r="BB558" i="3"/>
  <c r="BC558" i="3"/>
  <c r="BD558" i="3"/>
  <c r="BE558" i="3"/>
  <c r="BA558" i="3" s="1"/>
  <c r="BF558" i="3"/>
  <c r="BG558" i="3"/>
  <c r="BH558" i="3"/>
  <c r="BI558" i="3"/>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A564" i="3" s="1"/>
  <c r="AZ564" i="3" s="1"/>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A575" i="3" s="1"/>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H31" i="35"/>
  <c r="AB31" i="35" s="1"/>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AB42" i="34" s="1"/>
  <c r="J42" i="34"/>
  <c r="W42" i="34"/>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W40" i="40"/>
  <c r="H40" i="40"/>
  <c r="AB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H13" i="39" s="1"/>
  <c r="U13" i="39" s="1"/>
  <c r="B82" i="39"/>
  <c r="J12" i="39" s="1"/>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H38" i="37" s="1"/>
  <c r="AB38" i="37" s="1"/>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H28" i="37" s="1"/>
  <c r="U28" i="37" s="1"/>
  <c r="B84" i="37"/>
  <c r="H27" i="37"/>
  <c r="B82" i="37"/>
  <c r="D79" i="37"/>
  <c r="E79" i="37" s="1"/>
  <c r="D75" i="37"/>
  <c r="E75" i="37" s="1"/>
  <c r="D73" i="37"/>
  <c r="E73" i="37" s="1"/>
  <c r="F73" i="37" s="1"/>
  <c r="D71" i="37"/>
  <c r="E71" i="37" s="1"/>
  <c r="H15" i="37"/>
  <c r="AB15" i="37"/>
  <c r="B68" i="37"/>
  <c r="H14" i="37"/>
  <c r="AB14" i="37" s="1"/>
  <c r="B66" i="37"/>
  <c r="B64" i="37"/>
  <c r="H12" i="37" s="1"/>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J23" i="36" s="1"/>
  <c r="AC23" i="36" s="1"/>
  <c r="D70" i="36"/>
  <c r="H22" i="36"/>
  <c r="AB22" i="36" s="1"/>
  <c r="D68" i="36"/>
  <c r="E68" i="36" s="1"/>
  <c r="F68" i="36" s="1"/>
  <c r="G68" i="36" s="1"/>
  <c r="D64" i="36"/>
  <c r="E64" i="36" s="1"/>
  <c r="F64" i="36" s="1"/>
  <c r="G64" i="36" s="1"/>
  <c r="J16" i="36"/>
  <c r="D62" i="36"/>
  <c r="E62" i="36" s="1"/>
  <c r="F62" i="36"/>
  <c r="G62" i="36" s="1"/>
  <c r="B59" i="36"/>
  <c r="F13" i="36" s="1"/>
  <c r="S13" i="36" s="1"/>
  <c r="B57" i="36"/>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AC35" i="35" s="1"/>
  <c r="B97" i="35"/>
  <c r="B77" i="35"/>
  <c r="B75" i="35"/>
  <c r="B73" i="35"/>
  <c r="H23" i="35" s="1"/>
  <c r="U23" i="35" s="1"/>
  <c r="B57" i="35"/>
  <c r="B61" i="35"/>
  <c r="H13" i="35" s="1"/>
  <c r="U13" i="35" s="1"/>
  <c r="B59" i="35"/>
  <c r="B131" i="34"/>
  <c r="B129" i="34"/>
  <c r="J46" i="34" s="1"/>
  <c r="B127" i="34"/>
  <c r="H45" i="34" s="1"/>
  <c r="U45" i="34" s="1"/>
  <c r="B99" i="34"/>
  <c r="B97" i="34"/>
  <c r="B95" i="34"/>
  <c r="H30" i="34" s="1"/>
  <c r="B93" i="34"/>
  <c r="H29" i="34" s="1"/>
  <c r="AB29" i="34" s="1"/>
  <c r="B75" i="34"/>
  <c r="B73" i="34"/>
  <c r="B71" i="34"/>
  <c r="B130" i="33"/>
  <c r="F46" i="33" s="1"/>
  <c r="B128" i="33"/>
  <c r="F45" i="33" s="1"/>
  <c r="S45" i="33" s="1"/>
  <c r="B126" i="33"/>
  <c r="B98" i="33"/>
  <c r="F31" i="33" s="1"/>
  <c r="B96" i="33"/>
  <c r="J30" i="33" s="1"/>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Q11" i="34"/>
  <c r="Z11" i="34" s="1"/>
  <c r="Q10" i="34"/>
  <c r="Z10" i="34" s="1"/>
  <c r="F10" i="34"/>
  <c r="AA10" i="34" s="1"/>
  <c r="Q9" i="34"/>
  <c r="Z9" i="34" s="1"/>
  <c r="J9" i="34"/>
  <c r="AC9" i="34" s="1"/>
  <c r="H9" i="34"/>
  <c r="U9" i="34" s="1"/>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W40" i="33" s="1"/>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49"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F46" i="21" s="1"/>
  <c r="AA46" i="21" s="1"/>
  <c r="B128" i="21"/>
  <c r="B126" i="21"/>
  <c r="H44" i="21" s="1"/>
  <c r="U44" i="21" s="1"/>
  <c r="B98" i="21"/>
  <c r="H31" i="21"/>
  <c r="U31" i="21" s="1"/>
  <c r="B96" i="21"/>
  <c r="B94" i="21"/>
  <c r="J29" i="21" s="1"/>
  <c r="B92" i="21"/>
  <c r="B90" i="21"/>
  <c r="H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W19" i="21"/>
  <c r="J26" i="21"/>
  <c r="W26" i="21"/>
  <c r="F26" i="21"/>
  <c r="AA26" i="21" s="1"/>
  <c r="S26" i="21"/>
  <c r="AB41" i="21"/>
  <c r="S41" i="21"/>
  <c r="AA41" i="21"/>
  <c r="F45" i="39"/>
  <c r="S45" i="39" s="1"/>
  <c r="J44" i="39"/>
  <c r="F36" i="39"/>
  <c r="S36" i="39" s="1"/>
  <c r="H36" i="39"/>
  <c r="AB36" i="39" s="1"/>
  <c r="F35" i="39"/>
  <c r="J36" i="39"/>
  <c r="AC36" i="39" s="1"/>
  <c r="W40" i="39"/>
  <c r="W25" i="37"/>
  <c r="U30" i="37"/>
  <c r="F103" i="37"/>
  <c r="G103" i="37" s="1"/>
  <c r="H103" i="37" s="1"/>
  <c r="I103" i="37" s="1"/>
  <c r="J103" i="37" s="1"/>
  <c r="K103" i="37" s="1"/>
  <c r="L103" i="37" s="1"/>
  <c r="M103" i="37" s="1"/>
  <c r="U14" i="37"/>
  <c r="F29" i="36"/>
  <c r="AA29" i="36"/>
  <c r="W8" i="36"/>
  <c r="F16" i="36"/>
  <c r="AA16" i="36" s="1"/>
  <c r="U9" i="36"/>
  <c r="W28" i="36"/>
  <c r="S30" i="36"/>
  <c r="AA31" i="36"/>
  <c r="W31" i="36"/>
  <c r="U31" i="36"/>
  <c r="J33" i="36"/>
  <c r="H22" i="35"/>
  <c r="AB22" i="35" s="1"/>
  <c r="AC27" i="35"/>
  <c r="W22" i="35"/>
  <c r="S31" i="35"/>
  <c r="F36" i="34"/>
  <c r="J35" i="34"/>
  <c r="W9" i="34"/>
  <c r="S34" i="34"/>
  <c r="H39" i="33"/>
  <c r="AB39" i="33" s="1"/>
  <c r="F26" i="33"/>
  <c r="AA26" i="33" s="1"/>
  <c r="U33" i="33"/>
  <c r="U35" i="33"/>
  <c r="W33" i="33"/>
  <c r="W39" i="33"/>
  <c r="S27" i="35"/>
  <c r="F11" i="40"/>
  <c r="AA11" i="40" s="1"/>
  <c r="H11" i="40"/>
  <c r="AB11" i="40" s="1"/>
  <c r="W8" i="40"/>
  <c r="AC40" i="40"/>
  <c r="AA9" i="40"/>
  <c r="AC9" i="40"/>
  <c r="U9" i="40"/>
  <c r="S34" i="40"/>
  <c r="W31" i="40"/>
  <c r="U34" i="40"/>
  <c r="S38" i="40"/>
  <c r="U40" i="40"/>
  <c r="F42" i="39"/>
  <c r="AA42" i="39" s="1"/>
  <c r="F41" i="39"/>
  <c r="AA41" i="39" s="1"/>
  <c r="S41" i="39"/>
  <c r="H40" i="39"/>
  <c r="H39" i="39"/>
  <c r="U39" i="39"/>
  <c r="S38" i="39"/>
  <c r="H34" i="39"/>
  <c r="U34" i="39" s="1"/>
  <c r="E109" i="39"/>
  <c r="F109" i="39" s="1"/>
  <c r="G109" i="39" s="1"/>
  <c r="H109" i="39" s="1"/>
  <c r="I109" i="39" s="1"/>
  <c r="J109" i="39" s="1"/>
  <c r="K109" i="39" s="1"/>
  <c r="L109" i="39" s="1"/>
  <c r="M109" i="39" s="1"/>
  <c r="E101" i="39"/>
  <c r="F101" i="39" s="1"/>
  <c r="G101" i="39" s="1"/>
  <c r="H19" i="39"/>
  <c r="AB19" i="39" s="1"/>
  <c r="F19" i="39"/>
  <c r="AA19" i="39"/>
  <c r="H17" i="39"/>
  <c r="AB17" i="39" s="1"/>
  <c r="F17" i="39"/>
  <c r="AA17" i="39"/>
  <c r="J23" i="40"/>
  <c r="AC23" i="40" s="1"/>
  <c r="F21" i="40"/>
  <c r="AA21" i="40" s="1"/>
  <c r="J21" i="40"/>
  <c r="W21" i="40" s="1"/>
  <c r="H42" i="39"/>
  <c r="AB42" i="39"/>
  <c r="J34" i="39"/>
  <c r="AC34" i="39" s="1"/>
  <c r="H27" i="39"/>
  <c r="U27" i="39"/>
  <c r="J19" i="39"/>
  <c r="AC19" i="39" s="1"/>
  <c r="J17" i="39"/>
  <c r="W17" i="39" s="1"/>
  <c r="J27" i="39"/>
  <c r="AC27" i="39" s="1"/>
  <c r="F27" i="39"/>
  <c r="F11" i="21"/>
  <c r="S11" i="21"/>
  <c r="U34" i="21"/>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F37" i="39"/>
  <c r="AA37" i="39" s="1"/>
  <c r="J34" i="36"/>
  <c r="W34" i="36" s="1"/>
  <c r="U30" i="36"/>
  <c r="J30" i="35"/>
  <c r="W30" i="35"/>
  <c r="H30" i="35"/>
  <c r="U30" i="35" s="1"/>
  <c r="AB30" i="35"/>
  <c r="F22" i="35"/>
  <c r="AA22" i="35"/>
  <c r="H10" i="35"/>
  <c r="U10" i="35"/>
  <c r="F33" i="36"/>
  <c r="AA33" i="36" s="1"/>
  <c r="H16" i="36"/>
  <c r="AB16" i="36" s="1"/>
  <c r="E85" i="36"/>
  <c r="F85" i="36"/>
  <c r="G85" i="36" s="1"/>
  <c r="H85" i="36" s="1"/>
  <c r="I85" i="36" s="1"/>
  <c r="J85" i="36" s="1"/>
  <c r="K85" i="36" s="1"/>
  <c r="L85" i="36" s="1"/>
  <c r="M85" i="36" s="1"/>
  <c r="J29" i="36"/>
  <c r="AC29" i="36" s="1"/>
  <c r="F24" i="36"/>
  <c r="AA24" i="36"/>
  <c r="F34" i="36"/>
  <c r="S34" i="36" s="1"/>
  <c r="AB8" i="36"/>
  <c r="S8" i="36"/>
  <c r="F14" i="35"/>
  <c r="AA14" i="35" s="1"/>
  <c r="J32" i="35"/>
  <c r="AC32" i="35" s="1"/>
  <c r="J16" i="35"/>
  <c r="AC16" i="35" s="1"/>
  <c r="H16" i="35"/>
  <c r="U16" i="35"/>
  <c r="F16" i="35"/>
  <c r="S16" i="35" s="1"/>
  <c r="H14" i="35"/>
  <c r="AB14" i="35"/>
  <c r="J29" i="35"/>
  <c r="W29" i="35" s="1"/>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c r="F37" i="34"/>
  <c r="AA37" i="34" s="1"/>
  <c r="S35" i="34"/>
  <c r="F28" i="34"/>
  <c r="F27" i="34"/>
  <c r="AA27" i="34" s="1"/>
  <c r="F25" i="34"/>
  <c r="S25" i="34" s="1"/>
  <c r="H23" i="34"/>
  <c r="U23" i="34" s="1"/>
  <c r="J23" i="34"/>
  <c r="F19" i="34"/>
  <c r="AA19" i="34" s="1"/>
  <c r="H17" i="34"/>
  <c r="U17" i="34" s="1"/>
  <c r="F15" i="34"/>
  <c r="S15" i="34" s="1"/>
  <c r="J15" i="34"/>
  <c r="W15" i="34" s="1"/>
  <c r="H15" i="34"/>
  <c r="AB15" i="34" s="1"/>
  <c r="W8" i="34"/>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U8" i="33"/>
  <c r="S8" i="33"/>
  <c r="F37" i="40"/>
  <c r="AA37" i="40" s="1"/>
  <c r="F36" i="40"/>
  <c r="AA36" i="40"/>
  <c r="H28" i="40"/>
  <c r="U28" i="40" s="1"/>
  <c r="F23" i="40"/>
  <c r="AA23" i="40" s="1"/>
  <c r="F17" i="40"/>
  <c r="AA17" i="40" s="1"/>
  <c r="J17" i="40"/>
  <c r="AC17" i="40" s="1"/>
  <c r="W17" i="40"/>
  <c r="F15" i="40"/>
  <c r="S15" i="40" s="1"/>
  <c r="H15" i="40"/>
  <c r="AB15" i="40"/>
  <c r="AC11" i="40"/>
  <c r="AB30" i="36"/>
  <c r="AC34" i="36"/>
  <c r="U33" i="35"/>
  <c r="F29" i="35"/>
  <c r="S29" i="35" s="1"/>
  <c r="H29" i="35"/>
  <c r="AB29" i="35" s="1"/>
  <c r="H33" i="37"/>
  <c r="AB33" i="37" s="1"/>
  <c r="F33" i="37"/>
  <c r="AA33" i="37" s="1"/>
  <c r="W33" i="37"/>
  <c r="AA34" i="37"/>
  <c r="J43" i="34"/>
  <c r="J40" i="34"/>
  <c r="F114" i="34"/>
  <c r="G114" i="34" s="1"/>
  <c r="H114" i="34" s="1"/>
  <c r="I114" i="34" s="1"/>
  <c r="J114" i="34" s="1"/>
  <c r="K114" i="34" s="1"/>
  <c r="L114" i="34" s="1"/>
  <c r="M114" i="34" s="1"/>
  <c r="H38" i="34"/>
  <c r="AB38" i="34" s="1"/>
  <c r="J36" i="34"/>
  <c r="AC36" i="34" s="1"/>
  <c r="W36" i="34"/>
  <c r="H37" i="34"/>
  <c r="U37" i="34" s="1"/>
  <c r="H25" i="34"/>
  <c r="AB25" i="34"/>
  <c r="J25" i="34"/>
  <c r="AC25" i="34" s="1"/>
  <c r="AB23" i="34"/>
  <c r="F23" i="34"/>
  <c r="AA23" i="34" s="1"/>
  <c r="J19" i="34"/>
  <c r="AC19" i="34" s="1"/>
  <c r="F17" i="34"/>
  <c r="AA17" i="34" s="1"/>
  <c r="J17" i="34"/>
  <c r="W17" i="34" s="1"/>
  <c r="AB17" i="34"/>
  <c r="AA15" i="34"/>
  <c r="S41" i="33"/>
  <c r="H37" i="33"/>
  <c r="AB37" i="33" s="1"/>
  <c r="H15" i="33"/>
  <c r="AB15" i="33" s="1"/>
  <c r="H11" i="33"/>
  <c r="F28" i="40"/>
  <c r="AA28" i="40" s="1"/>
  <c r="AA29" i="35"/>
  <c r="AA42" i="34"/>
  <c r="S42" i="34"/>
  <c r="AC38" i="34"/>
  <c r="J37" i="34"/>
  <c r="AC37" i="34"/>
  <c r="J11" i="33"/>
  <c r="W11" i="33" s="1"/>
  <c r="J42" i="21"/>
  <c r="AC42" i="21" s="1"/>
  <c r="H42" i="21"/>
  <c r="U42" i="21" s="1"/>
  <c r="J44" i="34"/>
  <c r="F44" i="34"/>
  <c r="S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E119" i="21"/>
  <c r="F119" i="21" s="1"/>
  <c r="G119" i="21" s="1"/>
  <c r="H119" i="21" s="1"/>
  <c r="I119" i="21" s="1"/>
  <c r="J119" i="21" s="1"/>
  <c r="K119" i="21" s="1"/>
  <c r="L119" i="21" s="1"/>
  <c r="M119" i="21" s="1"/>
  <c r="H26" i="33"/>
  <c r="U26" i="33" s="1"/>
  <c r="F28" i="33"/>
  <c r="AA28" i="33" s="1"/>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s="1"/>
  <c r="J13" i="33"/>
  <c r="W13" i="33" s="1"/>
  <c r="H13" i="33"/>
  <c r="F13" i="33"/>
  <c r="AA13" i="33" s="1"/>
  <c r="S13" i="33"/>
  <c r="J29" i="33"/>
  <c r="AC29" i="33" s="1"/>
  <c r="H29" i="33"/>
  <c r="U29" i="33" s="1"/>
  <c r="F29" i="33"/>
  <c r="S29" i="33" s="1"/>
  <c r="J31" i="33"/>
  <c r="AC31" i="33" s="1"/>
  <c r="W31" i="33"/>
  <c r="H31" i="33"/>
  <c r="U31" i="33" s="1"/>
  <c r="H45" i="33"/>
  <c r="U45" i="33"/>
  <c r="J45" i="33"/>
  <c r="W45" i="33" s="1"/>
  <c r="AA45" i="33"/>
  <c r="J14" i="34"/>
  <c r="W14" i="34" s="1"/>
  <c r="F14" i="34"/>
  <c r="H14" i="34"/>
  <c r="U14" i="34" s="1"/>
  <c r="F30" i="34"/>
  <c r="S30" i="34" s="1"/>
  <c r="J30" i="34"/>
  <c r="W30" i="34" s="1"/>
  <c r="H32" i="34"/>
  <c r="AB32" i="34" s="1"/>
  <c r="F32" i="34"/>
  <c r="AA32" i="34" s="1"/>
  <c r="J32" i="34"/>
  <c r="W32" i="34" s="1"/>
  <c r="H46" i="34"/>
  <c r="U46" i="34"/>
  <c r="F46" i="34"/>
  <c r="AA46" i="34" s="1"/>
  <c r="H11" i="35"/>
  <c r="U11" i="35" s="1"/>
  <c r="J11" i="35"/>
  <c r="AC11" i="35" s="1"/>
  <c r="F11" i="35"/>
  <c r="AA11" i="35" s="1"/>
  <c r="S11" i="35"/>
  <c r="J26" i="36"/>
  <c r="W26" i="36" s="1"/>
  <c r="H28" i="36"/>
  <c r="U28" i="36"/>
  <c r="H32" i="36"/>
  <c r="AB32" i="36" s="1"/>
  <c r="J32" i="36"/>
  <c r="W32" i="36"/>
  <c r="J11" i="36"/>
  <c r="H11" i="36"/>
  <c r="F11" i="36"/>
  <c r="H13" i="36"/>
  <c r="AB13" i="36"/>
  <c r="J13" i="36"/>
  <c r="E89" i="37"/>
  <c r="F89" i="37" s="1"/>
  <c r="G89" i="37" s="1"/>
  <c r="H89" i="37" s="1"/>
  <c r="I89" i="37" s="1"/>
  <c r="J89" i="37" s="1"/>
  <c r="K89" i="37" s="1"/>
  <c r="L89" i="37" s="1"/>
  <c r="M89" i="37" s="1"/>
  <c r="J29" i="37"/>
  <c r="W29" i="37"/>
  <c r="F29" i="37"/>
  <c r="S29" i="37"/>
  <c r="F105" i="37"/>
  <c r="G105" i="37" s="1"/>
  <c r="H36" i="37"/>
  <c r="AB36" i="37" s="1"/>
  <c r="J37" i="37"/>
  <c r="AC37" i="37"/>
  <c r="H37" i="37"/>
  <c r="U37" i="37" s="1"/>
  <c r="H40" i="37"/>
  <c r="U40" i="37" s="1"/>
  <c r="J40" i="37"/>
  <c r="F40" i="37"/>
  <c r="AA40" i="37"/>
  <c r="AC12" i="40"/>
  <c r="W12" i="40"/>
  <c r="H14" i="33"/>
  <c r="U14" i="33"/>
  <c r="F14" i="33"/>
  <c r="S14" i="33" s="1"/>
  <c r="J14" i="33"/>
  <c r="W14" i="33" s="1"/>
  <c r="H30" i="33"/>
  <c r="AB30" i="33" s="1"/>
  <c r="F30" i="33"/>
  <c r="H44" i="33"/>
  <c r="J44" i="33"/>
  <c r="AC44" i="33" s="1"/>
  <c r="F44" i="33"/>
  <c r="S44" i="33"/>
  <c r="J46" i="33"/>
  <c r="AC46" i="33" s="1"/>
  <c r="AA46" i="33"/>
  <c r="H46" i="33"/>
  <c r="AB46" i="33"/>
  <c r="H13" i="34"/>
  <c r="U13" i="34"/>
  <c r="J13" i="34"/>
  <c r="W13" i="34"/>
  <c r="F13" i="34"/>
  <c r="AA13" i="34"/>
  <c r="J29" i="34"/>
  <c r="F29" i="34"/>
  <c r="S29" i="34" s="1"/>
  <c r="J31" i="34"/>
  <c r="H31" i="34"/>
  <c r="AB31" i="34" s="1"/>
  <c r="F31" i="34"/>
  <c r="S31" i="34" s="1"/>
  <c r="J45" i="34"/>
  <c r="W45" i="34" s="1"/>
  <c r="F45" i="34"/>
  <c r="S45" i="34" s="1"/>
  <c r="H47" i="34"/>
  <c r="U47" i="34" s="1"/>
  <c r="F47" i="34"/>
  <c r="S47" i="34" s="1"/>
  <c r="J47" i="34"/>
  <c r="F13" i="35"/>
  <c r="J13" i="35"/>
  <c r="AC13" i="35" s="1"/>
  <c r="J25" i="35"/>
  <c r="W25" i="35" s="1"/>
  <c r="F25" i="35"/>
  <c r="S25" i="35" s="1"/>
  <c r="H25" i="35"/>
  <c r="AB25" i="35" s="1"/>
  <c r="F35" i="35"/>
  <c r="AA35" i="35" s="1"/>
  <c r="H35" i="35"/>
  <c r="AB35" i="35" s="1"/>
  <c r="J25" i="36"/>
  <c r="W25" i="36" s="1"/>
  <c r="H25" i="36"/>
  <c r="AB25" i="36" s="1"/>
  <c r="H13" i="37"/>
  <c r="AB13" i="37" s="1"/>
  <c r="F13" i="37"/>
  <c r="S13" i="37" s="1"/>
  <c r="J13" i="37"/>
  <c r="W13" i="37" s="1"/>
  <c r="F28" i="37"/>
  <c r="AA28" i="37" s="1"/>
  <c r="J28" i="37"/>
  <c r="J38" i="37"/>
  <c r="AC38" i="37" s="1"/>
  <c r="F38" i="37"/>
  <c r="S38" i="37" s="1"/>
  <c r="F43" i="39"/>
  <c r="AA43" i="39" s="1"/>
  <c r="J14" i="39"/>
  <c r="AC14" i="39"/>
  <c r="F14" i="39"/>
  <c r="S14" i="39" s="1"/>
  <c r="H14" i="39"/>
  <c r="AB14" i="39" s="1"/>
  <c r="F12" i="40"/>
  <c r="S12" i="40" s="1"/>
  <c r="H12" i="40"/>
  <c r="AB12" i="40" s="1"/>
  <c r="H30" i="40"/>
  <c r="AB30" i="40" s="1"/>
  <c r="J35" i="40"/>
  <c r="AC35" i="40"/>
  <c r="J37" i="40"/>
  <c r="AC37" i="40"/>
  <c r="J13" i="40"/>
  <c r="F14" i="37"/>
  <c r="S14" i="37"/>
  <c r="F27" i="37"/>
  <c r="AA27" i="37"/>
  <c r="H14" i="40"/>
  <c r="AB14" i="40"/>
  <c r="J14" i="40"/>
  <c r="W14" i="40" s="1"/>
  <c r="F14" i="40"/>
  <c r="AA14" i="40" s="1"/>
  <c r="J14" i="37"/>
  <c r="J27" i="37"/>
  <c r="AC27" i="37"/>
  <c r="AA44" i="33"/>
  <c r="U46" i="33"/>
  <c r="AA14" i="33"/>
  <c r="J36" i="37"/>
  <c r="AC36" i="37" s="1"/>
  <c r="AB11" i="35"/>
  <c r="J10" i="36"/>
  <c r="AC10" i="36" s="1"/>
  <c r="AB26" i="33"/>
  <c r="AB30" i="21"/>
  <c r="AA14" i="37"/>
  <c r="AC13" i="36"/>
  <c r="W13" i="36"/>
  <c r="W11" i="35"/>
  <c r="AB46" i="34"/>
  <c r="AC30" i="34"/>
  <c r="AB45" i="33"/>
  <c r="AB31" i="33"/>
  <c r="W29" i="33"/>
  <c r="AC28" i="21"/>
  <c r="F17" i="21"/>
  <c r="AA17" i="21" s="1"/>
  <c r="H17" i="21"/>
  <c r="AB17" i="21" s="1"/>
  <c r="F15" i="21"/>
  <c r="S15" i="21" s="1"/>
  <c r="AB11" i="21"/>
  <c r="J41" i="39"/>
  <c r="W41" i="39" s="1"/>
  <c r="W36" i="39"/>
  <c r="U36" i="39"/>
  <c r="G544" i="3"/>
  <c r="G540" i="3"/>
  <c r="G536" i="3"/>
  <c r="G532" i="3"/>
  <c r="G531" i="3"/>
  <c r="G528" i="3"/>
  <c r="G523" i="3"/>
  <c r="G518" i="3"/>
  <c r="G514" i="3"/>
  <c r="G508" i="3"/>
  <c r="G504" i="3"/>
  <c r="G500" i="3"/>
  <c r="G584" i="3"/>
  <c r="G580" i="3"/>
  <c r="G568" i="3"/>
  <c r="G560" i="3"/>
  <c r="BL584" i="3"/>
  <c r="BL580" i="3"/>
  <c r="BL572" i="3"/>
  <c r="BL564" i="3"/>
  <c r="BL546" i="3"/>
  <c r="BL534" i="3"/>
  <c r="BL530" i="3"/>
  <c r="BL526" i="3"/>
  <c r="BL516" i="3"/>
  <c r="BL512" i="3"/>
  <c r="BL506" i="3"/>
  <c r="AZ506" i="3" s="1"/>
  <c r="BL498" i="3"/>
  <c r="BL494" i="3"/>
  <c r="BL582" i="3"/>
  <c r="BL574" i="3"/>
  <c r="BL570" i="3"/>
  <c r="BL544" i="3"/>
  <c r="BL536" i="3"/>
  <c r="G533" i="3"/>
  <c r="BL532" i="3"/>
  <c r="BL528" i="3"/>
  <c r="G525" i="3"/>
  <c r="BL524" i="3"/>
  <c r="BL514" i="3"/>
  <c r="AZ514" i="3" s="1"/>
  <c r="BL510" i="3"/>
  <c r="BL504" i="3"/>
  <c r="BL496" i="3"/>
  <c r="G493" i="3"/>
  <c r="BA584" i="3"/>
  <c r="AZ584" i="3" s="1"/>
  <c r="BA580" i="3"/>
  <c r="AZ580" i="3"/>
  <c r="BA572" i="3"/>
  <c r="BA568" i="3"/>
  <c r="AZ568" i="3" s="1"/>
  <c r="BA544" i="3"/>
  <c r="AZ544" i="3" s="1"/>
  <c r="BA542" i="3"/>
  <c r="AZ542" i="3" s="1"/>
  <c r="BA540" i="3"/>
  <c r="BA536" i="3"/>
  <c r="AZ536" i="3" s="1"/>
  <c r="BA534" i="3"/>
  <c r="AZ534" i="3" s="1"/>
  <c r="BA532" i="3"/>
  <c r="BA528" i="3"/>
  <c r="BA526" i="3"/>
  <c r="AZ526" i="3" s="1"/>
  <c r="BA524" i="3"/>
  <c r="AZ524" i="3" s="1"/>
  <c r="BA522" i="3"/>
  <c r="BA518" i="3"/>
  <c r="BA516" i="3"/>
  <c r="AZ516" i="3" s="1"/>
  <c r="BA514" i="3"/>
  <c r="BA512" i="3"/>
  <c r="AZ512" i="3" s="1"/>
  <c r="BA510" i="3"/>
  <c r="AZ510" i="3" s="1"/>
  <c r="BA506" i="3"/>
  <c r="BA504" i="3"/>
  <c r="AZ504" i="3" s="1"/>
  <c r="BA502" i="3"/>
  <c r="BA498" i="3"/>
  <c r="AZ498" i="3" s="1"/>
  <c r="BA496" i="3"/>
  <c r="BA494" i="3"/>
  <c r="BA583" i="3"/>
  <c r="AZ583" i="3" s="1"/>
  <c r="BA581" i="3"/>
  <c r="BA579" i="3"/>
  <c r="BA573" i="3"/>
  <c r="BA571" i="3"/>
  <c r="BA567" i="3"/>
  <c r="BA547" i="3"/>
  <c r="BA545" i="3"/>
  <c r="BA543" i="3"/>
  <c r="BA537" i="3"/>
  <c r="BA535" i="3"/>
  <c r="BA531" i="3"/>
  <c r="BA529" i="3"/>
  <c r="BA527" i="3"/>
  <c r="BA523" i="3"/>
  <c r="BA519" i="3"/>
  <c r="BA517" i="3"/>
  <c r="BA513" i="3"/>
  <c r="BA511" i="3"/>
  <c r="BA507" i="3"/>
  <c r="BA503" i="3"/>
  <c r="BA501" i="3"/>
  <c r="BA499" i="3"/>
  <c r="BA495" i="3"/>
  <c r="BA493" i="3"/>
  <c r="G581" i="3"/>
  <c r="G579" i="3"/>
  <c r="G573" i="3"/>
  <c r="G571" i="3"/>
  <c r="G569" i="3"/>
  <c r="G563" i="3"/>
  <c r="G561" i="3"/>
  <c r="AC557" i="3"/>
  <c r="BQ557" i="3"/>
  <c r="BQ583" i="3"/>
  <c r="BL583" i="3"/>
  <c r="BQ581" i="3"/>
  <c r="BQ579" i="3"/>
  <c r="BL579" i="3" s="1"/>
  <c r="AZ579" i="3" s="1"/>
  <c r="BQ577" i="3"/>
  <c r="BL577" i="3"/>
  <c r="BQ575" i="3"/>
  <c r="BQ573" i="3"/>
  <c r="BQ571" i="3"/>
  <c r="BL571" i="3" s="1"/>
  <c r="AZ571" i="3" s="1"/>
  <c r="BQ569" i="3"/>
  <c r="BL569" i="3"/>
  <c r="BQ567" i="3"/>
  <c r="BQ565" i="3"/>
  <c r="BQ563" i="3"/>
  <c r="BQ561" i="3"/>
  <c r="BQ559" i="3"/>
  <c r="G559" i="3"/>
  <c r="G555" i="3"/>
  <c r="G553" i="3"/>
  <c r="G547" i="3"/>
  <c r="G545" i="3"/>
  <c r="G543" i="3"/>
  <c r="G539" i="3"/>
  <c r="G537" i="3"/>
  <c r="BQ555" i="3"/>
  <c r="BL555" i="3" s="1"/>
  <c r="BQ553" i="3"/>
  <c r="BQ551" i="3"/>
  <c r="BQ549" i="3"/>
  <c r="BL549" i="3" s="1"/>
  <c r="BQ547" i="3"/>
  <c r="BL547" i="3"/>
  <c r="BQ545" i="3"/>
  <c r="BQ543" i="3"/>
  <c r="BQ541" i="3"/>
  <c r="BL541" i="3" s="1"/>
  <c r="BQ539" i="3"/>
  <c r="BQ537" i="3"/>
  <c r="BQ535" i="3"/>
  <c r="BL535" i="3" s="1"/>
  <c r="AZ535" i="3" s="1"/>
  <c r="BQ533" i="3"/>
  <c r="BL533" i="3" s="1"/>
  <c r="BQ531" i="3"/>
  <c r="BL531" i="3"/>
  <c r="AZ531" i="3" s="1"/>
  <c r="BQ529" i="3"/>
  <c r="BL529" i="3" s="1"/>
  <c r="AZ529" i="3" s="1"/>
  <c r="BQ527" i="3"/>
  <c r="BQ525" i="3"/>
  <c r="BL525" i="3" s="1"/>
  <c r="BQ523" i="3"/>
  <c r="BL523" i="3" s="1"/>
  <c r="AZ523" i="3" s="1"/>
  <c r="AC521" i="3"/>
  <c r="G521" i="3" s="1"/>
  <c r="BQ521" i="3"/>
  <c r="BL521" i="3" s="1"/>
  <c r="BL520" i="3"/>
  <c r="G517" i="3"/>
  <c r="G515" i="3"/>
  <c r="G513" i="3"/>
  <c r="BQ519" i="3"/>
  <c r="BL519" i="3" s="1"/>
  <c r="BQ517" i="3"/>
  <c r="BL517" i="3" s="1"/>
  <c r="AZ517" i="3" s="1"/>
  <c r="BQ515" i="3"/>
  <c r="BL515" i="3"/>
  <c r="BQ513" i="3"/>
  <c r="BL513" i="3" s="1"/>
  <c r="BQ511" i="3"/>
  <c r="BA509" i="3"/>
  <c r="AC509" i="3"/>
  <c r="BQ509" i="3"/>
  <c r="BL509" i="3" s="1"/>
  <c r="G507" i="3"/>
  <c r="G505" i="3"/>
  <c r="G503" i="3"/>
  <c r="G499" i="3"/>
  <c r="G497" i="3"/>
  <c r="G495" i="3"/>
  <c r="BQ507" i="3"/>
  <c r="BL507" i="3"/>
  <c r="AZ507" i="3" s="1"/>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s="1"/>
  <c r="F125" i="33"/>
  <c r="G125" i="33" s="1"/>
  <c r="H43" i="33"/>
  <c r="AB43" i="33"/>
  <c r="H17" i="37"/>
  <c r="U17" i="37" s="1"/>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AA41" i="34"/>
  <c r="H19" i="37"/>
  <c r="AB19" i="37"/>
  <c r="H42" i="33"/>
  <c r="AB42" i="33" s="1"/>
  <c r="J43" i="33"/>
  <c r="AC43" i="33" s="1"/>
  <c r="U43" i="33"/>
  <c r="S28" i="31"/>
  <c r="S27" i="31"/>
  <c r="S26" i="31"/>
  <c r="S22" i="31" s="1"/>
  <c r="R22" i="31" s="1"/>
  <c r="B21" i="31" s="1"/>
  <c r="U14" i="40"/>
  <c r="AC32" i="36"/>
  <c r="U35" i="35"/>
  <c r="AB28" i="37"/>
  <c r="U33" i="37"/>
  <c r="AC8" i="37"/>
  <c r="U26" i="37"/>
  <c r="AB13" i="34"/>
  <c r="W37" i="34"/>
  <c r="AB37" i="34"/>
  <c r="U19" i="21"/>
  <c r="W44" i="21"/>
  <c r="U26" i="21"/>
  <c r="AB38" i="21"/>
  <c r="F43" i="33"/>
  <c r="AA43" i="33"/>
  <c r="AC15" i="34"/>
  <c r="W16" i="35"/>
  <c r="H107" i="37"/>
  <c r="I107" i="37" s="1"/>
  <c r="J107" i="37" s="1"/>
  <c r="K107" i="37" s="1"/>
  <c r="L107" i="37" s="1"/>
  <c r="M107" i="37" s="1"/>
  <c r="H37" i="21"/>
  <c r="U37" i="21" s="1"/>
  <c r="S42" i="21"/>
  <c r="H19" i="34"/>
  <c r="AB19" i="34"/>
  <c r="F36" i="35"/>
  <c r="S36" i="35"/>
  <c r="J9" i="37"/>
  <c r="W9" i="37"/>
  <c r="H9" i="37"/>
  <c r="AB9" i="37"/>
  <c r="F9" i="37"/>
  <c r="S9" i="37"/>
  <c r="F15" i="37"/>
  <c r="AA15" i="37" s="1"/>
  <c r="E94" i="37"/>
  <c r="F94" i="37" s="1"/>
  <c r="G94" i="37" s="1"/>
  <c r="H94" i="37" s="1"/>
  <c r="I94" i="37" s="1"/>
  <c r="J94" i="37" s="1"/>
  <c r="K94" i="37" s="1"/>
  <c r="L94" i="37" s="1"/>
  <c r="M94" i="37" s="1"/>
  <c r="F31" i="37"/>
  <c r="S31" i="37" s="1"/>
  <c r="F12" i="39"/>
  <c r="S12" i="39" s="1"/>
  <c r="J42" i="39"/>
  <c r="AC42" i="39" s="1"/>
  <c r="H21" i="40"/>
  <c r="AB21" i="40"/>
  <c r="H31" i="37"/>
  <c r="U31" i="37" s="1"/>
  <c r="F71" i="37"/>
  <c r="G71" i="37" s="1"/>
  <c r="J15" i="37"/>
  <c r="W15" i="37" s="1"/>
  <c r="AT6" i="3"/>
  <c r="AA25" i="21"/>
  <c r="C12" i="43"/>
  <c r="H19" i="40"/>
  <c r="U19" i="40" s="1"/>
  <c r="F88" i="40"/>
  <c r="G88" i="40" s="1"/>
  <c r="F19" i="40"/>
  <c r="S19" i="40" s="1"/>
  <c r="S14" i="40"/>
  <c r="W23" i="39"/>
  <c r="H37" i="39"/>
  <c r="AB37" i="39"/>
  <c r="W37" i="39"/>
  <c r="H25" i="39"/>
  <c r="AB25" i="39"/>
  <c r="J25" i="39"/>
  <c r="F25" i="39"/>
  <c r="AA25" i="39" s="1"/>
  <c r="F15" i="39"/>
  <c r="AA15" i="39" s="1"/>
  <c r="H15" i="39"/>
  <c r="U15" i="39" s="1"/>
  <c r="J15" i="39"/>
  <c r="W15" i="39" s="1"/>
  <c r="H41" i="39"/>
  <c r="U41" i="39" s="1"/>
  <c r="W27" i="39"/>
  <c r="AB34" i="39"/>
  <c r="S42" i="39"/>
  <c r="W14" i="39"/>
  <c r="W9" i="39"/>
  <c r="W8" i="39"/>
  <c r="J19" i="40"/>
  <c r="AC19" i="40" s="1"/>
  <c r="J50" i="40"/>
  <c r="B54" i="72"/>
  <c r="H103" i="9"/>
  <c r="D8" i="53" s="1"/>
  <c r="D9" i="53" s="1"/>
  <c r="B25" i="72" s="1"/>
  <c r="B16" i="53"/>
  <c r="B33" i="72"/>
  <c r="W35" i="40"/>
  <c r="J11" i="39"/>
  <c r="W11" i="39" s="1"/>
  <c r="F11" i="39"/>
  <c r="AA11" i="39" s="1"/>
  <c r="S11" i="39"/>
  <c r="G4" i="4"/>
  <c r="I4" i="4"/>
  <c r="K5" i="4"/>
  <c r="B47" i="48" s="1"/>
  <c r="F59" i="43"/>
  <c r="H65" i="43" s="1"/>
  <c r="AZ20" i="3"/>
  <c r="AZ494" i="3"/>
  <c r="G546" i="3"/>
  <c r="G524" i="3"/>
  <c r="G303" i="3"/>
  <c r="BL304" i="3"/>
  <c r="G305" i="3"/>
  <c r="BL306" i="3"/>
  <c r="BA308" i="3"/>
  <c r="AZ308" i="3" s="1"/>
  <c r="BA309" i="3"/>
  <c r="BL309" i="3"/>
  <c r="G310" i="3"/>
  <c r="BA311" i="3"/>
  <c r="G319" i="3"/>
  <c r="BL320" i="3"/>
  <c r="G321" i="3"/>
  <c r="BL322" i="3"/>
  <c r="BA324" i="3"/>
  <c r="AZ324" i="3"/>
  <c r="BA325" i="3"/>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AZ362" i="3"/>
  <c r="G370" i="3"/>
  <c r="BL371" i="3"/>
  <c r="G372" i="3"/>
  <c r="BL373" i="3"/>
  <c r="BA375" i="3"/>
  <c r="BA376" i="3"/>
  <c r="BL376" i="3"/>
  <c r="AZ376" i="3" s="1"/>
  <c r="G377" i="3"/>
  <c r="BA378" i="3"/>
  <c r="AZ378" i="3" s="1"/>
  <c r="BL378" i="3"/>
  <c r="G379" i="3"/>
  <c r="BA380" i="3"/>
  <c r="G388" i="3"/>
  <c r="BL389" i="3"/>
  <c r="G390" i="3"/>
  <c r="BL391" i="3"/>
  <c r="BA393" i="3"/>
  <c r="BA394" i="3"/>
  <c r="BL394" i="3"/>
  <c r="AZ394" i="3" s="1"/>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BL140" i="3"/>
  <c r="AZ140" i="3"/>
  <c r="G141" i="3"/>
  <c r="BA143" i="3"/>
  <c r="AZ143" i="3" s="1"/>
  <c r="BL144" i="3"/>
  <c r="G145" i="3"/>
  <c r="BA147" i="3"/>
  <c r="BL148" i="3"/>
  <c r="G149" i="3"/>
  <c r="BA151" i="3"/>
  <c r="BL152" i="3"/>
  <c r="G153" i="3"/>
  <c r="BA155" i="3"/>
  <c r="AZ155" i="3"/>
  <c r="BL156" i="3"/>
  <c r="G157" i="3"/>
  <c r="BA159" i="3"/>
  <c r="BL160" i="3"/>
  <c r="AZ160" i="3" s="1"/>
  <c r="G161" i="3"/>
  <c r="BA163" i="3"/>
  <c r="BL164" i="3"/>
  <c r="AZ164" i="3" s="1"/>
  <c r="G165" i="3"/>
  <c r="BA167" i="3"/>
  <c r="BL168" i="3"/>
  <c r="AZ168" i="3" s="1"/>
  <c r="G169" i="3"/>
  <c r="BA171" i="3"/>
  <c r="AZ171" i="3"/>
  <c r="BL172" i="3"/>
  <c r="G173" i="3"/>
  <c r="BA175" i="3"/>
  <c r="BL176" i="3"/>
  <c r="G177" i="3"/>
  <c r="BA179" i="3"/>
  <c r="BL180" i="3"/>
  <c r="AZ180" i="3" s="1"/>
  <c r="G181" i="3"/>
  <c r="BA183" i="3"/>
  <c r="AZ183" i="3" s="1"/>
  <c r="BL184" i="3"/>
  <c r="G185" i="3"/>
  <c r="BA187" i="3"/>
  <c r="AZ187" i="3"/>
  <c r="BL188" i="3"/>
  <c r="G189" i="3"/>
  <c r="BA191" i="3"/>
  <c r="AZ191" i="3" s="1"/>
  <c r="BL192" i="3"/>
  <c r="G193" i="3"/>
  <c r="BA195" i="3"/>
  <c r="BL196" i="3"/>
  <c r="G197" i="3"/>
  <c r="BA199" i="3"/>
  <c r="BL200" i="3"/>
  <c r="AZ200" i="3" s="1"/>
  <c r="G201" i="3"/>
  <c r="BA203" i="3"/>
  <c r="AZ203" i="3"/>
  <c r="BL204" i="3"/>
  <c r="AZ71" i="3"/>
  <c r="AZ83" i="3"/>
  <c r="AZ144" i="3"/>
  <c r="AZ152" i="3"/>
  <c r="AZ176" i="3"/>
  <c r="AZ85" i="3"/>
  <c r="AZ93" i="3"/>
  <c r="AZ97" i="3"/>
  <c r="G534" i="3"/>
  <c r="G530" i="3"/>
  <c r="G522" i="3"/>
  <c r="G516" i="3"/>
  <c r="G512" i="3"/>
  <c r="G506" i="3"/>
  <c r="G498" i="3"/>
  <c r="G494" i="3"/>
  <c r="G16"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AZ334" i="3" s="1"/>
  <c r="BA336" i="3"/>
  <c r="AZ336" i="3" s="1"/>
  <c r="BA337" i="3"/>
  <c r="AZ337" i="3" s="1"/>
  <c r="BL337" i="3"/>
  <c r="G338" i="3"/>
  <c r="G341" i="3"/>
  <c r="BA342" i="3"/>
  <c r="BL342" i="3"/>
  <c r="BA344" i="3"/>
  <c r="AZ344" i="3" s="1"/>
  <c r="BL344" i="3"/>
  <c r="BA346" i="3"/>
  <c r="AZ346" i="3"/>
  <c r="BA347" i="3"/>
  <c r="AZ347" i="3"/>
  <c r="BL347" i="3"/>
  <c r="G350" i="3"/>
  <c r="BA351" i="3"/>
  <c r="AZ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AZ382" i="3" s="1"/>
  <c r="G383" i="3"/>
  <c r="G386" i="3"/>
  <c r="BL387" i="3"/>
  <c r="BA389" i="3"/>
  <c r="AZ389" i="3" s="1"/>
  <c r="BA390" i="3"/>
  <c r="AZ390" i="3" s="1"/>
  <c r="BL390" i="3"/>
  <c r="G391" i="3"/>
  <c r="G394" i="3"/>
  <c r="AZ154" i="3"/>
  <c r="AZ158" i="3"/>
  <c r="AZ202" i="3"/>
  <c r="BA16" i="3"/>
  <c r="AZ16" i="3" s="1"/>
  <c r="BL303" i="3"/>
  <c r="G304" i="3"/>
  <c r="BA306" i="3"/>
  <c r="AZ306" i="3" s="1"/>
  <c r="BL307" i="3"/>
  <c r="AZ307" i="3"/>
  <c r="G308" i="3"/>
  <c r="BA310" i="3"/>
  <c r="BL311" i="3"/>
  <c r="G312" i="3"/>
  <c r="BA314" i="3"/>
  <c r="AZ314" i="3" s="1"/>
  <c r="BL315" i="3"/>
  <c r="AZ315" i="3"/>
  <c r="G316" i="3"/>
  <c r="BA318" i="3"/>
  <c r="AZ318" i="3" s="1"/>
  <c r="BL319" i="3"/>
  <c r="AZ319" i="3" s="1"/>
  <c r="G320" i="3"/>
  <c r="BA322" i="3"/>
  <c r="AZ322" i="3" s="1"/>
  <c r="BL323" i="3"/>
  <c r="AZ323" i="3" s="1"/>
  <c r="G324" i="3"/>
  <c r="BA326" i="3"/>
  <c r="AZ326" i="3"/>
  <c r="BL327" i="3"/>
  <c r="G328" i="3"/>
  <c r="BA330" i="3"/>
  <c r="AZ330" i="3" s="1"/>
  <c r="BL331" i="3"/>
  <c r="AZ331" i="3" s="1"/>
  <c r="G332" i="3"/>
  <c r="BA334" i="3"/>
  <c r="BL335" i="3"/>
  <c r="AZ335" i="3" s="1"/>
  <c r="G336" i="3"/>
  <c r="BA338" i="3"/>
  <c r="AZ338" i="3"/>
  <c r="BL339" i="3"/>
  <c r="AZ339" i="3" s="1"/>
  <c r="G340" i="3"/>
  <c r="BL343" i="3"/>
  <c r="G344" i="3"/>
  <c r="G348" i="3"/>
  <c r="G355" i="3"/>
  <c r="AZ209" i="3"/>
  <c r="AZ222" i="3"/>
  <c r="AZ303" i="3"/>
  <c r="G342" i="3"/>
  <c r="BL345" i="3"/>
  <c r="G346" i="3"/>
  <c r="BL349" i="3"/>
  <c r="BL352" i="3"/>
  <c r="G353" i="3"/>
  <c r="BA357" i="3"/>
  <c r="AZ357" i="3" s="1"/>
  <c r="BL358" i="3"/>
  <c r="AZ358" i="3" s="1"/>
  <c r="G359" i="3"/>
  <c r="BA361" i="3"/>
  <c r="AZ361" i="3"/>
  <c r="BL362" i="3"/>
  <c r="G363" i="3"/>
  <c r="BA365" i="3"/>
  <c r="AZ365" i="3"/>
  <c r="BL366" i="3"/>
  <c r="G367" i="3"/>
  <c r="BA369" i="3"/>
  <c r="AZ369" i="3" s="1"/>
  <c r="BL370" i="3"/>
  <c r="AZ370" i="3" s="1"/>
  <c r="G371" i="3"/>
  <c r="BA373" i="3"/>
  <c r="BL374" i="3"/>
  <c r="AZ374" i="3" s="1"/>
  <c r="G375" i="3"/>
  <c r="BA377" i="3"/>
  <c r="AZ377" i="3" s="1"/>
  <c r="BA379" i="3"/>
  <c r="AZ379" i="3" s="1"/>
  <c r="BL380" i="3"/>
  <c r="G381" i="3"/>
  <c r="BA383" i="3"/>
  <c r="BL384" i="3"/>
  <c r="G385" i="3"/>
  <c r="BA387" i="3"/>
  <c r="BL388" i="3"/>
  <c r="G389" i="3"/>
  <c r="BA391" i="3"/>
  <c r="BL392" i="3"/>
  <c r="AZ392" i="3" s="1"/>
  <c r="G393" i="3"/>
  <c r="AZ309" i="3"/>
  <c r="AZ325" i="3"/>
  <c r="AZ496" i="3"/>
  <c r="G538" i="3"/>
  <c r="G520" i="3"/>
  <c r="G502" i="3"/>
  <c r="G17" i="3"/>
  <c r="BA17" i="3"/>
  <c r="AZ360" i="3"/>
  <c r="AZ380" i="3"/>
  <c r="AZ388" i="3"/>
  <c r="G509" i="3"/>
  <c r="U36" i="40"/>
  <c r="F48" i="43"/>
  <c r="H53" i="43" s="1"/>
  <c r="F70" i="43"/>
  <c r="H73" i="43" s="1"/>
  <c r="M11" i="43"/>
  <c r="D17" i="43"/>
  <c r="F39" i="43"/>
  <c r="J17" i="43"/>
  <c r="F6" i="1"/>
  <c r="I20" i="43" s="1"/>
  <c r="U17" i="39"/>
  <c r="S14" i="35"/>
  <c r="AC35" i="21"/>
  <c r="U10" i="21"/>
  <c r="F48" i="9"/>
  <c r="O52" i="9" s="1"/>
  <c r="AC11" i="39"/>
  <c r="W37" i="37"/>
  <c r="W44" i="34"/>
  <c r="AC44" i="34"/>
  <c r="S15" i="37"/>
  <c r="U13" i="37"/>
  <c r="U12" i="40"/>
  <c r="AA12" i="40"/>
  <c r="J37" i="33"/>
  <c r="W37" i="33" s="1"/>
  <c r="AC17" i="34"/>
  <c r="J34" i="33"/>
  <c r="W34" i="33" s="1"/>
  <c r="F33" i="34"/>
  <c r="S33" i="34"/>
  <c r="H20" i="36"/>
  <c r="U20" i="36" s="1"/>
  <c r="J20" i="36"/>
  <c r="W20" i="36" s="1"/>
  <c r="J27" i="36"/>
  <c r="W27" i="36" s="1"/>
  <c r="AB25" i="37"/>
  <c r="F111" i="40"/>
  <c r="G111" i="40" s="1"/>
  <c r="H111" i="40" s="1"/>
  <c r="I111" i="40" s="1"/>
  <c r="J111" i="40" s="1"/>
  <c r="K111" i="40" s="1"/>
  <c r="L111" i="40" s="1"/>
  <c r="M111" i="40" s="1"/>
  <c r="H35" i="40"/>
  <c r="AB35" i="40" s="1"/>
  <c r="AC29" i="35"/>
  <c r="H35" i="37"/>
  <c r="U35" i="37" s="1"/>
  <c r="H20" i="35"/>
  <c r="U20" i="35" s="1"/>
  <c r="F20" i="35"/>
  <c r="AA20" i="35" s="1"/>
  <c r="AB29" i="36"/>
  <c r="U29" i="36"/>
  <c r="H32" i="37"/>
  <c r="AB32" i="37" s="1"/>
  <c r="F96" i="37"/>
  <c r="H27" i="40"/>
  <c r="U27" i="40"/>
  <c r="J27" i="40"/>
  <c r="AC27" i="40"/>
  <c r="F27" i="40"/>
  <c r="S27" i="40"/>
  <c r="J30" i="40"/>
  <c r="W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c r="E97" i="39"/>
  <c r="F97" i="39" s="1"/>
  <c r="G97" i="39" s="1"/>
  <c r="AZ223" i="3"/>
  <c r="AZ114" i="3"/>
  <c r="AZ72"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AE9" i="1"/>
  <c r="AB34" i="36"/>
  <c r="U34" i="36"/>
  <c r="AB33" i="36"/>
  <c r="U33" i="36"/>
  <c r="AC12" i="39"/>
  <c r="W12" i="39"/>
  <c r="AC39" i="40"/>
  <c r="W39" i="40"/>
  <c r="AZ401" i="3"/>
  <c r="AZ412" i="3"/>
  <c r="AZ433" i="3"/>
  <c r="W12" i="33"/>
  <c r="AC12" i="33"/>
  <c r="AA32" i="36"/>
  <c r="S32" i="36"/>
  <c r="U30" i="33"/>
  <c r="AC13" i="34"/>
  <c r="AA47" i="34"/>
  <c r="S19" i="39"/>
  <c r="F12" i="33"/>
  <c r="S12" i="33" s="1"/>
  <c r="H12" i="39"/>
  <c r="AB12" i="39" s="1"/>
  <c r="F39" i="40"/>
  <c r="AZ367" i="3"/>
  <c r="AZ224" i="3"/>
  <c r="AZ165" i="3"/>
  <c r="S12" i="1"/>
  <c r="T12" i="1" s="1"/>
  <c r="R12" i="1"/>
  <c r="B12" i="1"/>
  <c r="E12" i="1"/>
  <c r="S10" i="1"/>
  <c r="AR10" i="1" s="1"/>
  <c r="D1" i="66"/>
  <c r="E10" i="66" s="1"/>
  <c r="AZ84" i="3"/>
  <c r="AZ107" i="3"/>
  <c r="K12" i="1"/>
  <c r="M12" i="1" s="1"/>
  <c r="O12" i="1" s="1"/>
  <c r="S11" i="1"/>
  <c r="R11" i="1"/>
  <c r="J51" i="67"/>
  <c r="C42" i="1"/>
  <c r="H100" i="43"/>
  <c r="C30" i="66"/>
  <c r="E26" i="66" s="1"/>
  <c r="AA34" i="33"/>
  <c r="J100" i="43"/>
  <c r="AB37" i="40"/>
  <c r="S35" i="40"/>
  <c r="AC36" i="40"/>
  <c r="S17" i="40"/>
  <c r="S23" i="40"/>
  <c r="AC15" i="40"/>
  <c r="AB27" i="40"/>
  <c r="AA19" i="40"/>
  <c r="S28" i="40"/>
  <c r="AA27" i="40"/>
  <c r="U21" i="40"/>
  <c r="AB19" i="40"/>
  <c r="W42" i="39"/>
  <c r="U37" i="39"/>
  <c r="W39" i="39"/>
  <c r="S43" i="39"/>
  <c r="S37" i="39"/>
  <c r="F32" i="39"/>
  <c r="AA32" i="39" s="1"/>
  <c r="F107" i="39"/>
  <c r="G107" i="39" s="1"/>
  <c r="H107" i="39" s="1"/>
  <c r="I107" i="39" s="1"/>
  <c r="J107" i="39" s="1"/>
  <c r="K107" i="39" s="1"/>
  <c r="L107" i="39" s="1"/>
  <c r="M107" i="39" s="1"/>
  <c r="U25" i="39"/>
  <c r="AB27" i="39"/>
  <c r="U31" i="39"/>
  <c r="J21" i="39"/>
  <c r="F21" i="39"/>
  <c r="G95" i="39"/>
  <c r="H21" i="39"/>
  <c r="W19" i="39"/>
  <c r="U19" i="39"/>
  <c r="S17" i="39"/>
  <c r="AC15" i="39"/>
  <c r="S15" i="39"/>
  <c r="AB15" i="39"/>
  <c r="AA12" i="39"/>
  <c r="S9" i="39"/>
  <c r="U14" i="39"/>
  <c r="U12" i="39"/>
  <c r="S23" i="36"/>
  <c r="U13" i="36"/>
  <c r="AB27" i="36"/>
  <c r="U26" i="36"/>
  <c r="AA26" i="36"/>
  <c r="S29" i="36"/>
  <c r="AC26" i="36"/>
  <c r="AA22" i="36"/>
  <c r="W14" i="36"/>
  <c r="AB14" i="36"/>
  <c r="U22" i="36"/>
  <c r="S16" i="36"/>
  <c r="AA25" i="36"/>
  <c r="S24" i="36"/>
  <c r="U24" i="36"/>
  <c r="U23" i="36"/>
  <c r="U16" i="36"/>
  <c r="U10" i="36"/>
  <c r="AB13" i="35"/>
  <c r="U29" i="35"/>
  <c r="U28" i="35"/>
  <c r="AB27" i="35"/>
  <c r="U32" i="35"/>
  <c r="AA33" i="35"/>
  <c r="AC30" i="35"/>
  <c r="S32" i="35"/>
  <c r="AA36" i="35"/>
  <c r="S28" i="35"/>
  <c r="AB16" i="35"/>
  <c r="AC20" i="35"/>
  <c r="S22" i="35"/>
  <c r="U14" i="35"/>
  <c r="AB10" i="35"/>
  <c r="S8" i="35"/>
  <c r="AC9" i="35"/>
  <c r="W9" i="35"/>
  <c r="W13" i="35"/>
  <c r="F9" i="35"/>
  <c r="AA9" i="35" s="1"/>
  <c r="H9" i="35"/>
  <c r="AB9" i="35" s="1"/>
  <c r="F26" i="35"/>
  <c r="AA26" i="35" s="1"/>
  <c r="J26" i="35"/>
  <c r="H26" i="35"/>
  <c r="AB26" i="35" s="1"/>
  <c r="AB40" i="37"/>
  <c r="S25" i="37"/>
  <c r="W27" i="37"/>
  <c r="AC9" i="37"/>
  <c r="AC29" i="37"/>
  <c r="U29" i="37"/>
  <c r="S32" i="37"/>
  <c r="AB31" i="37"/>
  <c r="W30" i="37"/>
  <c r="S36" i="37"/>
  <c r="U32" i="37"/>
  <c r="AC35" i="37"/>
  <c r="S30" i="37"/>
  <c r="S37" i="37"/>
  <c r="J17" i="37"/>
  <c r="W17" i="37"/>
  <c r="G73" i="37"/>
  <c r="F17" i="37"/>
  <c r="AA17" i="37" s="1"/>
  <c r="AB17" i="37"/>
  <c r="F75" i="37"/>
  <c r="G75" i="37" s="1"/>
  <c r="F19" i="37"/>
  <c r="F79" i="37"/>
  <c r="F23" i="37"/>
  <c r="S23" i="37" s="1"/>
  <c r="U23" i="37"/>
  <c r="U15" i="37"/>
  <c r="AC13" i="37"/>
  <c r="U9" i="37"/>
  <c r="AA13" i="37"/>
  <c r="AA9" i="37"/>
  <c r="H10" i="37"/>
  <c r="AB10" i="37" s="1"/>
  <c r="H60" i="37"/>
  <c r="I60" i="37" s="1"/>
  <c r="F63" i="37"/>
  <c r="F11" i="37"/>
  <c r="S11" i="37" s="1"/>
  <c r="S27" i="34"/>
  <c r="W25" i="34"/>
  <c r="AB8" i="34"/>
  <c r="AA33" i="34"/>
  <c r="U44" i="34"/>
  <c r="U43" i="34"/>
  <c r="W41" i="34"/>
  <c r="AC42" i="34"/>
  <c r="AB35" i="34"/>
  <c r="U39" i="34"/>
  <c r="S43" i="34"/>
  <c r="AB41" i="34"/>
  <c r="AA45" i="34"/>
  <c r="W34" i="34"/>
  <c r="AA25" i="34"/>
  <c r="U28" i="34"/>
  <c r="S17" i="34"/>
  <c r="U27" i="34"/>
  <c r="S23" i="34"/>
  <c r="U15" i="34"/>
  <c r="S10" i="34"/>
  <c r="S13" i="34"/>
  <c r="H67" i="34"/>
  <c r="H10" i="34"/>
  <c r="U10" i="34" s="1"/>
  <c r="F11" i="34"/>
  <c r="S11" i="34" s="1"/>
  <c r="W42" i="33"/>
  <c r="AA35" i="33"/>
  <c r="S27" i="33"/>
  <c r="S32" i="33"/>
  <c r="AA29" i="33"/>
  <c r="W38" i="33"/>
  <c r="H41" i="33"/>
  <c r="U42" i="33"/>
  <c r="S42" i="33"/>
  <c r="F36" i="33"/>
  <c r="AA36" i="33" s="1"/>
  <c r="G111" i="33"/>
  <c r="J35" i="33"/>
  <c r="S37" i="33"/>
  <c r="AA37" i="33"/>
  <c r="S39" i="33"/>
  <c r="J32" i="33"/>
  <c r="AC32" i="33" s="1"/>
  <c r="S46" i="33"/>
  <c r="S43" i="33"/>
  <c r="H27" i="33"/>
  <c r="AB27" i="33" s="1"/>
  <c r="F87" i="33"/>
  <c r="G87" i="33" s="1"/>
  <c r="H87" i="33" s="1"/>
  <c r="I87" i="33" s="1"/>
  <c r="J87" i="33" s="1"/>
  <c r="K87" i="33" s="1"/>
  <c r="L87" i="33" s="1"/>
  <c r="M87" i="33" s="1"/>
  <c r="H25" i="33"/>
  <c r="F25" i="33"/>
  <c r="J23" i="33"/>
  <c r="W23" i="33" s="1"/>
  <c r="F85" i="33"/>
  <c r="G85" i="33" s="1"/>
  <c r="H23" i="33"/>
  <c r="F81" i="33"/>
  <c r="F19" i="33"/>
  <c r="S19" i="33"/>
  <c r="W19" i="33"/>
  <c r="J17" i="33"/>
  <c r="F79" i="33"/>
  <c r="S15" i="33"/>
  <c r="W15" i="33"/>
  <c r="U9" i="33"/>
  <c r="J10" i="33"/>
  <c r="AC10" i="33" s="1"/>
  <c r="H10" i="33"/>
  <c r="AB10" i="33" s="1"/>
  <c r="AA10" i="33"/>
  <c r="AB14" i="33"/>
  <c r="W43" i="21"/>
  <c r="W36" i="21"/>
  <c r="W41" i="21"/>
  <c r="AA43" i="21"/>
  <c r="S39" i="21"/>
  <c r="AA36" i="21"/>
  <c r="AC40" i="21"/>
  <c r="J15" i="21"/>
  <c r="W15" i="21" s="1"/>
  <c r="F23" i="21"/>
  <c r="S23" i="21" s="1"/>
  <c r="E85" i="21"/>
  <c r="F85" i="21" s="1"/>
  <c r="G85" i="21" s="1"/>
  <c r="AC11" i="21"/>
  <c r="AA14" i="21"/>
  <c r="AB8" i="21"/>
  <c r="S8" i="21"/>
  <c r="M3" i="43"/>
  <c r="M1" i="43"/>
  <c r="N8" i="43"/>
  <c r="D120" i="9"/>
  <c r="D6" i="52" s="1"/>
  <c r="F34" i="67"/>
  <c r="F62" i="67" s="1"/>
  <c r="M20" i="67"/>
  <c r="F34" i="15"/>
  <c r="F62" i="15" s="1"/>
  <c r="G13" i="3"/>
  <c r="BL17" i="3"/>
  <c r="AZ17" i="3" s="1"/>
  <c r="J56" i="9"/>
  <c r="J57" i="9"/>
  <c r="J59" i="9" s="1"/>
  <c r="J61" i="9" s="1"/>
  <c r="U29" i="34"/>
  <c r="E32" i="6"/>
  <c r="L19" i="6"/>
  <c r="E1" i="73"/>
  <c r="C100" i="43"/>
  <c r="E70" i="43"/>
  <c r="B68" i="43" s="1"/>
  <c r="F100" i="43"/>
  <c r="H17" i="43"/>
  <c r="B24" i="72"/>
  <c r="H78" i="43"/>
  <c r="H71" i="43"/>
  <c r="C17" i="43"/>
  <c r="F33" i="43"/>
  <c r="K17" i="43"/>
  <c r="F34" i="43"/>
  <c r="N6" i="43"/>
  <c r="F81" i="43" s="1"/>
  <c r="N3" i="43"/>
  <c r="F38" i="43"/>
  <c r="F37" i="43"/>
  <c r="M9" i="43"/>
  <c r="N5" i="43"/>
  <c r="M12" i="43"/>
  <c r="C7" i="33"/>
  <c r="C58" i="33" s="1"/>
  <c r="M47" i="9"/>
  <c r="T35" i="4"/>
  <c r="A19" i="51" s="1"/>
  <c r="B14" i="72" s="1"/>
  <c r="C4" i="12"/>
  <c r="L20" i="6"/>
  <c r="S8" i="1"/>
  <c r="T8" i="1" s="1"/>
  <c r="K11" i="1"/>
  <c r="M11" i="1" s="1"/>
  <c r="AP6" i="1"/>
  <c r="W23" i="40"/>
  <c r="U32" i="40"/>
  <c r="S37" i="40"/>
  <c r="W28" i="40"/>
  <c r="W34" i="40"/>
  <c r="W19" i="40"/>
  <c r="W27" i="40"/>
  <c r="S36" i="40"/>
  <c r="W37" i="40"/>
  <c r="AC14" i="40"/>
  <c r="AA15" i="40"/>
  <c r="U11" i="40"/>
  <c r="S31" i="40"/>
  <c r="U15" i="40"/>
  <c r="AB17" i="40"/>
  <c r="U8" i="40"/>
  <c r="S8" i="40"/>
  <c r="U42" i="39"/>
  <c r="AB23" i="39"/>
  <c r="W25" i="39"/>
  <c r="AC25" i="39"/>
  <c r="AB11" i="39"/>
  <c r="U11" i="39"/>
  <c r="AA27" i="39"/>
  <c r="S27" i="39"/>
  <c r="S23" i="39"/>
  <c r="AB39" i="39"/>
  <c r="W34" i="39"/>
  <c r="U38" i="39"/>
  <c r="AC25" i="36"/>
  <c r="W29" i="36"/>
  <c r="AC20" i="36"/>
  <c r="U25" i="36"/>
  <c r="AB28" i="36"/>
  <c r="AA13" i="36"/>
  <c r="W9" i="36"/>
  <c r="W22" i="36"/>
  <c r="W23" i="36"/>
  <c r="S9" i="36"/>
  <c r="AB20" i="35"/>
  <c r="AC25" i="35"/>
  <c r="U25" i="35"/>
  <c r="W33" i="35"/>
  <c r="AA30" i="35"/>
  <c r="U24" i="35"/>
  <c r="S35" i="35"/>
  <c r="W35" i="35"/>
  <c r="AA16" i="35"/>
  <c r="AA35" i="37"/>
  <c r="W36" i="37"/>
  <c r="S27" i="37"/>
  <c r="S28" i="37"/>
  <c r="U36" i="37"/>
  <c r="S40" i="37"/>
  <c r="U38" i="37"/>
  <c r="AB37" i="37"/>
  <c r="S33" i="37"/>
  <c r="AC34" i="37"/>
  <c r="AB35" i="37"/>
  <c r="U19" i="37"/>
  <c r="AA29" i="37"/>
  <c r="AA8" i="37"/>
  <c r="AB40" i="34"/>
  <c r="U19" i="34"/>
  <c r="AB33" i="34"/>
  <c r="AC45" i="34"/>
  <c r="AA31" i="34"/>
  <c r="AB45" i="34"/>
  <c r="AB47" i="34"/>
  <c r="U25" i="34"/>
  <c r="AB36" i="34"/>
  <c r="W33" i="34"/>
  <c r="AC14" i="34"/>
  <c r="AC32" i="34"/>
  <c r="AC29" i="34"/>
  <c r="W29" i="34"/>
  <c r="W46" i="34"/>
  <c r="AC46" i="34"/>
  <c r="U30" i="34"/>
  <c r="AB30" i="34"/>
  <c r="U38" i="34"/>
  <c r="AC40" i="34"/>
  <c r="W40" i="34"/>
  <c r="S19" i="34"/>
  <c r="AA36" i="34"/>
  <c r="S36" i="34"/>
  <c r="AA8" i="34"/>
  <c r="S8" i="34"/>
  <c r="AB9" i="34"/>
  <c r="U32" i="34"/>
  <c r="AB14" i="34"/>
  <c r="AC43" i="34"/>
  <c r="W43" i="34"/>
  <c r="AA11" i="34"/>
  <c r="W23" i="34"/>
  <c r="AC23" i="34"/>
  <c r="AC35" i="34"/>
  <c r="W35" i="34"/>
  <c r="AC37" i="33"/>
  <c r="U39" i="33"/>
  <c r="U38" i="33"/>
  <c r="U44" i="33"/>
  <c r="AB44" i="33"/>
  <c r="S30" i="33"/>
  <c r="AA30" i="33"/>
  <c r="AC14" i="33"/>
  <c r="AC30" i="33"/>
  <c r="W30" i="33"/>
  <c r="S31" i="33"/>
  <c r="AA31" i="33"/>
  <c r="AC13" i="33"/>
  <c r="U15" i="33"/>
  <c r="U37" i="33"/>
  <c r="S28" i="33"/>
  <c r="W8" i="33"/>
  <c r="S44" i="21"/>
  <c r="AB42" i="21"/>
  <c r="U28" i="21"/>
  <c r="AA11" i="21"/>
  <c r="F33" i="21"/>
  <c r="AA33" i="21" s="1"/>
  <c r="J33" i="21"/>
  <c r="W33" i="21" s="1"/>
  <c r="H33" i="21"/>
  <c r="AB33" i="21"/>
  <c r="F37" i="21"/>
  <c r="AA37" i="21" s="1"/>
  <c r="AB14" i="21"/>
  <c r="AB46" i="21"/>
  <c r="U40" i="21"/>
  <c r="W8" i="21"/>
  <c r="AB37" i="21"/>
  <c r="J37" i="21"/>
  <c r="W37" i="21"/>
  <c r="H15" i="21"/>
  <c r="U15" i="21" s="1"/>
  <c r="J17" i="21"/>
  <c r="AC17" i="21"/>
  <c r="W39" i="21"/>
  <c r="W30" i="21"/>
  <c r="H45" i="21"/>
  <c r="U45" i="21" s="1"/>
  <c r="F29" i="21"/>
  <c r="S29" i="21" s="1"/>
  <c r="F13" i="21"/>
  <c r="AA13" i="21" s="1"/>
  <c r="AC38" i="21"/>
  <c r="H32" i="21"/>
  <c r="J9" i="21"/>
  <c r="AC9" i="21" s="1"/>
  <c r="J32" i="21"/>
  <c r="AC32" i="21" s="1"/>
  <c r="F32" i="21"/>
  <c r="AA31" i="21"/>
  <c r="U17" i="21"/>
  <c r="S19" i="21"/>
  <c r="K141" i="21"/>
  <c r="K144" i="21"/>
  <c r="K143" i="21"/>
  <c r="AB25" i="21"/>
  <c r="AB44" i="21"/>
  <c r="AA30" i="21"/>
  <c r="W13" i="21"/>
  <c r="W42" i="21"/>
  <c r="F10" i="21"/>
  <c r="S10" i="21" s="1"/>
  <c r="K145" i="21"/>
  <c r="W17" i="21"/>
  <c r="S17" i="21"/>
  <c r="AA15" i="21"/>
  <c r="AC26" i="21"/>
  <c r="AB29" i="21"/>
  <c r="AC34" i="21"/>
  <c r="AB36" i="21"/>
  <c r="C19" i="39"/>
  <c r="C17" i="40"/>
  <c r="C23" i="40"/>
  <c r="C21" i="40"/>
  <c r="B54" i="43"/>
  <c r="B65" i="43"/>
  <c r="B52" i="43"/>
  <c r="B56" i="43"/>
  <c r="B60" i="43"/>
  <c r="B63" i="43"/>
  <c r="B67" i="43"/>
  <c r="E4" i="4"/>
  <c r="C4" i="4"/>
  <c r="K4" i="4" s="1"/>
  <c r="B46" i="48" s="1"/>
  <c r="B4" i="72" s="1"/>
  <c r="AA39" i="40"/>
  <c r="S39" i="40"/>
  <c r="AA12" i="33"/>
  <c r="J32" i="39"/>
  <c r="H32" i="39"/>
  <c r="U32" i="39" s="1"/>
  <c r="S32" i="39"/>
  <c r="AB21" i="39"/>
  <c r="U21" i="39"/>
  <c r="AA21" i="39"/>
  <c r="S21" i="39"/>
  <c r="AC21" i="39"/>
  <c r="W21" i="39"/>
  <c r="S26" i="35"/>
  <c r="U9" i="35"/>
  <c r="S9" i="35"/>
  <c r="AC26" i="35"/>
  <c r="W26" i="35"/>
  <c r="U26" i="35"/>
  <c r="AC17" i="37"/>
  <c r="S17" i="37"/>
  <c r="J19" i="37"/>
  <c r="W19" i="37" s="1"/>
  <c r="S19" i="37"/>
  <c r="AA19" i="37"/>
  <c r="J23" i="37"/>
  <c r="W23" i="37" s="1"/>
  <c r="G79" i="37"/>
  <c r="J10" i="37"/>
  <c r="G63" i="37"/>
  <c r="H63" i="37" s="1"/>
  <c r="I63" i="37" s="1"/>
  <c r="J63" i="37" s="1"/>
  <c r="K63" i="37" s="1"/>
  <c r="L63" i="37" s="1"/>
  <c r="M63" i="37" s="1"/>
  <c r="H11" i="37"/>
  <c r="AB11" i="37" s="1"/>
  <c r="H11" i="34"/>
  <c r="AB11" i="34" s="1"/>
  <c r="AB10" i="34"/>
  <c r="J10" i="34"/>
  <c r="I67" i="34"/>
  <c r="AB41" i="33"/>
  <c r="U41" i="33"/>
  <c r="W35" i="33"/>
  <c r="AC35" i="33"/>
  <c r="H111" i="33"/>
  <c r="I111" i="33" s="1"/>
  <c r="J111" i="33" s="1"/>
  <c r="K111" i="33" s="1"/>
  <c r="L111" i="33" s="1"/>
  <c r="M111" i="33" s="1"/>
  <c r="J36" i="33"/>
  <c r="H36" i="33"/>
  <c r="U36" i="33" s="1"/>
  <c r="S36" i="33"/>
  <c r="W32" i="33"/>
  <c r="U27" i="33"/>
  <c r="J27" i="33"/>
  <c r="W27" i="33" s="1"/>
  <c r="U25" i="33"/>
  <c r="AB25" i="33"/>
  <c r="S25" i="33"/>
  <c r="AA25" i="33"/>
  <c r="J25" i="33"/>
  <c r="W25" i="33" s="1"/>
  <c r="AB23" i="33"/>
  <c r="U23" i="33"/>
  <c r="F23" i="33"/>
  <c r="AA23" i="33" s="1"/>
  <c r="AA19" i="33"/>
  <c r="H19" i="33"/>
  <c r="AB19" i="33" s="1"/>
  <c r="G81" i="33"/>
  <c r="G79" i="33"/>
  <c r="H17" i="33"/>
  <c r="U17" i="33" s="1"/>
  <c r="F17" i="33"/>
  <c r="AA17" i="33" s="1"/>
  <c r="W17" i="33"/>
  <c r="AC17" i="33"/>
  <c r="U10" i="33"/>
  <c r="W10" i="33"/>
  <c r="AC37" i="21"/>
  <c r="U33" i="21"/>
  <c r="AA23" i="21"/>
  <c r="AB15" i="21"/>
  <c r="J23" i="21"/>
  <c r="W23" i="21" s="1"/>
  <c r="H23" i="21"/>
  <c r="U23" i="21" s="1"/>
  <c r="D121" i="9"/>
  <c r="D7" i="52" s="1"/>
  <c r="K120" i="9"/>
  <c r="B5" i="62"/>
  <c r="B73" i="72" s="1"/>
  <c r="AP7" i="1"/>
  <c r="AC33" i="21"/>
  <c r="W32" i="21"/>
  <c r="AA32" i="21"/>
  <c r="S32" i="21"/>
  <c r="W9" i="21"/>
  <c r="AB32" i="21"/>
  <c r="U32" i="21"/>
  <c r="AA10" i="21"/>
  <c r="A18" i="62"/>
  <c r="B64" i="72" s="1"/>
  <c r="AB32" i="39"/>
  <c r="AC32" i="39"/>
  <c r="W32" i="39"/>
  <c r="AC23" i="37"/>
  <c r="U11" i="37"/>
  <c r="J11" i="37"/>
  <c r="W10" i="37"/>
  <c r="AC10" i="37"/>
  <c r="AC10" i="34"/>
  <c r="W10" i="34"/>
  <c r="J11" i="34"/>
  <c r="W11" i="34" s="1"/>
  <c r="AC36" i="33"/>
  <c r="W36" i="33"/>
  <c r="AB36" i="33"/>
  <c r="AC25" i="33"/>
  <c r="S23" i="33"/>
  <c r="U19" i="33"/>
  <c r="S17" i="33"/>
  <c r="AB17" i="33"/>
  <c r="AC11" i="37"/>
  <c r="W11" i="37"/>
  <c r="AC11" i="34"/>
  <c r="F11" i="12"/>
  <c r="AE8" i="1"/>
  <c r="AG6" i="1"/>
  <c r="H109" i="9"/>
  <c r="H110" i="9" s="1"/>
  <c r="D18" i="53" s="1"/>
  <c r="B35" i="72" s="1"/>
  <c r="D16" i="53"/>
  <c r="B34" i="72" s="1"/>
  <c r="H112" i="9"/>
  <c r="D21" i="53" s="1"/>
  <c r="B39" i="72" s="1"/>
  <c r="D59" i="9"/>
  <c r="M55" i="9" s="1"/>
  <c r="AD3" i="71"/>
  <c r="J1" i="73"/>
  <c r="C13" i="12"/>
  <c r="H77" i="43"/>
  <c r="M4" i="43"/>
  <c r="M5" i="43"/>
  <c r="N12" i="43"/>
  <c r="N11" i="43"/>
  <c r="M10" i="43"/>
  <c r="M2" i="43"/>
  <c r="M7" i="43"/>
  <c r="H70" i="43"/>
  <c r="N9" i="43"/>
  <c r="M8" i="43"/>
  <c r="N10" i="43"/>
  <c r="H74" i="43"/>
  <c r="M6" i="43"/>
  <c r="C6" i="43" s="1"/>
  <c r="N7" i="43"/>
  <c r="N4" i="43"/>
  <c r="N2" i="43"/>
  <c r="N17" i="43"/>
  <c r="L17" i="43"/>
  <c r="O17" i="43"/>
  <c r="M17" i="43"/>
  <c r="E17" i="43"/>
  <c r="AB12" i="71"/>
  <c r="X10" i="71"/>
  <c r="X9" i="71"/>
  <c r="AA10" i="71"/>
  <c r="AA9" i="71"/>
  <c r="X13" i="71"/>
  <c r="Y9" i="71"/>
  <c r="Z9" i="71" s="1"/>
  <c r="AB10" i="71"/>
  <c r="AB9" i="71"/>
  <c r="F11" i="71"/>
  <c r="F10" i="71"/>
  <c r="F9" i="71" s="1"/>
  <c r="F8" i="71" s="1"/>
  <c r="F7" i="71" s="1"/>
  <c r="Y10" i="71"/>
  <c r="Z10" i="71"/>
  <c r="AB3" i="71"/>
  <c r="X3" i="71"/>
  <c r="AO9" i="1"/>
  <c r="F6" i="73"/>
  <c r="M27" i="78"/>
  <c r="E2" i="68"/>
  <c r="F26" i="78"/>
  <c r="E7" i="76"/>
  <c r="AO11" i="1"/>
  <c r="C76" i="78"/>
  <c r="F3" i="73"/>
  <c r="F9" i="78"/>
  <c r="E10" i="76"/>
  <c r="F5" i="73"/>
  <c r="D2" i="37"/>
  <c r="F8" i="78"/>
  <c r="F40" i="78"/>
  <c r="M24" i="78"/>
  <c r="D6" i="73"/>
  <c r="E13" i="76"/>
  <c r="E9" i="76"/>
  <c r="D5" i="73"/>
  <c r="AO8" i="1"/>
  <c r="L48" i="78"/>
  <c r="M26" i="78"/>
  <c r="F20" i="31"/>
  <c r="F42" i="78"/>
  <c r="M6" i="78"/>
  <c r="D4" i="73"/>
  <c r="B10" i="76"/>
  <c r="B13" i="76"/>
  <c r="J15" i="78"/>
  <c r="AO10" i="1"/>
  <c r="E8" i="76"/>
  <c r="E12" i="76"/>
  <c r="F38" i="78"/>
  <c r="F36" i="78"/>
  <c r="F16" i="78"/>
  <c r="D2" i="34"/>
  <c r="M28" i="78"/>
  <c r="D3" i="73"/>
  <c r="D2" i="35"/>
  <c r="E11" i="76"/>
  <c r="F4" i="73"/>
  <c r="B9" i="76"/>
  <c r="E2" i="69"/>
  <c r="B8" i="76"/>
  <c r="M23" i="78"/>
  <c r="M22" i="78"/>
  <c r="B12" i="76"/>
  <c r="F37" i="78"/>
  <c r="D2" i="21"/>
  <c r="F13" i="78"/>
  <c r="AO12" i="1"/>
  <c r="M9" i="78"/>
  <c r="F6" i="78"/>
  <c r="M8" i="78"/>
  <c r="D2" i="33"/>
  <c r="AO13" i="1"/>
  <c r="F7" i="73"/>
  <c r="B11" i="76"/>
  <c r="L47" i="78"/>
  <c r="B7" i="76"/>
  <c r="D2" i="36"/>
  <c r="D85" i="43" l="1"/>
  <c r="D88" i="43"/>
  <c r="P27" i="6"/>
  <c r="C18" i="9"/>
  <c r="D18" i="9" s="1"/>
  <c r="AB27" i="21"/>
  <c r="U27" i="21"/>
  <c r="AZ554" i="3"/>
  <c r="AZ552" i="3"/>
  <c r="AC31" i="37"/>
  <c r="W31" i="37"/>
  <c r="AB9" i="39"/>
  <c r="U9" i="39"/>
  <c r="BA560" i="3"/>
  <c r="U30" i="40"/>
  <c r="C15" i="40"/>
  <c r="AA29" i="21"/>
  <c r="S9" i="21"/>
  <c r="AB31" i="21"/>
  <c r="S33" i="33"/>
  <c r="S46" i="34"/>
  <c r="S37" i="34"/>
  <c r="S32" i="34"/>
  <c r="AA30" i="34"/>
  <c r="W19" i="34"/>
  <c r="U8" i="37"/>
  <c r="AA31" i="37"/>
  <c r="W32" i="37"/>
  <c r="U32" i="36"/>
  <c r="S8" i="39"/>
  <c r="AA45" i="39"/>
  <c r="AC17" i="39"/>
  <c r="AA14" i="39"/>
  <c r="AB13" i="39"/>
  <c r="AB41" i="39"/>
  <c r="AC41" i="39"/>
  <c r="AA38" i="21"/>
  <c r="AC11" i="33"/>
  <c r="AC15" i="37"/>
  <c r="AC10" i="35"/>
  <c r="S20" i="35"/>
  <c r="W32" i="35"/>
  <c r="AA25" i="35"/>
  <c r="S33" i="36"/>
  <c r="AB23" i="35"/>
  <c r="AC14" i="35"/>
  <c r="U35" i="21"/>
  <c r="AZ355" i="3"/>
  <c r="AZ343" i="3"/>
  <c r="AC45" i="33"/>
  <c r="AZ547" i="3"/>
  <c r="BL561" i="3"/>
  <c r="AZ528" i="3"/>
  <c r="AZ572" i="3"/>
  <c r="F13" i="39"/>
  <c r="AC28" i="37"/>
  <c r="W28" i="37"/>
  <c r="AA14" i="34"/>
  <c r="S14" i="34"/>
  <c r="AA44" i="34"/>
  <c r="W33" i="36"/>
  <c r="AC33" i="36"/>
  <c r="F39" i="37"/>
  <c r="S12" i="34"/>
  <c r="AA12" i="34"/>
  <c r="H13" i="40"/>
  <c r="F13" i="40"/>
  <c r="J32" i="40"/>
  <c r="F32" i="40"/>
  <c r="BA565" i="3"/>
  <c r="BL562" i="3"/>
  <c r="BL560" i="3"/>
  <c r="BA556" i="3"/>
  <c r="AZ556" i="3" s="1"/>
  <c r="AC14" i="37"/>
  <c r="W14" i="37"/>
  <c r="AC13" i="40"/>
  <c r="W13" i="40"/>
  <c r="AC47" i="34"/>
  <c r="W47" i="34"/>
  <c r="AB13" i="33"/>
  <c r="U13" i="33"/>
  <c r="AB11" i="33"/>
  <c r="U11" i="33"/>
  <c r="AA35" i="39"/>
  <c r="S35" i="39"/>
  <c r="J27" i="21"/>
  <c r="F27" i="21"/>
  <c r="AB8" i="35"/>
  <c r="U8" i="35"/>
  <c r="U12" i="37"/>
  <c r="AB12" i="37"/>
  <c r="BL565" i="3"/>
  <c r="BL558" i="3"/>
  <c r="AZ558" i="3" s="1"/>
  <c r="W46" i="33"/>
  <c r="S20" i="36"/>
  <c r="AB28" i="40"/>
  <c r="AB29" i="33"/>
  <c r="W39" i="37"/>
  <c r="AA38" i="37"/>
  <c r="S26" i="37"/>
  <c r="F12" i="37"/>
  <c r="W44" i="33"/>
  <c r="S21" i="40"/>
  <c r="AC11" i="36"/>
  <c r="W11" i="36"/>
  <c r="F23" i="35"/>
  <c r="F31" i="39"/>
  <c r="AB23" i="21"/>
  <c r="U11" i="34"/>
  <c r="S33" i="21"/>
  <c r="S37" i="21"/>
  <c r="AC23" i="33"/>
  <c r="U10" i="37"/>
  <c r="AA23" i="37"/>
  <c r="AC27" i="33"/>
  <c r="AC19" i="37"/>
  <c r="S13" i="21"/>
  <c r="S28" i="21"/>
  <c r="W25" i="21"/>
  <c r="S46" i="21"/>
  <c r="S35" i="21"/>
  <c r="S11" i="33"/>
  <c r="S28" i="36"/>
  <c r="AA39" i="39"/>
  <c r="AB31" i="40"/>
  <c r="W43" i="33"/>
  <c r="AA29" i="34"/>
  <c r="AC39" i="34"/>
  <c r="W38" i="37"/>
  <c r="U22" i="35"/>
  <c r="W10" i="36"/>
  <c r="AB20" i="36"/>
  <c r="AA34" i="36"/>
  <c r="S25" i="39"/>
  <c r="U35" i="40"/>
  <c r="BB5" i="3"/>
  <c r="BO5" i="3"/>
  <c r="AZ387" i="3"/>
  <c r="AZ373" i="3"/>
  <c r="AZ310" i="3"/>
  <c r="AZ321" i="3"/>
  <c r="J12" i="37"/>
  <c r="AZ499" i="3"/>
  <c r="AZ509" i="3"/>
  <c r="AZ513" i="3"/>
  <c r="BL563" i="3"/>
  <c r="AZ563" i="3" s="1"/>
  <c r="AZ519" i="3"/>
  <c r="AZ532" i="3"/>
  <c r="S13" i="35"/>
  <c r="AA13" i="35"/>
  <c r="AC31" i="34"/>
  <c r="W31" i="34"/>
  <c r="AA11" i="36"/>
  <c r="S11" i="36"/>
  <c r="U23" i="40"/>
  <c r="W28" i="34"/>
  <c r="AC28" i="34"/>
  <c r="C15" i="39"/>
  <c r="C25" i="39"/>
  <c r="AB40" i="39"/>
  <c r="U40" i="39"/>
  <c r="U31" i="35"/>
  <c r="AC44" i="39"/>
  <c r="W44" i="39"/>
  <c r="J45" i="21"/>
  <c r="F45" i="21"/>
  <c r="F9" i="33"/>
  <c r="J9" i="33"/>
  <c r="H28" i="33"/>
  <c r="J28" i="33"/>
  <c r="AA9" i="34"/>
  <c r="AB34" i="34"/>
  <c r="U34" i="34"/>
  <c r="J23" i="35"/>
  <c r="AC28" i="35"/>
  <c r="W28" i="35"/>
  <c r="U27" i="37"/>
  <c r="AB27" i="37"/>
  <c r="H43" i="39"/>
  <c r="J43" i="39"/>
  <c r="F33" i="40"/>
  <c r="J33" i="40"/>
  <c r="H33" i="40"/>
  <c r="S40" i="33"/>
  <c r="AA40" i="33"/>
  <c r="W31" i="35"/>
  <c r="AC31" i="35"/>
  <c r="AC30" i="36"/>
  <c r="W30" i="36"/>
  <c r="BA582" i="3"/>
  <c r="AZ582" i="3" s="1"/>
  <c r="AZ555" i="3"/>
  <c r="AC40" i="37"/>
  <c r="W40" i="37"/>
  <c r="U11" i="36"/>
  <c r="AB11" i="36"/>
  <c r="W46" i="21"/>
  <c r="AC46" i="21"/>
  <c r="BL587" i="3"/>
  <c r="BL586" i="3"/>
  <c r="AZ586" i="3" s="1"/>
  <c r="B71" i="43"/>
  <c r="C21" i="39"/>
  <c r="BA562" i="3"/>
  <c r="BA561" i="3"/>
  <c r="AZ559" i="3"/>
  <c r="W10" i="21"/>
  <c r="W31" i="21"/>
  <c r="H9" i="21"/>
  <c r="AC14" i="21"/>
  <c r="AB34" i="33"/>
  <c r="AA40" i="34"/>
  <c r="AB39" i="21"/>
  <c r="AA10" i="35"/>
  <c r="S14" i="36"/>
  <c r="S27" i="36"/>
  <c r="AC27" i="36"/>
  <c r="AC34" i="33"/>
  <c r="W24" i="36"/>
  <c r="J13" i="39"/>
  <c r="J31" i="39"/>
  <c r="H39" i="37"/>
  <c r="AB43" i="21"/>
  <c r="U43" i="21"/>
  <c r="AA34" i="21"/>
  <c r="S34" i="21"/>
  <c r="BL585" i="3"/>
  <c r="AZ585" i="3" s="1"/>
  <c r="AA40" i="21"/>
  <c r="S40" i="21"/>
  <c r="J12" i="35"/>
  <c r="F12" i="35"/>
  <c r="H12" i="35"/>
  <c r="J24" i="35"/>
  <c r="F24" i="35"/>
  <c r="AA10" i="36"/>
  <c r="S10" i="36"/>
  <c r="J45" i="39"/>
  <c r="H45" i="39"/>
  <c r="S38" i="34"/>
  <c r="AA38" i="34"/>
  <c r="J35" i="39"/>
  <c r="H35" i="39"/>
  <c r="BL573" i="3"/>
  <c r="AZ573" i="3" s="1"/>
  <c r="BT5" i="3"/>
  <c r="BF5" i="3"/>
  <c r="BL539" i="3"/>
  <c r="AZ539" i="3" s="1"/>
  <c r="AZ438" i="3"/>
  <c r="AZ458" i="3"/>
  <c r="AZ391" i="3"/>
  <c r="AZ349" i="3"/>
  <c r="AZ371" i="3"/>
  <c r="AZ364" i="3"/>
  <c r="AZ356" i="3"/>
  <c r="AZ342" i="3"/>
  <c r="AZ497" i="3"/>
  <c r="AZ505" i="3"/>
  <c r="BL545" i="3"/>
  <c r="AZ545" i="3" s="1"/>
  <c r="BL551" i="3"/>
  <c r="AZ551" i="3" s="1"/>
  <c r="BL567" i="3"/>
  <c r="AZ567" i="3" s="1"/>
  <c r="AA28" i="34"/>
  <c r="S28" i="34"/>
  <c r="G585" i="3"/>
  <c r="BA587" i="3"/>
  <c r="AZ587" i="3" s="1"/>
  <c r="H12" i="34"/>
  <c r="J12" i="34"/>
  <c r="J12" i="36"/>
  <c r="F12" i="36"/>
  <c r="H12" i="36"/>
  <c r="W16" i="36"/>
  <c r="AC16" i="36"/>
  <c r="AC26" i="37"/>
  <c r="W26" i="37"/>
  <c r="H44" i="39"/>
  <c r="F44" i="39"/>
  <c r="AA34" i="39"/>
  <c r="S34" i="39"/>
  <c r="BA578" i="3"/>
  <c r="BA577" i="3"/>
  <c r="AZ577" i="3" s="1"/>
  <c r="BA569" i="3"/>
  <c r="AZ569" i="3" s="1"/>
  <c r="BA566" i="3"/>
  <c r="AZ566" i="3" s="1"/>
  <c r="BA551" i="3"/>
  <c r="BA549" i="3"/>
  <c r="AZ549" i="3" s="1"/>
  <c r="BA541" i="3"/>
  <c r="AZ541" i="3" s="1"/>
  <c r="BA538" i="3"/>
  <c r="BA533" i="3"/>
  <c r="AZ533" i="3" s="1"/>
  <c r="BA530" i="3"/>
  <c r="AZ530" i="3" s="1"/>
  <c r="BL527" i="3"/>
  <c r="AZ527" i="3" s="1"/>
  <c r="BA525" i="3"/>
  <c r="AZ525" i="3" s="1"/>
  <c r="BL508" i="3"/>
  <c r="BA505" i="3"/>
  <c r="BL500" i="3"/>
  <c r="BA497" i="3"/>
  <c r="AZ398" i="3"/>
  <c r="AZ410" i="3"/>
  <c r="AZ419" i="3"/>
  <c r="BL578" i="3"/>
  <c r="BL576" i="3"/>
  <c r="AZ576" i="3" s="1"/>
  <c r="BA574" i="3"/>
  <c r="AZ574" i="3" s="1"/>
  <c r="BA570" i="3"/>
  <c r="AZ570" i="3" s="1"/>
  <c r="G566" i="3"/>
  <c r="BA546" i="3"/>
  <c r="AZ546" i="3" s="1"/>
  <c r="BL543" i="3"/>
  <c r="AZ543" i="3" s="1"/>
  <c r="BL540" i="3"/>
  <c r="AZ540" i="3" s="1"/>
  <c r="BL538" i="3"/>
  <c r="BL522" i="3"/>
  <c r="AZ522" i="3" s="1"/>
  <c r="BA521" i="3"/>
  <c r="BA520" i="3"/>
  <c r="AZ520" i="3" s="1"/>
  <c r="BL518" i="3"/>
  <c r="AZ518" i="3" s="1"/>
  <c r="BA515" i="3"/>
  <c r="AZ515" i="3" s="1"/>
  <c r="BL511" i="3"/>
  <c r="AZ511" i="3" s="1"/>
  <c r="BA508" i="3"/>
  <c r="AZ508" i="3" s="1"/>
  <c r="BL503" i="3"/>
  <c r="AZ503" i="3" s="1"/>
  <c r="BL502" i="3"/>
  <c r="AZ502" i="3" s="1"/>
  <c r="BA500" i="3"/>
  <c r="AZ399" i="3"/>
  <c r="AZ406" i="3"/>
  <c r="AZ411" i="3"/>
  <c r="AZ421" i="3"/>
  <c r="AZ423" i="3"/>
  <c r="AZ432" i="3"/>
  <c r="AZ435" i="3"/>
  <c r="G570" i="3"/>
  <c r="BL403" i="3"/>
  <c r="BL408" i="3"/>
  <c r="AZ408" i="3" s="1"/>
  <c r="BA414" i="3"/>
  <c r="AZ414" i="3" s="1"/>
  <c r="BA425" i="3"/>
  <c r="AZ425" i="3" s="1"/>
  <c r="BL429" i="3"/>
  <c r="AZ429" i="3" s="1"/>
  <c r="BL437" i="3"/>
  <c r="AZ437" i="3" s="1"/>
  <c r="BA440" i="3"/>
  <c r="AZ440" i="3" s="1"/>
  <c r="BA441" i="3"/>
  <c r="AZ441" i="3" s="1"/>
  <c r="BA442" i="3"/>
  <c r="AZ442" i="3" s="1"/>
  <c r="BA450" i="3"/>
  <c r="BL459" i="3"/>
  <c r="BA464" i="3"/>
  <c r="AZ464" i="3" s="1"/>
  <c r="BA465" i="3"/>
  <c r="AZ465" i="3" s="1"/>
  <c r="BL489" i="3"/>
  <c r="BL491" i="3"/>
  <c r="AZ491" i="3" s="1"/>
  <c r="BL348" i="3"/>
  <c r="BA350" i="3"/>
  <c r="AZ350" i="3" s="1"/>
  <c r="BL353" i="3"/>
  <c r="AZ353" i="3" s="1"/>
  <c r="AZ260" i="3"/>
  <c r="G398" i="3"/>
  <c r="BL398" i="3"/>
  <c r="G403" i="3"/>
  <c r="G405" i="3"/>
  <c r="BL405" i="3"/>
  <c r="AZ405" i="3" s="1"/>
  <c r="G410" i="3"/>
  <c r="BL410" i="3"/>
  <c r="BA416" i="3"/>
  <c r="AZ416" i="3" s="1"/>
  <c r="BA417" i="3"/>
  <c r="AZ417" i="3" s="1"/>
  <c r="BA418" i="3"/>
  <c r="AZ418" i="3" s="1"/>
  <c r="G420" i="3"/>
  <c r="BL420" i="3"/>
  <c r="AZ420" i="3" s="1"/>
  <c r="BL422" i="3"/>
  <c r="AZ422" i="3" s="1"/>
  <c r="BA427" i="3"/>
  <c r="AZ427" i="3" s="1"/>
  <c r="BA428" i="3"/>
  <c r="AZ428" i="3" s="1"/>
  <c r="G431" i="3"/>
  <c r="BL431" i="3"/>
  <c r="AZ431" i="3" s="1"/>
  <c r="BL434" i="3"/>
  <c r="AZ434" i="3" s="1"/>
  <c r="BA444" i="3"/>
  <c r="AZ444" i="3" s="1"/>
  <c r="BA445" i="3"/>
  <c r="AZ445" i="3" s="1"/>
  <c r="BA446" i="3"/>
  <c r="AZ446" i="3" s="1"/>
  <c r="BA447" i="3"/>
  <c r="AZ447" i="3" s="1"/>
  <c r="BA449" i="3"/>
  <c r="AZ449" i="3" s="1"/>
  <c r="BA456" i="3"/>
  <c r="AZ456" i="3" s="1"/>
  <c r="G459" i="3"/>
  <c r="BL461" i="3"/>
  <c r="BA468" i="3"/>
  <c r="AZ468" i="3" s="1"/>
  <c r="BA470" i="3"/>
  <c r="AZ470" i="3" s="1"/>
  <c r="BA471" i="3"/>
  <c r="AZ471" i="3" s="1"/>
  <c r="BA473" i="3"/>
  <c r="AZ473" i="3" s="1"/>
  <c r="BA475" i="3"/>
  <c r="BL482" i="3"/>
  <c r="BA316" i="3"/>
  <c r="AZ316" i="3" s="1"/>
  <c r="AZ179" i="3"/>
  <c r="AZ127" i="3"/>
  <c r="AZ345" i="3"/>
  <c r="AZ311" i="3"/>
  <c r="BL495" i="3"/>
  <c r="AZ495" i="3" s="1"/>
  <c r="BL537" i="3"/>
  <c r="AZ537" i="3" s="1"/>
  <c r="BL575" i="3"/>
  <c r="AZ575" i="3" s="1"/>
  <c r="BL581" i="3"/>
  <c r="AZ581" i="3" s="1"/>
  <c r="F40" i="40"/>
  <c r="G556" i="3"/>
  <c r="BL550" i="3"/>
  <c r="BA550" i="3"/>
  <c r="AZ550" i="3" s="1"/>
  <c r="G526" i="3"/>
  <c r="G400" i="3"/>
  <c r="BL400" i="3"/>
  <c r="BA403" i="3"/>
  <c r="BA404" i="3"/>
  <c r="AZ404" i="3" s="1"/>
  <c r="BA409" i="3"/>
  <c r="AZ409" i="3" s="1"/>
  <c r="G412" i="3"/>
  <c r="G413" i="3"/>
  <c r="BL413" i="3"/>
  <c r="G422" i="3"/>
  <c r="G424" i="3"/>
  <c r="BL424" i="3"/>
  <c r="BA430" i="3"/>
  <c r="AZ430" i="3" s="1"/>
  <c r="G433" i="3"/>
  <c r="G434" i="3"/>
  <c r="G439" i="3"/>
  <c r="BL439" i="3"/>
  <c r="AZ439" i="3" s="1"/>
  <c r="BL442" i="3"/>
  <c r="G451" i="3"/>
  <c r="AZ459" i="3"/>
  <c r="BL462" i="3"/>
  <c r="AZ462" i="3" s="1"/>
  <c r="G463" i="3"/>
  <c r="BL463" i="3"/>
  <c r="AZ463" i="3" s="1"/>
  <c r="AZ489" i="3"/>
  <c r="AZ492" i="3"/>
  <c r="AB21" i="21"/>
  <c r="U21" i="21"/>
  <c r="AA18" i="36"/>
  <c r="S18" i="36"/>
  <c r="G446" i="3"/>
  <c r="G448" i="3"/>
  <c r="BL448" i="3"/>
  <c r="AZ448" i="3" s="1"/>
  <c r="BL450" i="3"/>
  <c r="BA453" i="3"/>
  <c r="AZ453" i="3" s="1"/>
  <c r="BA454" i="3"/>
  <c r="AZ454" i="3" s="1"/>
  <c r="BA455" i="3"/>
  <c r="AZ455" i="3" s="1"/>
  <c r="BL457" i="3"/>
  <c r="AZ457" i="3" s="1"/>
  <c r="BA460" i="3"/>
  <c r="AZ460" i="3" s="1"/>
  <c r="BA467" i="3"/>
  <c r="AZ467" i="3" s="1"/>
  <c r="BL469" i="3"/>
  <c r="BL474" i="3"/>
  <c r="BL476" i="3"/>
  <c r="BA478" i="3"/>
  <c r="AZ478" i="3" s="1"/>
  <c r="BA480" i="3"/>
  <c r="AZ480" i="3" s="1"/>
  <c r="BA481" i="3"/>
  <c r="AZ481" i="3" s="1"/>
  <c r="BA483" i="3"/>
  <c r="BA484" i="3"/>
  <c r="AZ484" i="3" s="1"/>
  <c r="BL488" i="3"/>
  <c r="BL332" i="3"/>
  <c r="AZ332" i="3" s="1"/>
  <c r="BA352" i="3"/>
  <c r="AZ352" i="3" s="1"/>
  <c r="BL354" i="3"/>
  <c r="BL396" i="3"/>
  <c r="BA212" i="3"/>
  <c r="AZ212" i="3" s="1"/>
  <c r="BA214" i="3"/>
  <c r="AZ214" i="3" s="1"/>
  <c r="BL220" i="3"/>
  <c r="AZ220" i="3" s="1"/>
  <c r="BL226" i="3"/>
  <c r="BA228" i="3"/>
  <c r="AZ228" i="3" s="1"/>
  <c r="BL243" i="3"/>
  <c r="BA247" i="3"/>
  <c r="BA249" i="3"/>
  <c r="AZ249" i="3" s="1"/>
  <c r="BA251" i="3"/>
  <c r="AZ251" i="3" s="1"/>
  <c r="BA252" i="3"/>
  <c r="AZ252" i="3" s="1"/>
  <c r="BA253" i="3"/>
  <c r="AZ253" i="3" s="1"/>
  <c r="BA254" i="3"/>
  <c r="AZ254" i="3" s="1"/>
  <c r="BA256" i="3"/>
  <c r="AZ256" i="3" s="1"/>
  <c r="BL260" i="3"/>
  <c r="BL262" i="3"/>
  <c r="BA264" i="3"/>
  <c r="AZ264" i="3" s="1"/>
  <c r="BA266" i="3"/>
  <c r="AZ266" i="3" s="1"/>
  <c r="BA267" i="3"/>
  <c r="AZ267" i="3" s="1"/>
  <c r="BA268" i="3"/>
  <c r="AZ268" i="3" s="1"/>
  <c r="BA269" i="3"/>
  <c r="AZ269" i="3" s="1"/>
  <c r="BA271" i="3"/>
  <c r="AZ271" i="3" s="1"/>
  <c r="BA272" i="3"/>
  <c r="AZ272" i="3" s="1"/>
  <c r="BA273" i="3"/>
  <c r="AZ273" i="3" s="1"/>
  <c r="BA275" i="3"/>
  <c r="AZ275" i="3" s="1"/>
  <c r="BA276" i="3"/>
  <c r="AZ276" i="3" s="1"/>
  <c r="BL280" i="3"/>
  <c r="BA282" i="3"/>
  <c r="AZ282" i="3" s="1"/>
  <c r="BA120" i="3"/>
  <c r="AZ120" i="3" s="1"/>
  <c r="AZ397" i="3"/>
  <c r="AZ208" i="3"/>
  <c r="AZ302" i="3"/>
  <c r="BL383" i="3"/>
  <c r="AZ383" i="3" s="1"/>
  <c r="BA386" i="3"/>
  <c r="AZ386" i="3" s="1"/>
  <c r="BL393" i="3"/>
  <c r="AZ393" i="3" s="1"/>
  <c r="BL397" i="3"/>
  <c r="BL211" i="3"/>
  <c r="BA217" i="3"/>
  <c r="AZ217" i="3" s="1"/>
  <c r="BL227" i="3"/>
  <c r="BA231" i="3"/>
  <c r="AZ231" i="3" s="1"/>
  <c r="BA233" i="3"/>
  <c r="AZ233" i="3" s="1"/>
  <c r="BA235" i="3"/>
  <c r="AZ235" i="3" s="1"/>
  <c r="BA236" i="3"/>
  <c r="AZ236" i="3" s="1"/>
  <c r="BA237" i="3"/>
  <c r="AZ237" i="3" s="1"/>
  <c r="BA238" i="3"/>
  <c r="AZ238" i="3" s="1"/>
  <c r="BA240" i="3"/>
  <c r="AZ240" i="3" s="1"/>
  <c r="BL244" i="3"/>
  <c r="AZ244" i="3" s="1"/>
  <c r="BL246" i="3"/>
  <c r="BL263" i="3"/>
  <c r="BL281" i="3"/>
  <c r="BA285" i="3"/>
  <c r="AZ285" i="3" s="1"/>
  <c r="BA287" i="3"/>
  <c r="AZ287" i="3" s="1"/>
  <c r="AZ293" i="3"/>
  <c r="G472" i="3"/>
  <c r="BL472" i="3"/>
  <c r="AZ472" i="3" s="1"/>
  <c r="BA474" i="3"/>
  <c r="BL477" i="3"/>
  <c r="G481" i="3"/>
  <c r="BA486" i="3"/>
  <c r="AZ486" i="3" s="1"/>
  <c r="BA487" i="3"/>
  <c r="BA488" i="3"/>
  <c r="BL490" i="3"/>
  <c r="AZ490" i="3" s="1"/>
  <c r="G315" i="3"/>
  <c r="BA317" i="3"/>
  <c r="AZ317" i="3" s="1"/>
  <c r="G331" i="3"/>
  <c r="BA333" i="3"/>
  <c r="AZ333" i="3" s="1"/>
  <c r="BA348" i="3"/>
  <c r="AZ348" i="3" s="1"/>
  <c r="BA349" i="3"/>
  <c r="G364" i="3"/>
  <c r="BA366" i="3"/>
  <c r="AZ366" i="3" s="1"/>
  <c r="BL375" i="3"/>
  <c r="AZ375" i="3" s="1"/>
  <c r="G382" i="3"/>
  <c r="BA384" i="3"/>
  <c r="AZ384" i="3" s="1"/>
  <c r="BA395" i="3"/>
  <c r="AZ395" i="3" s="1"/>
  <c r="BA396" i="3"/>
  <c r="AZ396" i="3" s="1"/>
  <c r="G209" i="3"/>
  <c r="G210" i="3"/>
  <c r="BL210" i="3"/>
  <c r="BL215" i="3"/>
  <c r="AZ215" i="3" s="1"/>
  <c r="BA219" i="3"/>
  <c r="AZ219" i="3" s="1"/>
  <c r="G222" i="3"/>
  <c r="G223" i="3"/>
  <c r="G224" i="3"/>
  <c r="G225" i="3"/>
  <c r="BL225" i="3"/>
  <c r="BA230" i="3"/>
  <c r="AZ230" i="3" s="1"/>
  <c r="BL232" i="3"/>
  <c r="AZ232" i="3" s="1"/>
  <c r="G237" i="3"/>
  <c r="G238" i="3"/>
  <c r="G239" i="3"/>
  <c r="BL239" i="3"/>
  <c r="BA242" i="3"/>
  <c r="AZ242" i="3" s="1"/>
  <c r="BA243" i="3"/>
  <c r="AZ243" i="3" s="1"/>
  <c r="BL245" i="3"/>
  <c r="AZ245" i="3" s="1"/>
  <c r="BL250" i="3"/>
  <c r="AZ250" i="3" s="1"/>
  <c r="BL257" i="3"/>
  <c r="AZ257" i="3" s="1"/>
  <c r="BA262" i="3"/>
  <c r="AZ262" i="3" s="1"/>
  <c r="BA263" i="3"/>
  <c r="BL265" i="3"/>
  <c r="AZ265" i="3" s="1"/>
  <c r="G273" i="3"/>
  <c r="G274" i="3"/>
  <c r="BL274" i="3"/>
  <c r="BA278" i="3"/>
  <c r="AZ278" i="3" s="1"/>
  <c r="BA279" i="3"/>
  <c r="AZ279" i="3" s="1"/>
  <c r="BA280" i="3"/>
  <c r="AZ280" i="3" s="1"/>
  <c r="BA281" i="3"/>
  <c r="AZ281" i="3" s="1"/>
  <c r="BL283" i="3"/>
  <c r="AZ283" i="3" s="1"/>
  <c r="BL288" i="3"/>
  <c r="AZ288" i="3" s="1"/>
  <c r="BL290" i="3"/>
  <c r="BL292" i="3"/>
  <c r="G293" i="3"/>
  <c r="BL293" i="3"/>
  <c r="BL113" i="3"/>
  <c r="G114" i="3"/>
  <c r="BA118" i="3"/>
  <c r="AZ118" i="3" s="1"/>
  <c r="BA121" i="3"/>
  <c r="AZ121" i="3" s="1"/>
  <c r="BA128" i="3"/>
  <c r="AZ128" i="3" s="1"/>
  <c r="BL147" i="3"/>
  <c r="AZ147" i="3" s="1"/>
  <c r="BL157" i="3"/>
  <c r="G158" i="3"/>
  <c r="BL167" i="3"/>
  <c r="AZ167" i="3" s="1"/>
  <c r="BA169" i="3"/>
  <c r="BL173" i="3"/>
  <c r="AZ173" i="3" s="1"/>
  <c r="BA174" i="3"/>
  <c r="AZ174" i="3" s="1"/>
  <c r="BL178" i="3"/>
  <c r="AZ178" i="3" s="1"/>
  <c r="BA192" i="3"/>
  <c r="AZ192" i="3" s="1"/>
  <c r="BL195" i="3"/>
  <c r="AZ195" i="3" s="1"/>
  <c r="BL19" i="3"/>
  <c r="G20" i="3"/>
  <c r="BA21" i="3"/>
  <c r="AZ21" i="3" s="1"/>
  <c r="AZ46" i="3"/>
  <c r="AZ70" i="3"/>
  <c r="AZ76" i="3"/>
  <c r="M100" i="43"/>
  <c r="M108" i="43"/>
  <c r="W21" i="21"/>
  <c r="AC21" i="21"/>
  <c r="AB24" i="71"/>
  <c r="AB23" i="71"/>
  <c r="AA24" i="71"/>
  <c r="AA25" i="71"/>
  <c r="BL299" i="3"/>
  <c r="AZ299" i="3" s="1"/>
  <c r="BL302" i="3"/>
  <c r="AZ125" i="3"/>
  <c r="AZ68" i="3"/>
  <c r="AZ81" i="3"/>
  <c r="AZ92" i="3"/>
  <c r="BA476" i="3"/>
  <c r="AZ476" i="3" s="1"/>
  <c r="BA477" i="3"/>
  <c r="AZ477" i="3" s="1"/>
  <c r="G479" i="3"/>
  <c r="BL479" i="3"/>
  <c r="BA482" i="3"/>
  <c r="G485" i="3"/>
  <c r="BL485" i="3"/>
  <c r="BL487" i="3"/>
  <c r="G311" i="3"/>
  <c r="G327" i="3"/>
  <c r="G343" i="3"/>
  <c r="G351" i="3"/>
  <c r="BA354" i="3"/>
  <c r="AZ354" i="3" s="1"/>
  <c r="BL368" i="3"/>
  <c r="AZ368" i="3" s="1"/>
  <c r="G374" i="3"/>
  <c r="BL385" i="3"/>
  <c r="G387" i="3"/>
  <c r="BA211" i="3"/>
  <c r="BL213" i="3"/>
  <c r="AZ213" i="3" s="1"/>
  <c r="BA216" i="3"/>
  <c r="AZ216" i="3" s="1"/>
  <c r="BL218" i="3"/>
  <c r="AZ218" i="3" s="1"/>
  <c r="BA226" i="3"/>
  <c r="AZ226" i="3" s="1"/>
  <c r="BA227" i="3"/>
  <c r="AZ227" i="3" s="1"/>
  <c r="BL229" i="3"/>
  <c r="AZ229" i="3" s="1"/>
  <c r="BL234" i="3"/>
  <c r="AZ234" i="3" s="1"/>
  <c r="BL241" i="3"/>
  <c r="AZ241" i="3" s="1"/>
  <c r="BA246" i="3"/>
  <c r="AZ246" i="3" s="1"/>
  <c r="BL248" i="3"/>
  <c r="AZ248" i="3" s="1"/>
  <c r="G253" i="3"/>
  <c r="G254" i="3"/>
  <c r="G255" i="3"/>
  <c r="BL255" i="3"/>
  <c r="AZ255" i="3" s="1"/>
  <c r="BA258" i="3"/>
  <c r="AZ258" i="3" s="1"/>
  <c r="BA259" i="3"/>
  <c r="AZ259" i="3" s="1"/>
  <c r="BL261" i="3"/>
  <c r="AZ261" i="3" s="1"/>
  <c r="G268" i="3"/>
  <c r="G269" i="3"/>
  <c r="G270" i="3"/>
  <c r="BL270" i="3"/>
  <c r="AZ270" i="3" s="1"/>
  <c r="G277" i="3"/>
  <c r="BL277" i="3"/>
  <c r="BA284" i="3"/>
  <c r="AZ284" i="3" s="1"/>
  <c r="BL286" i="3"/>
  <c r="AZ286" i="3" s="1"/>
  <c r="BA289" i="3"/>
  <c r="AZ289" i="3" s="1"/>
  <c r="BA290" i="3"/>
  <c r="AZ290" i="3" s="1"/>
  <c r="BA292" i="3"/>
  <c r="AZ292" i="3" s="1"/>
  <c r="BA294" i="3"/>
  <c r="AZ294" i="3" s="1"/>
  <c r="BA295" i="3"/>
  <c r="AZ295" i="3" s="1"/>
  <c r="BA296" i="3"/>
  <c r="AZ296" i="3" s="1"/>
  <c r="BA297" i="3"/>
  <c r="AZ297" i="3" s="1"/>
  <c r="G302" i="3"/>
  <c r="BA113" i="3"/>
  <c r="G116" i="3"/>
  <c r="BL117" i="3"/>
  <c r="AZ117" i="3" s="1"/>
  <c r="BL119" i="3"/>
  <c r="AZ119" i="3" s="1"/>
  <c r="BL125" i="3"/>
  <c r="BL127" i="3"/>
  <c r="BL129" i="3"/>
  <c r="AZ129" i="3" s="1"/>
  <c r="BA130" i="3"/>
  <c r="AZ130" i="3" s="1"/>
  <c r="BA136" i="3"/>
  <c r="AZ136" i="3" s="1"/>
  <c r="BL139" i="3"/>
  <c r="AZ139" i="3" s="1"/>
  <c r="BA148" i="3"/>
  <c r="AZ148" i="3" s="1"/>
  <c r="BL151" i="3"/>
  <c r="AZ151" i="3" s="1"/>
  <c r="G152" i="3"/>
  <c r="BA157" i="3"/>
  <c r="G160" i="3"/>
  <c r="BL163" i="3"/>
  <c r="AZ163" i="3" s="1"/>
  <c r="G171" i="3"/>
  <c r="BA172" i="3"/>
  <c r="AZ172" i="3" s="1"/>
  <c r="BA177" i="3"/>
  <c r="AZ177" i="3" s="1"/>
  <c r="G182" i="3"/>
  <c r="BL182" i="3"/>
  <c r="AZ182" i="3" s="1"/>
  <c r="BL185" i="3"/>
  <c r="BL186" i="3"/>
  <c r="AZ186" i="3" s="1"/>
  <c r="BA196" i="3"/>
  <c r="AZ196" i="3" s="1"/>
  <c r="BL199" i="3"/>
  <c r="AZ199" i="3" s="1"/>
  <c r="G200" i="3"/>
  <c r="BA19" i="3"/>
  <c r="AZ19" i="3" s="1"/>
  <c r="G23" i="3"/>
  <c r="AZ90" i="3"/>
  <c r="AZ96" i="3"/>
  <c r="AZ106" i="3"/>
  <c r="P58" i="71"/>
  <c r="E57" i="71"/>
  <c r="U58" i="71"/>
  <c r="E13" i="71"/>
  <c r="E12" i="71" s="1"/>
  <c r="E11" i="71" s="1"/>
  <c r="E10" i="71" s="1"/>
  <c r="V14" i="71"/>
  <c r="BL131" i="3"/>
  <c r="AZ131" i="3" s="1"/>
  <c r="BA134" i="3"/>
  <c r="AZ134" i="3" s="1"/>
  <c r="BA137" i="3"/>
  <c r="AZ137" i="3" s="1"/>
  <c r="BA138" i="3"/>
  <c r="AZ138" i="3" s="1"/>
  <c r="BL149" i="3"/>
  <c r="AZ149" i="3" s="1"/>
  <c r="BA156" i="3"/>
  <c r="AZ156" i="3" s="1"/>
  <c r="BA161" i="3"/>
  <c r="AZ161" i="3" s="1"/>
  <c r="BA162" i="3"/>
  <c r="AZ162" i="3" s="1"/>
  <c r="BL166" i="3"/>
  <c r="AZ166" i="3" s="1"/>
  <c r="BL169" i="3"/>
  <c r="BL175" i="3"/>
  <c r="AZ175" i="3" s="1"/>
  <c r="BL179" i="3"/>
  <c r="BA184" i="3"/>
  <c r="AZ184" i="3" s="1"/>
  <c r="BA189" i="3"/>
  <c r="AZ189" i="3" s="1"/>
  <c r="BA190" i="3"/>
  <c r="AZ190" i="3" s="1"/>
  <c r="BL197" i="3"/>
  <c r="AZ197" i="3" s="1"/>
  <c r="BA204" i="3"/>
  <c r="AZ204" i="3" s="1"/>
  <c r="G206" i="3"/>
  <c r="G207" i="3"/>
  <c r="BL207" i="3"/>
  <c r="BA25" i="3"/>
  <c r="BL29" i="3"/>
  <c r="BL68" i="3"/>
  <c r="BL74" i="3"/>
  <c r="AZ74" i="3" s="1"/>
  <c r="BL79" i="3"/>
  <c r="AZ79" i="3" s="1"/>
  <c r="BL88" i="3"/>
  <c r="AZ88" i="3" s="1"/>
  <c r="BL101" i="3"/>
  <c r="AZ101" i="3" s="1"/>
  <c r="BL105" i="3"/>
  <c r="AZ105" i="3" s="1"/>
  <c r="BL111" i="3"/>
  <c r="AZ111" i="3" s="1"/>
  <c r="I108" i="43"/>
  <c r="I100" i="43"/>
  <c r="AC21" i="34"/>
  <c r="W21" i="34"/>
  <c r="D65" i="71"/>
  <c r="C64" i="71"/>
  <c r="D64" i="71" s="1"/>
  <c r="D17" i="71"/>
  <c r="C16" i="71"/>
  <c r="D16" i="71" s="1"/>
  <c r="BL291" i="3"/>
  <c r="AZ291" i="3" s="1"/>
  <c r="G301" i="3"/>
  <c r="BL301" i="3"/>
  <c r="BL115" i="3"/>
  <c r="AZ115" i="3" s="1"/>
  <c r="BA124" i="3"/>
  <c r="AZ124" i="3" s="1"/>
  <c r="BA126" i="3"/>
  <c r="AZ126" i="3" s="1"/>
  <c r="G130" i="3"/>
  <c r="G131" i="3"/>
  <c r="BL133" i="3"/>
  <c r="AZ133" i="3" s="1"/>
  <c r="BA141" i="3"/>
  <c r="AZ141" i="3" s="1"/>
  <c r="BA142" i="3"/>
  <c r="AZ142" i="3" s="1"/>
  <c r="BA145" i="3"/>
  <c r="AZ145" i="3" s="1"/>
  <c r="BA146" i="3"/>
  <c r="AZ146" i="3" s="1"/>
  <c r="BL150" i="3"/>
  <c r="AZ150" i="3" s="1"/>
  <c r="BL153" i="3"/>
  <c r="BL159" i="3"/>
  <c r="AZ159" i="3" s="1"/>
  <c r="G168" i="3"/>
  <c r="BL170" i="3"/>
  <c r="AZ170" i="3" s="1"/>
  <c r="G174" i="3"/>
  <c r="G175" i="3"/>
  <c r="G178" i="3"/>
  <c r="G179" i="3"/>
  <c r="BL181" i="3"/>
  <c r="AZ181" i="3" s="1"/>
  <c r="BA188" i="3"/>
  <c r="AZ188" i="3" s="1"/>
  <c r="BA193" i="3"/>
  <c r="AZ193" i="3" s="1"/>
  <c r="BA194" i="3"/>
  <c r="AZ194" i="3" s="1"/>
  <c r="BL198" i="3"/>
  <c r="AZ198" i="3" s="1"/>
  <c r="BL201" i="3"/>
  <c r="AZ201" i="3" s="1"/>
  <c r="BA205" i="3"/>
  <c r="AZ205" i="3" s="1"/>
  <c r="BA206" i="3"/>
  <c r="AZ206" i="3" s="1"/>
  <c r="BL21" i="3"/>
  <c r="G22" i="3"/>
  <c r="BL22" i="3"/>
  <c r="AZ22" i="3" s="1"/>
  <c r="BL28" i="3"/>
  <c r="BA30" i="3"/>
  <c r="AZ30" i="3" s="1"/>
  <c r="BA32" i="3"/>
  <c r="AZ32" i="3" s="1"/>
  <c r="BA34" i="3"/>
  <c r="AZ34" i="3" s="1"/>
  <c r="BA35" i="3"/>
  <c r="AZ35" i="3" s="1"/>
  <c r="BA37" i="3"/>
  <c r="AZ37" i="3" s="1"/>
  <c r="BA38" i="3"/>
  <c r="AZ38" i="3" s="1"/>
  <c r="BA39" i="3"/>
  <c r="AZ39" i="3" s="1"/>
  <c r="BA41" i="3"/>
  <c r="AZ41" i="3" s="1"/>
  <c r="BA43" i="3"/>
  <c r="AZ43" i="3" s="1"/>
  <c r="BA44" i="3"/>
  <c r="AZ44" i="3" s="1"/>
  <c r="BA45" i="3"/>
  <c r="AZ45" i="3" s="1"/>
  <c r="BA47" i="3"/>
  <c r="AZ47" i="3" s="1"/>
  <c r="BA48" i="3"/>
  <c r="AZ48" i="3" s="1"/>
  <c r="BA50" i="3"/>
  <c r="AZ50" i="3" s="1"/>
  <c r="BA52" i="3"/>
  <c r="AZ52" i="3" s="1"/>
  <c r="BA54" i="3"/>
  <c r="AZ54" i="3" s="1"/>
  <c r="BA55" i="3"/>
  <c r="AZ55" i="3" s="1"/>
  <c r="BA57" i="3"/>
  <c r="AZ57" i="3" s="1"/>
  <c r="BA58" i="3"/>
  <c r="AZ58" i="3" s="1"/>
  <c r="BA59" i="3"/>
  <c r="AZ59" i="3" s="1"/>
  <c r="BA61" i="3"/>
  <c r="AZ61" i="3" s="1"/>
  <c r="BA62" i="3"/>
  <c r="AZ62" i="3" s="1"/>
  <c r="BA63" i="3"/>
  <c r="AZ63" i="3" s="1"/>
  <c r="BL67" i="3"/>
  <c r="E100" i="43"/>
  <c r="E108" i="43"/>
  <c r="D20" i="71"/>
  <c r="C21" i="71"/>
  <c r="AB20" i="71"/>
  <c r="AB17" i="71"/>
  <c r="AB19" i="71"/>
  <c r="AA18" i="71"/>
  <c r="AA21" i="71"/>
  <c r="AA22" i="71"/>
  <c r="AB28" i="71"/>
  <c r="AB27" i="71"/>
  <c r="C53" i="71"/>
  <c r="D52" i="71"/>
  <c r="B65" i="71"/>
  <c r="B64" i="71" s="1"/>
  <c r="U66" i="71"/>
  <c r="E65" i="71"/>
  <c r="E64" i="71" s="1"/>
  <c r="BA27" i="3"/>
  <c r="AZ27" i="3" s="1"/>
  <c r="BA28" i="3"/>
  <c r="AZ28" i="3" s="1"/>
  <c r="BA29" i="3"/>
  <c r="BL31" i="3"/>
  <c r="AZ31" i="3" s="1"/>
  <c r="G35" i="3"/>
  <c r="G36" i="3"/>
  <c r="BL36" i="3"/>
  <c r="BL42" i="3"/>
  <c r="AZ42" i="3" s="1"/>
  <c r="G49" i="3"/>
  <c r="BL49" i="3"/>
  <c r="AZ49" i="3" s="1"/>
  <c r="BL53" i="3"/>
  <c r="AZ53" i="3" s="1"/>
  <c r="G58" i="3"/>
  <c r="G59" i="3"/>
  <c r="G60" i="3"/>
  <c r="BL60" i="3"/>
  <c r="BA65" i="3"/>
  <c r="AZ65" i="3" s="1"/>
  <c r="BA66" i="3"/>
  <c r="AZ66" i="3" s="1"/>
  <c r="BA67" i="3"/>
  <c r="AZ67" i="3" s="1"/>
  <c r="BL69" i="3"/>
  <c r="AZ69" i="3" s="1"/>
  <c r="BL75" i="3"/>
  <c r="AZ75" i="3" s="1"/>
  <c r="BL80" i="3"/>
  <c r="AZ80" i="3" s="1"/>
  <c r="BL89" i="3"/>
  <c r="AZ89" i="3" s="1"/>
  <c r="G93" i="3"/>
  <c r="G94" i="3"/>
  <c r="G95" i="3"/>
  <c r="BL95" i="3"/>
  <c r="AZ95" i="3" s="1"/>
  <c r="BA99" i="3"/>
  <c r="AZ99" i="3" s="1"/>
  <c r="G103" i="3"/>
  <c r="BL112" i="3"/>
  <c r="AA21" i="33"/>
  <c r="S21" i="33"/>
  <c r="AA21" i="37"/>
  <c r="S21" i="37"/>
  <c r="AA19" i="71"/>
  <c r="AA20" i="71"/>
  <c r="X23" i="71"/>
  <c r="X21" i="71"/>
  <c r="AB26" i="71"/>
  <c r="F56" i="71"/>
  <c r="Q57" i="71"/>
  <c r="AA3" i="71"/>
  <c r="AA15" i="71"/>
  <c r="AA17" i="71"/>
  <c r="BA23" i="3"/>
  <c r="AZ23" i="3" s="1"/>
  <c r="BA24" i="3"/>
  <c r="AZ24" i="3" s="1"/>
  <c r="BL26" i="3"/>
  <c r="AZ26" i="3" s="1"/>
  <c r="BL33" i="3"/>
  <c r="AZ33" i="3" s="1"/>
  <c r="G39" i="3"/>
  <c r="G40" i="3"/>
  <c r="BL40" i="3"/>
  <c r="AZ40" i="3" s="1"/>
  <c r="G45" i="3"/>
  <c r="G46" i="3"/>
  <c r="BL46" i="3"/>
  <c r="BL51" i="3"/>
  <c r="AZ51" i="3" s="1"/>
  <c r="G55" i="3"/>
  <c r="G56" i="3"/>
  <c r="BL56" i="3"/>
  <c r="AZ56" i="3" s="1"/>
  <c r="G63" i="3"/>
  <c r="G64" i="3"/>
  <c r="BL64" i="3"/>
  <c r="AZ64" i="3" s="1"/>
  <c r="G71" i="3"/>
  <c r="G72" i="3"/>
  <c r="G73" i="3"/>
  <c r="BL73" i="3"/>
  <c r="G77" i="3"/>
  <c r="G78" i="3"/>
  <c r="BL78" i="3"/>
  <c r="G82" i="3"/>
  <c r="G83" i="3"/>
  <c r="G84" i="3"/>
  <c r="G85" i="3"/>
  <c r="G86" i="3"/>
  <c r="G87" i="3"/>
  <c r="BL87" i="3"/>
  <c r="AZ87" i="3" s="1"/>
  <c r="G91" i="3"/>
  <c r="BL91" i="3"/>
  <c r="G97" i="3"/>
  <c r="G98" i="3"/>
  <c r="G99" i="3"/>
  <c r="BA103" i="3"/>
  <c r="AZ103" i="3" s="1"/>
  <c r="G109" i="3"/>
  <c r="BL109" i="3"/>
  <c r="AZ109" i="3" s="1"/>
  <c r="BA112" i="3"/>
  <c r="G9" i="1"/>
  <c r="E48" i="43"/>
  <c r="B46" i="43" s="1"/>
  <c r="L100" i="43"/>
  <c r="E17" i="71"/>
  <c r="E16" i="71" s="1"/>
  <c r="V18" i="71"/>
  <c r="X17" i="71"/>
  <c r="X18" i="71"/>
  <c r="AB22" i="71"/>
  <c r="E26" i="71"/>
  <c r="U26" i="71" s="1"/>
  <c r="U62" i="71"/>
  <c r="E61" i="71"/>
  <c r="E60" i="71" s="1"/>
  <c r="D78" i="71"/>
  <c r="C77" i="71"/>
  <c r="X16" i="71"/>
  <c r="S21" i="34"/>
  <c r="D18" i="71"/>
  <c r="U18" i="71" s="1"/>
  <c r="AB18" i="71"/>
  <c r="F18" i="71"/>
  <c r="F17" i="71" s="1"/>
  <c r="F16" i="71" s="1"/>
  <c r="C57" i="71"/>
  <c r="B17" i="71"/>
  <c r="B16" i="71" s="1"/>
  <c r="Y17" i="71"/>
  <c r="Z17" i="71" s="1"/>
  <c r="Y15" i="71"/>
  <c r="Z15" i="71" s="1"/>
  <c r="X25" i="71"/>
  <c r="AA23" i="71"/>
  <c r="AA27" i="71"/>
  <c r="X19" i="71"/>
  <c r="AB21" i="71"/>
  <c r="AB25" i="71"/>
  <c r="E22" i="71"/>
  <c r="U22" i="71" s="1"/>
  <c r="B41" i="71"/>
  <c r="B42" i="71" s="1"/>
  <c r="S42" i="71" s="1"/>
  <c r="BL98" i="3"/>
  <c r="BL102" i="3"/>
  <c r="AZ102" i="3" s="1"/>
  <c r="G107" i="3"/>
  <c r="G108" i="3"/>
  <c r="BL108" i="3"/>
  <c r="AZ108" i="3" s="1"/>
  <c r="E59" i="43"/>
  <c r="B57" i="43" s="1"/>
  <c r="AB21" i="33"/>
  <c r="Y18" i="71"/>
  <c r="Z18" i="71" s="1"/>
  <c r="F21" i="71"/>
  <c r="F22" i="71" s="1"/>
  <c r="V22" i="71" s="1"/>
  <c r="Y22" i="71"/>
  <c r="Z22" i="71" s="1"/>
  <c r="F25" i="71"/>
  <c r="F26" i="71" s="1"/>
  <c r="V26" i="71" s="1"/>
  <c r="Y26" i="71"/>
  <c r="Z26" i="71" s="1"/>
  <c r="F29" i="71"/>
  <c r="F30" i="71" s="1"/>
  <c r="V30" i="71" s="1"/>
  <c r="AF10" i="43"/>
  <c r="AA10" i="43"/>
  <c r="K56" i="9"/>
  <c r="U13" i="21"/>
  <c r="AB13" i="21"/>
  <c r="W27" i="21"/>
  <c r="AC27" i="21"/>
  <c r="W29" i="21"/>
  <c r="AC29" i="21"/>
  <c r="AC26" i="33"/>
  <c r="W26" i="33"/>
  <c r="E9" i="71"/>
  <c r="E8" i="71" s="1"/>
  <c r="E7" i="71" s="1"/>
  <c r="E6" i="71" s="1"/>
  <c r="E5" i="71" s="1"/>
  <c r="V10" i="71"/>
  <c r="AZ521" i="3"/>
  <c r="S12" i="21"/>
  <c r="AA12" i="21"/>
  <c r="W27" i="34"/>
  <c r="AC27" i="34"/>
  <c r="D124" i="9"/>
  <c r="AC23" i="21"/>
  <c r="AB45" i="21"/>
  <c r="AC15" i="21"/>
  <c r="AA11" i="37"/>
  <c r="AA39" i="34"/>
  <c r="H36" i="35"/>
  <c r="J36" i="35"/>
  <c r="AZ400" i="3"/>
  <c r="AZ413" i="3"/>
  <c r="AZ424" i="3"/>
  <c r="U31" i="34"/>
  <c r="H12" i="21"/>
  <c r="J12" i="21"/>
  <c r="J34" i="35"/>
  <c r="H34" i="35"/>
  <c r="F34" i="35"/>
  <c r="H38" i="40"/>
  <c r="J38" i="40"/>
  <c r="H39" i="40"/>
  <c r="G14" i="3"/>
  <c r="BH5" i="3"/>
  <c r="BJ5" i="3"/>
  <c r="BQ5" i="3"/>
  <c r="AZ443" i="3"/>
  <c r="AZ451" i="3"/>
  <c r="AZ461" i="3"/>
  <c r="AZ247" i="3"/>
  <c r="F34" i="78"/>
  <c r="F62" i="78" s="1"/>
  <c r="M20" i="78"/>
  <c r="E5" i="6"/>
  <c r="D9" i="68" s="1"/>
  <c r="C9" i="68" s="1"/>
  <c r="BA15" i="3"/>
  <c r="BE5" i="3"/>
  <c r="BL14" i="3"/>
  <c r="BR5" i="3"/>
  <c r="G28" i="6" s="1"/>
  <c r="AZ469" i="3"/>
  <c r="AZ475" i="3"/>
  <c r="AZ479" i="3"/>
  <c r="AZ483" i="3"/>
  <c r="AZ485" i="3"/>
  <c r="AZ385" i="3"/>
  <c r="AZ210" i="3"/>
  <c r="AZ225" i="3"/>
  <c r="AZ239" i="3"/>
  <c r="AZ274" i="3"/>
  <c r="AZ277" i="3"/>
  <c r="AZ298" i="3"/>
  <c r="AZ301" i="3"/>
  <c r="AZ122" i="3"/>
  <c r="AZ153" i="3"/>
  <c r="AZ185" i="3"/>
  <c r="AZ207" i="3"/>
  <c r="AZ25" i="3"/>
  <c r="AZ36" i="3"/>
  <c r="AZ60" i="3"/>
  <c r="AZ73" i="3"/>
  <c r="AZ78" i="3"/>
  <c r="AZ91" i="3"/>
  <c r="AZ98" i="3"/>
  <c r="AZ100" i="3"/>
  <c r="AZ104" i="3"/>
  <c r="B10" i="1"/>
  <c r="E10" i="1" s="1"/>
  <c r="K10" i="1"/>
  <c r="M10" i="1" s="1"/>
  <c r="O10" i="1" s="1"/>
  <c r="C33" i="71"/>
  <c r="D32" i="71"/>
  <c r="C37" i="71"/>
  <c r="D37" i="71" s="1"/>
  <c r="D36" i="71"/>
  <c r="D40" i="71"/>
  <c r="C41" i="71"/>
  <c r="D44" i="71"/>
  <c r="C45" i="71"/>
  <c r="D48" i="71"/>
  <c r="C49" i="71"/>
  <c r="D25" i="71"/>
  <c r="C26" i="71"/>
  <c r="Y14" i="71"/>
  <c r="Z14" i="71" s="1"/>
  <c r="AA13" i="71"/>
  <c r="X12" i="71"/>
  <c r="AA11" i="71"/>
  <c r="X8" i="71"/>
  <c r="AA8" i="71"/>
  <c r="X5" i="71"/>
  <c r="AA5" i="71"/>
  <c r="X7" i="71"/>
  <c r="X14" i="71"/>
  <c r="Y12" i="71"/>
  <c r="Z12" i="71" s="1"/>
  <c r="AB13" i="71"/>
  <c r="Y8" i="71"/>
  <c r="Z8" i="71" s="1"/>
  <c r="AA7" i="71"/>
  <c r="AB8" i="71"/>
  <c r="AB5" i="71"/>
  <c r="Y7" i="71"/>
  <c r="Z7" i="71" s="1"/>
  <c r="Y11" i="71"/>
  <c r="Z11" i="71" s="1"/>
  <c r="AA12" i="71"/>
  <c r="AB11" i="71"/>
  <c r="X11" i="71"/>
  <c r="Y6" i="71"/>
  <c r="Z6" i="71" s="1"/>
  <c r="AA6" i="71"/>
  <c r="AH10" i="43"/>
  <c r="AD10" i="43"/>
  <c r="Z10" i="43"/>
  <c r="AG10" i="43"/>
  <c r="AC10" i="43"/>
  <c r="AA14" i="71"/>
  <c r="AB14" i="71"/>
  <c r="B14" i="71"/>
  <c r="C14" i="71"/>
  <c r="Y13" i="71"/>
  <c r="Z13" i="71" s="1"/>
  <c r="AB7" i="71"/>
  <c r="Y5" i="71"/>
  <c r="D23" i="15"/>
  <c r="G22" i="68"/>
  <c r="G22" i="11"/>
  <c r="D22" i="15"/>
  <c r="G25" i="12"/>
  <c r="G27" i="12"/>
  <c r="G41" i="69"/>
  <c r="G41" i="11"/>
  <c r="G41" i="68"/>
  <c r="G26" i="12"/>
  <c r="AA30" i="40"/>
  <c r="S30" i="40"/>
  <c r="E11" i="43"/>
  <c r="E8" i="43"/>
  <c r="E9" i="43"/>
  <c r="E10" i="43"/>
  <c r="B4" i="62"/>
  <c r="B71" i="72" s="1"/>
  <c r="C23" i="12"/>
  <c r="G19" i="43"/>
  <c r="O19" i="43" s="1"/>
  <c r="C7" i="21"/>
  <c r="C58" i="21" s="1"/>
  <c r="D58" i="21" s="1"/>
  <c r="E58" i="21" s="1"/>
  <c r="F58" i="21" s="1"/>
  <c r="G58" i="21" s="1"/>
  <c r="H58" i="21" s="1"/>
  <c r="I58" i="21" s="1"/>
  <c r="J58" i="21" s="1"/>
  <c r="K58" i="21" s="1"/>
  <c r="L58" i="21" s="1"/>
  <c r="M58" i="21" s="1"/>
  <c r="N58" i="21" s="1"/>
  <c r="O58" i="21" s="1"/>
  <c r="C7" i="39"/>
  <c r="C68" i="39" s="1"/>
  <c r="S9" i="1"/>
  <c r="AQ9" i="1" s="1"/>
  <c r="S13" i="1"/>
  <c r="AR13" i="1" s="1"/>
  <c r="AC30" i="40"/>
  <c r="C7" i="37"/>
  <c r="C52" i="37" s="1"/>
  <c r="D52" i="37" s="1"/>
  <c r="E52" i="37" s="1"/>
  <c r="F52" i="37" s="1"/>
  <c r="G52" i="37" s="1"/>
  <c r="H52" i="37" s="1"/>
  <c r="I52" i="37" s="1"/>
  <c r="J52" i="37" s="1"/>
  <c r="K52" i="37" s="1"/>
  <c r="L52" i="37" s="1"/>
  <c r="M52" i="37" s="1"/>
  <c r="N52" i="37" s="1"/>
  <c r="O52" i="37" s="1"/>
  <c r="K8" i="1"/>
  <c r="M8" i="1" s="1"/>
  <c r="B13" i="1"/>
  <c r="E13" i="1" s="1"/>
  <c r="C21" i="68"/>
  <c r="C24" i="12"/>
  <c r="R9" i="1"/>
  <c r="R13" i="1"/>
  <c r="R10" i="1"/>
  <c r="C7" i="34"/>
  <c r="C59" i="34" s="1"/>
  <c r="D59" i="34" s="1"/>
  <c r="E59" i="34" s="1"/>
  <c r="C77" i="9"/>
  <c r="C74" i="9" s="1"/>
  <c r="A24" i="51"/>
  <c r="B18" i="72" s="1"/>
  <c r="B8" i="1"/>
  <c r="E8" i="1" s="1"/>
  <c r="G10" i="1"/>
  <c r="G12" i="1"/>
  <c r="G8" i="1"/>
  <c r="A126" i="9"/>
  <c r="A12" i="52" s="1"/>
  <c r="B56" i="72" s="1"/>
  <c r="H60" i="43"/>
  <c r="D17" i="53"/>
  <c r="B36" i="72" s="1"/>
  <c r="M49" i="9"/>
  <c r="H111" i="9"/>
  <c r="C7" i="40"/>
  <c r="C63" i="40" s="1"/>
  <c r="C7" i="35"/>
  <c r="C48" i="35" s="1"/>
  <c r="C7" i="36"/>
  <c r="C46" i="36" s="1"/>
  <c r="D46" i="36" s="1"/>
  <c r="G11" i="1"/>
  <c r="G13" i="1"/>
  <c r="J51" i="15"/>
  <c r="C40" i="69"/>
  <c r="F51" i="78"/>
  <c r="C27" i="78"/>
  <c r="F64" i="78"/>
  <c r="F65" i="78"/>
  <c r="F66" i="78"/>
  <c r="F68" i="78"/>
  <c r="M59" i="78"/>
  <c r="L59" i="78"/>
  <c r="L58" i="78"/>
  <c r="N59" i="78"/>
  <c r="I54" i="78"/>
  <c r="J57" i="78"/>
  <c r="J55" i="78" s="1"/>
  <c r="J58" i="78" s="1"/>
  <c r="Q50" i="78" s="1"/>
  <c r="J53" i="78"/>
  <c r="Q71" i="78"/>
  <c r="G1" i="68"/>
  <c r="F3" i="35"/>
  <c r="G1" i="69"/>
  <c r="G1" i="67"/>
  <c r="B6" i="1"/>
  <c r="E6" i="1" s="1"/>
  <c r="K6" i="1"/>
  <c r="P61" i="15"/>
  <c r="J82" i="43"/>
  <c r="J87" i="43"/>
  <c r="E81" i="43"/>
  <c r="B79" i="43" s="1"/>
  <c r="C24" i="43" s="1"/>
  <c r="C94" i="9"/>
  <c r="C5" i="11"/>
  <c r="B41" i="1"/>
  <c r="D93" i="9"/>
  <c r="C40" i="11"/>
  <c r="E19" i="11"/>
  <c r="E19" i="69"/>
  <c r="F34" i="11"/>
  <c r="C36" i="11" s="1"/>
  <c r="D22" i="67"/>
  <c r="D23" i="67"/>
  <c r="BA14" i="3"/>
  <c r="AZ14" i="3" s="1"/>
  <c r="K7" i="1"/>
  <c r="B7" i="1"/>
  <c r="E7" i="1" s="1"/>
  <c r="K1" i="12"/>
  <c r="G1" i="15"/>
  <c r="H87" i="43"/>
  <c r="H83" i="43"/>
  <c r="H82" i="43"/>
  <c r="H88" i="43"/>
  <c r="H81" i="43"/>
  <c r="H86" i="43"/>
  <c r="H84" i="43"/>
  <c r="H85" i="43"/>
  <c r="H64" i="43"/>
  <c r="H76" i="43"/>
  <c r="H72" i="43"/>
  <c r="H75" i="43"/>
  <c r="H49" i="43"/>
  <c r="H51" i="43"/>
  <c r="H50" i="43"/>
  <c r="H63" i="43"/>
  <c r="H62" i="43"/>
  <c r="H48" i="43"/>
  <c r="H54" i="43"/>
  <c r="H67" i="43"/>
  <c r="H55" i="43"/>
  <c r="H66" i="43"/>
  <c r="H52" i="43"/>
  <c r="H61" i="43"/>
  <c r="H59" i="43"/>
  <c r="H56" i="43"/>
  <c r="I17" i="43"/>
  <c r="G17" i="43" s="1"/>
  <c r="C16" i="43" s="1"/>
  <c r="D5" i="43" s="1"/>
  <c r="H113" i="43"/>
  <c r="X7" i="43"/>
  <c r="F35" i="43"/>
  <c r="H5" i="3"/>
  <c r="G5" i="3"/>
  <c r="B3" i="3" s="1"/>
  <c r="E237" i="3" s="1"/>
  <c r="AC5" i="3"/>
  <c r="I4" i="6"/>
  <c r="G3" i="43" s="1"/>
  <c r="H101" i="43" s="1"/>
  <c r="BL15" i="3"/>
  <c r="AZ15" i="3" s="1"/>
  <c r="AQ12" i="1"/>
  <c r="T10" i="1"/>
  <c r="AR8" i="1"/>
  <c r="BM5" i="3"/>
  <c r="F29" i="6" s="1"/>
  <c r="BD5" i="3"/>
  <c r="AQ8" i="1"/>
  <c r="D19" i="12"/>
  <c r="C19" i="12" s="1"/>
  <c r="BS5" i="3"/>
  <c r="F28" i="6" s="1"/>
  <c r="BK5" i="3"/>
  <c r="BG5" i="3"/>
  <c r="D9" i="69"/>
  <c r="C9" i="69" s="1"/>
  <c r="P12" i="1"/>
  <c r="C36" i="69"/>
  <c r="AR12" i="1"/>
  <c r="AR9" i="1"/>
  <c r="BP5" i="3"/>
  <c r="O6" i="1"/>
  <c r="P6" i="1" s="1"/>
  <c r="BA13" i="3"/>
  <c r="BC5" i="3"/>
  <c r="O9" i="1"/>
  <c r="P9" i="1" s="1"/>
  <c r="O8" i="1"/>
  <c r="P8" i="1" s="1"/>
  <c r="O11" i="1"/>
  <c r="P11" i="1" s="1"/>
  <c r="T11" i="1"/>
  <c r="AR11" i="1"/>
  <c r="AQ11" i="1"/>
  <c r="BN5" i="3"/>
  <c r="BL13" i="3"/>
  <c r="BL5" i="3" s="1"/>
  <c r="L27" i="6"/>
  <c r="P10" i="1"/>
  <c r="O13" i="1"/>
  <c r="P13" i="1" s="1"/>
  <c r="D9" i="11"/>
  <c r="C9" i="11" s="1"/>
  <c r="AQ10" i="1"/>
  <c r="E8" i="49"/>
  <c r="B8" i="49"/>
  <c r="B10" i="49"/>
  <c r="E6" i="49"/>
  <c r="A118" i="9"/>
  <c r="A4" i="52"/>
  <c r="B41" i="72" s="1"/>
  <c r="C51" i="10"/>
  <c r="B4" i="49"/>
  <c r="E9" i="49"/>
  <c r="B22" i="49"/>
  <c r="E10" i="49"/>
  <c r="B6" i="49"/>
  <c r="E13" i="49"/>
  <c r="E14" i="49"/>
  <c r="E46" i="36"/>
  <c r="F46" i="36" s="1"/>
  <c r="G46" i="36" s="1"/>
  <c r="H46" i="36" s="1"/>
  <c r="I46" i="36" s="1"/>
  <c r="J46" i="36" s="1"/>
  <c r="K46" i="36" s="1"/>
  <c r="L46" i="36" s="1"/>
  <c r="M46" i="36" s="1"/>
  <c r="N46" i="36" s="1"/>
  <c r="O46" i="36" s="1"/>
  <c r="C65" i="40"/>
  <c r="D63" i="40"/>
  <c r="D58" i="33"/>
  <c r="E58" i="33" s="1"/>
  <c r="F58" i="33" s="1"/>
  <c r="G58" i="33" s="1"/>
  <c r="H58" i="33" s="1"/>
  <c r="I58" i="33" s="1"/>
  <c r="J58" i="33" s="1"/>
  <c r="K58" i="33" s="1"/>
  <c r="L58" i="33" s="1"/>
  <c r="M58" i="33" s="1"/>
  <c r="N58" i="33" s="1"/>
  <c r="O58" i="33" s="1"/>
  <c r="D48" i="35"/>
  <c r="E22" i="49"/>
  <c r="E21" i="49"/>
  <c r="B14" i="49"/>
  <c r="B9" i="49"/>
  <c r="E11" i="49"/>
  <c r="B11" i="49"/>
  <c r="E4" i="49"/>
  <c r="B13" i="49"/>
  <c r="E7" i="49"/>
  <c r="X6" i="71"/>
  <c r="AB6" i="71"/>
  <c r="Z5" i="71"/>
  <c r="Y3" i="71"/>
  <c r="Z3" i="71" s="1"/>
  <c r="F6" i="71"/>
  <c r="F5" i="71" s="1"/>
  <c r="AF3" i="71"/>
  <c r="P22" i="43" s="1"/>
  <c r="P21" i="43"/>
  <c r="C36" i="68"/>
  <c r="B10" i="70"/>
  <c r="K1" i="73"/>
  <c r="B20" i="31"/>
  <c r="I1" i="73"/>
  <c r="B39" i="1" s="1"/>
  <c r="B12" i="70"/>
  <c r="E20" i="43"/>
  <c r="B11" i="70"/>
  <c r="B8" i="70"/>
  <c r="B9" i="70"/>
  <c r="B13" i="70"/>
  <c r="F31" i="67"/>
  <c r="F59" i="67"/>
  <c r="F59" i="15"/>
  <c r="M17" i="15"/>
  <c r="M17" i="67"/>
  <c r="F31" i="15"/>
  <c r="C76" i="15"/>
  <c r="M9" i="67"/>
  <c r="F40" i="67"/>
  <c r="L48" i="67"/>
  <c r="M23" i="67"/>
  <c r="M29" i="78"/>
  <c r="M27" i="67"/>
  <c r="M29" i="67"/>
  <c r="F7" i="78"/>
  <c r="F38" i="67"/>
  <c r="F37" i="67"/>
  <c r="M22" i="67"/>
  <c r="M26" i="67"/>
  <c r="F43" i="67"/>
  <c r="M24" i="67"/>
  <c r="F42" i="15"/>
  <c r="D7" i="73"/>
  <c r="M8" i="15"/>
  <c r="C76" i="67"/>
  <c r="F26" i="15"/>
  <c r="F16" i="67"/>
  <c r="F36" i="67"/>
  <c r="L47" i="67"/>
  <c r="M29" i="15"/>
  <c r="M27" i="15"/>
  <c r="F13" i="67"/>
  <c r="F26" i="67"/>
  <c r="F7" i="67"/>
  <c r="F9" i="67"/>
  <c r="F43" i="78"/>
  <c r="F42" i="67"/>
  <c r="M6" i="67"/>
  <c r="M8" i="67"/>
  <c r="F8" i="67"/>
  <c r="M22" i="15"/>
  <c r="M28" i="67"/>
  <c r="J15" i="67"/>
  <c r="F6" i="67"/>
  <c r="G1" i="73"/>
  <c r="E511" i="3" l="1"/>
  <c r="E16" i="3"/>
  <c r="E386" i="3"/>
  <c r="E57" i="3"/>
  <c r="E268" i="3"/>
  <c r="P24" i="43"/>
  <c r="B66" i="40" s="1"/>
  <c r="K6" i="3"/>
  <c r="E288" i="3"/>
  <c r="Q6" i="3"/>
  <c r="E458" i="3"/>
  <c r="E222" i="3"/>
  <c r="E240" i="3"/>
  <c r="E421" i="3"/>
  <c r="E270" i="3"/>
  <c r="E126" i="3"/>
  <c r="M19" i="43"/>
  <c r="AZ112" i="3"/>
  <c r="Q56" i="71"/>
  <c r="Q55" i="71"/>
  <c r="AZ29" i="3"/>
  <c r="C22" i="71"/>
  <c r="D21" i="71"/>
  <c r="AZ113" i="3"/>
  <c r="AZ487" i="3"/>
  <c r="AZ474" i="3"/>
  <c r="AZ450" i="3"/>
  <c r="AZ500" i="3"/>
  <c r="AZ538" i="3"/>
  <c r="U12" i="36"/>
  <c r="AB12" i="36"/>
  <c r="U12" i="34"/>
  <c r="AB12" i="34"/>
  <c r="AB35" i="39"/>
  <c r="U35" i="39"/>
  <c r="AB45" i="39"/>
  <c r="U45" i="39"/>
  <c r="AA24" i="35"/>
  <c r="S24" i="35"/>
  <c r="W12" i="35"/>
  <c r="AC12" i="35"/>
  <c r="AB39" i="37"/>
  <c r="U39" i="37"/>
  <c r="AZ562" i="3"/>
  <c r="S33" i="40"/>
  <c r="AA33" i="40"/>
  <c r="AB28" i="33"/>
  <c r="U28" i="33"/>
  <c r="W45" i="21"/>
  <c r="AC45" i="21"/>
  <c r="AC12" i="37"/>
  <c r="W12" i="37"/>
  <c r="AC32" i="40"/>
  <c r="W32" i="40"/>
  <c r="AZ560" i="3"/>
  <c r="E172" i="3"/>
  <c r="E445" i="3"/>
  <c r="E453" i="3"/>
  <c r="E312" i="3"/>
  <c r="C56" i="71"/>
  <c r="O57" i="71"/>
  <c r="D57" i="71"/>
  <c r="S40" i="40"/>
  <c r="AA40" i="40"/>
  <c r="S12" i="36"/>
  <c r="AA12" i="36"/>
  <c r="AC35" i="39"/>
  <c r="W35" i="39"/>
  <c r="W45" i="39"/>
  <c r="AC45" i="39"/>
  <c r="AC24" i="35"/>
  <c r="W24" i="35"/>
  <c r="AC31" i="39"/>
  <c r="W31" i="39"/>
  <c r="W43" i="39"/>
  <c r="AC43" i="39"/>
  <c r="AC9" i="33"/>
  <c r="W9" i="33"/>
  <c r="AA12" i="37"/>
  <c r="S12" i="37"/>
  <c r="AA27" i="21"/>
  <c r="S27" i="21"/>
  <c r="AA13" i="40"/>
  <c r="S13" i="40"/>
  <c r="S39" i="37"/>
  <c r="AA39" i="37"/>
  <c r="S13" i="39"/>
  <c r="AA13" i="39"/>
  <c r="E219" i="3"/>
  <c r="E355" i="3"/>
  <c r="E559" i="3"/>
  <c r="E65" i="3"/>
  <c r="E520" i="3"/>
  <c r="E216" i="3"/>
  <c r="E425" i="3"/>
  <c r="P57" i="71"/>
  <c r="E56" i="71"/>
  <c r="AZ211" i="3"/>
  <c r="AZ169" i="3"/>
  <c r="AZ263" i="3"/>
  <c r="AZ403" i="3"/>
  <c r="S44" i="39"/>
  <c r="AA44" i="39"/>
  <c r="AC12" i="36"/>
  <c r="W12" i="36"/>
  <c r="U12" i="35"/>
  <c r="AB12" i="35"/>
  <c r="W13" i="39"/>
  <c r="AC13" i="39"/>
  <c r="AB33" i="40"/>
  <c r="U33" i="40"/>
  <c r="AB43" i="39"/>
  <c r="U43" i="39"/>
  <c r="AA9" i="33"/>
  <c r="S9" i="33"/>
  <c r="AA31" i="39"/>
  <c r="S31" i="39"/>
  <c r="AZ565" i="3"/>
  <c r="U13" i="40"/>
  <c r="AB13" i="40"/>
  <c r="AZ561" i="3"/>
  <c r="E67" i="3"/>
  <c r="E265" i="3"/>
  <c r="E454" i="3"/>
  <c r="E257" i="3"/>
  <c r="E160" i="3"/>
  <c r="E111" i="3"/>
  <c r="E305" i="3"/>
  <c r="E110" i="3"/>
  <c r="E416" i="3"/>
  <c r="E538" i="3"/>
  <c r="AM6" i="3"/>
  <c r="D77" i="71"/>
  <c r="C76" i="71"/>
  <c r="D76" i="71" s="1"/>
  <c r="D53" i="71"/>
  <c r="C54" i="71"/>
  <c r="AZ157" i="3"/>
  <c r="AZ482" i="3"/>
  <c r="AZ488" i="3"/>
  <c r="AZ578" i="3"/>
  <c r="U44" i="39"/>
  <c r="AB44" i="39"/>
  <c r="AC12" i="34"/>
  <c r="W12" i="34"/>
  <c r="S12" i="35"/>
  <c r="AA12" i="35"/>
  <c r="U9" i="21"/>
  <c r="AB9" i="21"/>
  <c r="W33" i="40"/>
  <c r="AC33" i="40"/>
  <c r="AC23" i="35"/>
  <c r="W23" i="35"/>
  <c r="W28" i="33"/>
  <c r="AC28" i="33"/>
  <c r="AA45" i="21"/>
  <c r="S45" i="21"/>
  <c r="AA23" i="35"/>
  <c r="S23" i="35"/>
  <c r="S32" i="40"/>
  <c r="AA32" i="40"/>
  <c r="E14" i="6"/>
  <c r="C19" i="43"/>
  <c r="C13" i="71"/>
  <c r="D14" i="71"/>
  <c r="U14" i="71" s="1"/>
  <c r="T14" i="71"/>
  <c r="T26" i="71"/>
  <c r="D26" i="71"/>
  <c r="D49" i="71"/>
  <c r="C50" i="71"/>
  <c r="D45" i="71"/>
  <c r="C46" i="71"/>
  <c r="D41" i="71"/>
  <c r="C42" i="71"/>
  <c r="AC38" i="40"/>
  <c r="W38" i="40"/>
  <c r="AA34" i="35"/>
  <c r="S34" i="35"/>
  <c r="AC34" i="35"/>
  <c r="W34" i="35"/>
  <c r="AB12" i="21"/>
  <c r="U12" i="21"/>
  <c r="AC36" i="35"/>
  <c r="W36" i="35"/>
  <c r="H14" i="74"/>
  <c r="B7" i="74" s="1"/>
  <c r="D125" i="9"/>
  <c r="D11" i="52" s="1"/>
  <c r="D10" i="52"/>
  <c r="E8" i="6"/>
  <c r="M18" i="67"/>
  <c r="F32" i="78"/>
  <c r="F60" i="78" s="1"/>
  <c r="F28" i="78"/>
  <c r="C28" i="78" s="1"/>
  <c r="M18" i="78"/>
  <c r="B13" i="71"/>
  <c r="B12" i="71" s="1"/>
  <c r="B11" i="71" s="1"/>
  <c r="B10" i="71" s="1"/>
  <c r="S14" i="71"/>
  <c r="D33" i="71"/>
  <c r="C34" i="71"/>
  <c r="U39" i="40"/>
  <c r="AB39" i="40"/>
  <c r="AB38" i="40"/>
  <c r="U38" i="40"/>
  <c r="U34" i="35"/>
  <c r="AB34" i="35"/>
  <c r="AC12" i="21"/>
  <c r="W12" i="21"/>
  <c r="AB36" i="35"/>
  <c r="U36" i="35"/>
  <c r="T9" i="1"/>
  <c r="F59" i="34"/>
  <c r="G59" i="34" s="1"/>
  <c r="H59" i="34" s="1"/>
  <c r="I59" i="34" s="1"/>
  <c r="J59" i="34" s="1"/>
  <c r="K59" i="34" s="1"/>
  <c r="L59" i="34" s="1"/>
  <c r="M59" i="34" s="1"/>
  <c r="N59" i="34" s="1"/>
  <c r="O59" i="34" s="1"/>
  <c r="C70" i="39"/>
  <c r="D68" i="39"/>
  <c r="L68" i="9"/>
  <c r="M68" i="9" s="1"/>
  <c r="L66" i="9"/>
  <c r="M66" i="9" s="1"/>
  <c r="L63" i="9"/>
  <c r="M63" i="9" s="1"/>
  <c r="M69" i="9" s="1"/>
  <c r="N69" i="9" s="1"/>
  <c r="L65" i="9"/>
  <c r="M65" i="9" s="1"/>
  <c r="L64" i="9"/>
  <c r="M64" i="9" s="1"/>
  <c r="L67" i="9"/>
  <c r="M67" i="9" s="1"/>
  <c r="D19" i="53"/>
  <c r="D126" i="9"/>
  <c r="H7" i="21"/>
  <c r="AB7" i="21" s="1"/>
  <c r="T48" i="21" s="1"/>
  <c r="G48" i="21" s="1"/>
  <c r="J7" i="21"/>
  <c r="W7" i="21" s="1"/>
  <c r="F7" i="21"/>
  <c r="AA7" i="21" s="1"/>
  <c r="R48" i="21" s="1"/>
  <c r="T13" i="1"/>
  <c r="H7" i="36"/>
  <c r="U7" i="36" s="1"/>
  <c r="F7" i="33"/>
  <c r="AA7" i="33" s="1"/>
  <c r="R48" i="33" s="1"/>
  <c r="J7" i="33"/>
  <c r="W7" i="33" s="1"/>
  <c r="AQ13" i="1"/>
  <c r="C7" i="43"/>
  <c r="E11" i="6"/>
  <c r="E56" i="40" s="1"/>
  <c r="E409" i="3"/>
  <c r="E218" i="3"/>
  <c r="E196" i="3"/>
  <c r="E55" i="3"/>
  <c r="E137" i="3"/>
  <c r="E254" i="3"/>
  <c r="E250" i="3"/>
  <c r="E378" i="3"/>
  <c r="E500" i="3"/>
  <c r="E149" i="3"/>
  <c r="E579" i="3"/>
  <c r="E291" i="3"/>
  <c r="E10" i="6"/>
  <c r="E15" i="6"/>
  <c r="F27" i="6"/>
  <c r="D29" i="43"/>
  <c r="D1" i="43" s="1"/>
  <c r="F71" i="78"/>
  <c r="M7" i="78"/>
  <c r="J6" i="78" s="1"/>
  <c r="J18" i="78" s="1"/>
  <c r="F50" i="78"/>
  <c r="C49" i="78" s="1"/>
  <c r="C6" i="78"/>
  <c r="C32" i="78" s="1"/>
  <c r="F71" i="67"/>
  <c r="F70" i="67"/>
  <c r="N59" i="67"/>
  <c r="L58" i="67"/>
  <c r="Q60" i="67" s="1"/>
  <c r="M59" i="67"/>
  <c r="L59" i="67"/>
  <c r="Q74" i="67" s="1"/>
  <c r="C27" i="67"/>
  <c r="C6" i="67"/>
  <c r="F65" i="67"/>
  <c r="Q71" i="67"/>
  <c r="F66" i="67"/>
  <c r="M7" i="67"/>
  <c r="J6" i="67" s="1"/>
  <c r="F50" i="67"/>
  <c r="L56" i="67"/>
  <c r="J53" i="67"/>
  <c r="Q52" i="67" s="1"/>
  <c r="J57" i="67"/>
  <c r="J55" i="67" s="1"/>
  <c r="J58" i="67" s="1"/>
  <c r="Q50" i="67" s="1"/>
  <c r="I54" i="67"/>
  <c r="F64" i="67"/>
  <c r="F51" i="67"/>
  <c r="F68" i="67"/>
  <c r="M7" i="1"/>
  <c r="O7" i="1" s="1"/>
  <c r="P7" i="1" s="1"/>
  <c r="Q61" i="78"/>
  <c r="Q74" i="78"/>
  <c r="L56" i="78"/>
  <c r="F1" i="78"/>
  <c r="Q52" i="78"/>
  <c r="Q73" i="78"/>
  <c r="Q60" i="78"/>
  <c r="M6" i="1"/>
  <c r="F11" i="78"/>
  <c r="M11" i="78"/>
  <c r="D68" i="9"/>
  <c r="F28" i="67"/>
  <c r="C28" i="67" s="1"/>
  <c r="F30" i="69"/>
  <c r="F32" i="15"/>
  <c r="F60" i="15" s="1"/>
  <c r="F30" i="11"/>
  <c r="F53" i="9"/>
  <c r="F52" i="9"/>
  <c r="F54" i="9"/>
  <c r="F31" i="12"/>
  <c r="C31" i="12" s="1"/>
  <c r="F28" i="15"/>
  <c r="C28" i="15" s="1"/>
  <c r="M18" i="15"/>
  <c r="F32" i="67"/>
  <c r="F60" i="67" s="1"/>
  <c r="F30" i="68"/>
  <c r="C48" i="68" s="1"/>
  <c r="M101" i="43"/>
  <c r="M105" i="43" s="1"/>
  <c r="E364" i="3"/>
  <c r="E381" i="3"/>
  <c r="E142" i="3"/>
  <c r="E171" i="3"/>
  <c r="E406" i="3"/>
  <c r="E262" i="3"/>
  <c r="E415" i="3"/>
  <c r="E52" i="3"/>
  <c r="E93" i="3"/>
  <c r="E471" i="3"/>
  <c r="E313" i="3"/>
  <c r="E165" i="3"/>
  <c r="E264" i="3"/>
  <c r="E371" i="3"/>
  <c r="E274" i="3"/>
  <c r="E424" i="3"/>
  <c r="E136" i="3"/>
  <c r="E550" i="3"/>
  <c r="E325" i="3"/>
  <c r="E351" i="3"/>
  <c r="E562" i="3"/>
  <c r="E122" i="3"/>
  <c r="E535" i="3"/>
  <c r="E407" i="3"/>
  <c r="E574" i="3"/>
  <c r="E82" i="3"/>
  <c r="Y6" i="3"/>
  <c r="E66" i="3"/>
  <c r="E163" i="3"/>
  <c r="E462" i="3"/>
  <c r="E389" i="3"/>
  <c r="E241" i="3"/>
  <c r="E152" i="3"/>
  <c r="E479" i="3"/>
  <c r="E517" i="3"/>
  <c r="E255" i="3"/>
  <c r="E466" i="3"/>
  <c r="E499" i="3"/>
  <c r="E253" i="3"/>
  <c r="E61" i="3"/>
  <c r="E338" i="3"/>
  <c r="S6" i="3"/>
  <c r="E396" i="3"/>
  <c r="N6" i="3"/>
  <c r="E125" i="3"/>
  <c r="E109" i="3"/>
  <c r="E377" i="3"/>
  <c r="E211" i="3"/>
  <c r="E70" i="3"/>
  <c r="E489" i="3"/>
  <c r="E557" i="3"/>
  <c r="E400" i="3"/>
  <c r="AO6" i="3"/>
  <c r="E327" i="3"/>
  <c r="E180" i="3"/>
  <c r="M6" i="3"/>
  <c r="O6" i="3"/>
  <c r="E326" i="3"/>
  <c r="E370" i="3"/>
  <c r="E522" i="3"/>
  <c r="E190" i="3"/>
  <c r="E488" i="3"/>
  <c r="E333" i="3"/>
  <c r="E242" i="3"/>
  <c r="E108" i="3"/>
  <c r="E401" i="3"/>
  <c r="J6" i="3"/>
  <c r="E427" i="3"/>
  <c r="E85" i="3"/>
  <c r="E402" i="3"/>
  <c r="AA6" i="3"/>
  <c r="E71" i="3"/>
  <c r="E403" i="3"/>
  <c r="E367" i="3"/>
  <c r="E548" i="3"/>
  <c r="U6" i="3"/>
  <c r="E145" i="3"/>
  <c r="E189" i="3"/>
  <c r="E311" i="3"/>
  <c r="E153" i="3"/>
  <c r="E158" i="3"/>
  <c r="E206" i="3"/>
  <c r="E324" i="3"/>
  <c r="E96" i="3"/>
  <c r="E60" i="3"/>
  <c r="E332" i="3"/>
  <c r="E139" i="3"/>
  <c r="E104" i="3"/>
  <c r="E452" i="3"/>
  <c r="E376" i="3"/>
  <c r="E564" i="3"/>
  <c r="E228" i="3"/>
  <c r="AN6" i="3"/>
  <c r="E503" i="3"/>
  <c r="E176" i="3"/>
  <c r="E63" i="3"/>
  <c r="E267" i="3"/>
  <c r="E214" i="3"/>
  <c r="E465" i="3"/>
  <c r="E236" i="3"/>
  <c r="E260" i="3"/>
  <c r="E112" i="3"/>
  <c r="E473" i="3"/>
  <c r="E475" i="3"/>
  <c r="E532" i="3"/>
  <c r="E397" i="3"/>
  <c r="E309" i="3"/>
  <c r="E492" i="3"/>
  <c r="E394" i="3"/>
  <c r="E344" i="3"/>
  <c r="E269" i="3"/>
  <c r="E545" i="3"/>
  <c r="AQ6" i="3"/>
  <c r="E318" i="3"/>
  <c r="E571" i="3"/>
  <c r="E45" i="3"/>
  <c r="E567" i="3"/>
  <c r="E320" i="3"/>
  <c r="E359" i="3"/>
  <c r="E53" i="3"/>
  <c r="E51" i="3"/>
  <c r="E24" i="3"/>
  <c r="E248" i="3"/>
  <c r="E521" i="3"/>
  <c r="E504" i="3"/>
  <c r="E259" i="3"/>
  <c r="E187" i="3"/>
  <c r="E39" i="3"/>
  <c r="E413" i="3"/>
  <c r="E374" i="3"/>
  <c r="E487" i="3"/>
  <c r="E542" i="3"/>
  <c r="E167" i="3"/>
  <c r="E135" i="3"/>
  <c r="E380" i="3"/>
  <c r="AR6" i="3"/>
  <c r="E247" i="3"/>
  <c r="AJ6" i="3"/>
  <c r="E217" i="3"/>
  <c r="E29" i="3"/>
  <c r="E317" i="3"/>
  <c r="E272" i="3"/>
  <c r="E92" i="3"/>
  <c r="E546" i="3"/>
  <c r="E547" i="3"/>
  <c r="E432" i="3"/>
  <c r="E411" i="3"/>
  <c r="E379" i="3"/>
  <c r="E207" i="3"/>
  <c r="AB6" i="3"/>
  <c r="E555" i="3"/>
  <c r="E22" i="3"/>
  <c r="AF6" i="3"/>
  <c r="E35" i="3"/>
  <c r="E174" i="3"/>
  <c r="E428" i="3"/>
  <c r="E356" i="3"/>
  <c r="E281" i="3"/>
  <c r="E115" i="3"/>
  <c r="E420" i="3"/>
  <c r="E13" i="3"/>
  <c r="E507" i="3"/>
  <c r="E116" i="3"/>
  <c r="E303" i="3"/>
  <c r="E280" i="3"/>
  <c r="E261" i="3"/>
  <c r="E50" i="3"/>
  <c r="E513" i="3"/>
  <c r="E23" i="3"/>
  <c r="E74" i="3"/>
  <c r="E468" i="3"/>
  <c r="E133" i="3"/>
  <c r="E205" i="3"/>
  <c r="E62" i="3"/>
  <c r="E194" i="3"/>
  <c r="E208" i="3"/>
  <c r="E438" i="3"/>
  <c r="E368" i="3"/>
  <c r="E563" i="3"/>
  <c r="E184" i="3"/>
  <c r="E38" i="3"/>
  <c r="E496" i="3"/>
  <c r="E330" i="3"/>
  <c r="E314" i="3"/>
  <c r="E20" i="3"/>
  <c r="E455" i="3"/>
  <c r="E72" i="3"/>
  <c r="E573" i="3"/>
  <c r="E536" i="3"/>
  <c r="E130" i="3"/>
  <c r="E358" i="3"/>
  <c r="E343" i="3"/>
  <c r="E179" i="3"/>
  <c r="E127" i="3"/>
  <c r="E307" i="3"/>
  <c r="E98" i="3"/>
  <c r="E76" i="3"/>
  <c r="E363" i="3"/>
  <c r="E192" i="3"/>
  <c r="E37" i="3"/>
  <c r="E491" i="3"/>
  <c r="AP6" i="3"/>
  <c r="E430" i="3"/>
  <c r="E502" i="3"/>
  <c r="E286" i="3"/>
  <c r="E117" i="3"/>
  <c r="E298" i="3"/>
  <c r="E506" i="3"/>
  <c r="E151" i="3"/>
  <c r="E516" i="3"/>
  <c r="E553" i="3"/>
  <c r="E484" i="3"/>
  <c r="E572" i="3"/>
  <c r="E273" i="3"/>
  <c r="E182" i="3"/>
  <c r="E28" i="3"/>
  <c r="E531" i="3"/>
  <c r="E345" i="3"/>
  <c r="E485" i="3"/>
  <c r="Z6" i="3"/>
  <c r="E204" i="3"/>
  <c r="E215" i="3"/>
  <c r="E143" i="3"/>
  <c r="E501" i="3"/>
  <c r="E113" i="3"/>
  <c r="E49" i="3"/>
  <c r="E235" i="3"/>
  <c r="E18" i="3"/>
  <c r="E42" i="3"/>
  <c r="E276" i="3"/>
  <c r="E119" i="3"/>
  <c r="E40" i="3"/>
  <c r="E419" i="3"/>
  <c r="E440" i="3"/>
  <c r="E393" i="3"/>
  <c r="E159" i="3"/>
  <c r="E353" i="3"/>
  <c r="E183" i="3"/>
  <c r="E56" i="39"/>
  <c r="E51" i="40"/>
  <c r="C27" i="15"/>
  <c r="Q71" i="15"/>
  <c r="Q16" i="1"/>
  <c r="F28" i="12" s="1"/>
  <c r="C29" i="12" s="1"/>
  <c r="D28" i="12" s="1"/>
  <c r="C5" i="43"/>
  <c r="F22" i="43"/>
  <c r="AL6" i="3"/>
  <c r="E524" i="3"/>
  <c r="E100" i="3"/>
  <c r="E118" i="3"/>
  <c r="E144" i="3"/>
  <c r="E300" i="3"/>
  <c r="E79" i="3"/>
  <c r="E315" i="3"/>
  <c r="E106" i="3"/>
  <c r="E587" i="3"/>
  <c r="E560" i="3"/>
  <c r="E89" i="3"/>
  <c r="AK6" i="3"/>
  <c r="E329" i="3"/>
  <c r="E365" i="3"/>
  <c r="E147" i="3"/>
  <c r="E339" i="3"/>
  <c r="E64" i="3"/>
  <c r="E357" i="3"/>
  <c r="E54" i="3"/>
  <c r="W6" i="3"/>
  <c r="E529" i="3"/>
  <c r="E148" i="3"/>
  <c r="I6" i="3"/>
  <c r="E539" i="3"/>
  <c r="E21" i="3"/>
  <c r="E68" i="3"/>
  <c r="E84" i="3"/>
  <c r="E200" i="3"/>
  <c r="E580" i="3"/>
  <c r="E203" i="3"/>
  <c r="AE6" i="3"/>
  <c r="E437" i="3"/>
  <c r="E120" i="3"/>
  <c r="E434" i="3"/>
  <c r="E352" i="3"/>
  <c r="E114" i="3"/>
  <c r="E36" i="3"/>
  <c r="E234" i="3"/>
  <c r="E31" i="3"/>
  <c r="E150" i="3"/>
  <c r="E450" i="3"/>
  <c r="E527" i="3"/>
  <c r="E193" i="3"/>
  <c r="E244" i="3"/>
  <c r="E227" i="3"/>
  <c r="E221" i="3"/>
  <c r="E294" i="3"/>
  <c r="E551" i="3"/>
  <c r="E285" i="3"/>
  <c r="E508" i="3"/>
  <c r="E319" i="3"/>
  <c r="E323" i="3"/>
  <c r="E19" i="3"/>
  <c r="E284" i="3"/>
  <c r="E48" i="3"/>
  <c r="E354" i="3"/>
  <c r="E209" i="3"/>
  <c r="E138" i="3"/>
  <c r="E446" i="3"/>
  <c r="E59" i="3"/>
  <c r="E544" i="3"/>
  <c r="E349" i="3"/>
  <c r="E292" i="3"/>
  <c r="E258" i="3"/>
  <c r="E132" i="3"/>
  <c r="E95" i="3"/>
  <c r="E56" i="3"/>
  <c r="E417" i="3"/>
  <c r="E435" i="3"/>
  <c r="E554" i="3"/>
  <c r="I3" i="6"/>
  <c r="E449" i="3"/>
  <c r="E541" i="3"/>
  <c r="E442" i="3"/>
  <c r="R6" i="3"/>
  <c r="E575" i="3"/>
  <c r="E199" i="3"/>
  <c r="E77" i="3"/>
  <c r="E290" i="3"/>
  <c r="E169" i="3"/>
  <c r="E321" i="3"/>
  <c r="E418" i="3"/>
  <c r="E523" i="3"/>
  <c r="E390" i="3"/>
  <c r="E229" i="3"/>
  <c r="E569" i="3"/>
  <c r="E239" i="3"/>
  <c r="E282" i="3"/>
  <c r="E366" i="3"/>
  <c r="E467" i="3"/>
  <c r="E480" i="3"/>
  <c r="E30" i="3"/>
  <c r="E334" i="3"/>
  <c r="E316" i="3"/>
  <c r="E295" i="3"/>
  <c r="E166" i="3"/>
  <c r="E121" i="3"/>
  <c r="E88" i="3"/>
  <c r="E404" i="3"/>
  <c r="E444" i="3"/>
  <c r="E581" i="3"/>
  <c r="E558" i="3"/>
  <c r="E443" i="3"/>
  <c r="P6" i="3"/>
  <c r="E448" i="3"/>
  <c r="AG6" i="3"/>
  <c r="E576" i="3"/>
  <c r="E164" i="3"/>
  <c r="E252" i="3"/>
  <c r="E134" i="3"/>
  <c r="E387" i="3"/>
  <c r="E514" i="3"/>
  <c r="E410" i="3"/>
  <c r="E426" i="3"/>
  <c r="E83" i="3"/>
  <c r="E287" i="3"/>
  <c r="E102" i="3"/>
  <c r="E232" i="3"/>
  <c r="E86" i="3"/>
  <c r="E383" i="3"/>
  <c r="E220" i="3"/>
  <c r="E78" i="3"/>
  <c r="E482" i="3"/>
  <c r="E94" i="3"/>
  <c r="E372" i="3"/>
  <c r="E346" i="3"/>
  <c r="E226" i="3"/>
  <c r="E202" i="3"/>
  <c r="E178" i="3"/>
  <c r="E25" i="3"/>
  <c r="E463" i="3"/>
  <c r="E483" i="3"/>
  <c r="E498" i="3"/>
  <c r="AH6" i="3"/>
  <c r="E490" i="3"/>
  <c r="E422" i="3"/>
  <c r="E486" i="3"/>
  <c r="E543" i="3"/>
  <c r="E493" i="3"/>
  <c r="E105" i="3"/>
  <c r="E238" i="3"/>
  <c r="E157" i="3"/>
  <c r="E99" i="3"/>
  <c r="E301" i="3"/>
  <c r="E350" i="3"/>
  <c r="E586" i="3"/>
  <c r="E495" i="3"/>
  <c r="E124" i="3"/>
  <c r="E399" i="3"/>
  <c r="E347" i="3"/>
  <c r="E361" i="3"/>
  <c r="E528" i="3"/>
  <c r="Z11" i="43"/>
  <c r="Z13" i="43" s="1"/>
  <c r="E556" i="3"/>
  <c r="E451" i="3"/>
  <c r="E512" i="3"/>
  <c r="E456" i="3"/>
  <c r="T6" i="3"/>
  <c r="E525" i="3"/>
  <c r="E173" i="3"/>
  <c r="E223" i="3"/>
  <c r="E181" i="3"/>
  <c r="E191" i="3"/>
  <c r="E263" i="3"/>
  <c r="E423" i="3"/>
  <c r="AI6" i="3"/>
  <c r="E385" i="3"/>
  <c r="E246" i="3"/>
  <c r="X6" i="3"/>
  <c r="E302" i="3"/>
  <c r="E213" i="3"/>
  <c r="E304" i="3"/>
  <c r="AJ11" i="43"/>
  <c r="AJ13" i="43" s="1"/>
  <c r="AC11" i="43"/>
  <c r="AC13" i="43" s="1"/>
  <c r="F101" i="43"/>
  <c r="F107" i="43" s="1"/>
  <c r="E15" i="3"/>
  <c r="E73" i="3"/>
  <c r="E123" i="3"/>
  <c r="E283" i="3"/>
  <c r="E233" i="3"/>
  <c r="E310" i="3"/>
  <c r="E103" i="3"/>
  <c r="E362" i="3"/>
  <c r="E146" i="3"/>
  <c r="E577" i="3"/>
  <c r="E472" i="3"/>
  <c r="E277" i="3"/>
  <c r="E306" i="3"/>
  <c r="E510" i="3"/>
  <c r="E101" i="3"/>
  <c r="E340" i="3"/>
  <c r="E392" i="3"/>
  <c r="E170" i="3"/>
  <c r="E14" i="3"/>
  <c r="E168" i="3"/>
  <c r="E537" i="3"/>
  <c r="E474" i="3"/>
  <c r="E224" i="3"/>
  <c r="E549" i="3"/>
  <c r="E461" i="3"/>
  <c r="E69" i="3"/>
  <c r="E81" i="3"/>
  <c r="E33" i="3"/>
  <c r="E249" i="3"/>
  <c r="E32" i="3"/>
  <c r="E256" i="3"/>
  <c r="E429" i="3"/>
  <c r="E481" i="3"/>
  <c r="E177" i="3"/>
  <c r="E296" i="3"/>
  <c r="E128" i="3"/>
  <c r="E395" i="3"/>
  <c r="E289" i="3"/>
  <c r="E299" i="3"/>
  <c r="E75" i="3"/>
  <c r="E279" i="3"/>
  <c r="E433" i="3"/>
  <c r="E457" i="3"/>
  <c r="E519" i="3"/>
  <c r="E156" i="3"/>
  <c r="E568" i="3"/>
  <c r="E278" i="3"/>
  <c r="E230" i="3"/>
  <c r="V6" i="3"/>
  <c r="E97" i="3"/>
  <c r="E388" i="3"/>
  <c r="E530" i="3"/>
  <c r="E373" i="3"/>
  <c r="E154" i="3"/>
  <c r="E341" i="3"/>
  <c r="E87" i="3"/>
  <c r="E584" i="3"/>
  <c r="E266" i="3"/>
  <c r="E195" i="3"/>
  <c r="E47" i="3"/>
  <c r="E540" i="3"/>
  <c r="E58" i="3"/>
  <c r="E375" i="3"/>
  <c r="E348" i="3"/>
  <c r="E297" i="3"/>
  <c r="E155" i="3"/>
  <c r="E131" i="3"/>
  <c r="E90" i="3"/>
  <c r="E436" i="3"/>
  <c r="E460" i="3"/>
  <c r="E582" i="3"/>
  <c r="E566" i="3"/>
  <c r="E459" i="3"/>
  <c r="E398" i="3"/>
  <c r="E464" i="3"/>
  <c r="E552" i="3"/>
  <c r="AD6" i="3"/>
  <c r="E141" i="3"/>
  <c r="E212" i="3"/>
  <c r="E161" i="3"/>
  <c r="E185" i="3"/>
  <c r="E231" i="3"/>
  <c r="E439" i="3"/>
  <c r="E561" i="3"/>
  <c r="E533" i="3"/>
  <c r="E201" i="3"/>
  <c r="E431" i="3"/>
  <c r="E509" i="3"/>
  <c r="E322" i="3"/>
  <c r="E526" i="3"/>
  <c r="E46" i="3"/>
  <c r="E441" i="3"/>
  <c r="E44" i="3"/>
  <c r="E384" i="3"/>
  <c r="E331" i="3"/>
  <c r="E210" i="3"/>
  <c r="E186" i="3"/>
  <c r="E162" i="3"/>
  <c r="E27" i="3"/>
  <c r="E447" i="3"/>
  <c r="E476" i="3"/>
  <c r="AS6" i="3"/>
  <c r="E505" i="3"/>
  <c r="E477" i="3"/>
  <c r="E414" i="3"/>
  <c r="E478" i="3"/>
  <c r="E515" i="3"/>
  <c r="E585" i="3"/>
  <c r="E107" i="3"/>
  <c r="E271" i="3"/>
  <c r="E91" i="3"/>
  <c r="E335" i="3"/>
  <c r="E570" i="3"/>
  <c r="E337" i="3"/>
  <c r="E328" i="3"/>
  <c r="E175" i="3"/>
  <c r="E308" i="3"/>
  <c r="E80" i="3"/>
  <c r="E251" i="3"/>
  <c r="E34" i="3"/>
  <c r="E342" i="3"/>
  <c r="E275" i="3"/>
  <c r="E129" i="3"/>
  <c r="E412" i="3"/>
  <c r="E43" i="3"/>
  <c r="L6" i="3"/>
  <c r="E391" i="3"/>
  <c r="E243" i="3"/>
  <c r="E225" i="3"/>
  <c r="E198" i="3"/>
  <c r="E41" i="3"/>
  <c r="E26" i="3"/>
  <c r="E470" i="3"/>
  <c r="E494" i="3"/>
  <c r="E497" i="3"/>
  <c r="E360" i="3"/>
  <c r="E408" i="3"/>
  <c r="E469" i="3"/>
  <c r="E405" i="3"/>
  <c r="E534" i="3"/>
  <c r="E369" i="3"/>
  <c r="E197" i="3"/>
  <c r="E140" i="3"/>
  <c r="E188" i="3"/>
  <c r="E245" i="3"/>
  <c r="E382" i="3"/>
  <c r="E578" i="3"/>
  <c r="E518" i="3"/>
  <c r="E293" i="3"/>
  <c r="E336" i="3"/>
  <c r="E583" i="3"/>
  <c r="E17" i="3"/>
  <c r="E565" i="3"/>
  <c r="J22" i="43"/>
  <c r="H22" i="43"/>
  <c r="H106" i="43"/>
  <c r="H107" i="43"/>
  <c r="D101" i="43"/>
  <c r="D106" i="43" s="1"/>
  <c r="Y11" i="43"/>
  <c r="Y13" i="43" s="1"/>
  <c r="K101" i="43"/>
  <c r="K105" i="43" s="1"/>
  <c r="AI11" i="43"/>
  <c r="AI13" i="43" s="1"/>
  <c r="E101" i="43"/>
  <c r="E105" i="43" s="1"/>
  <c r="B113" i="43"/>
  <c r="I118" i="43" s="1"/>
  <c r="J118" i="43" s="1"/>
  <c r="K118" i="43" s="1"/>
  <c r="L118" i="43" s="1"/>
  <c r="M118" i="43" s="1"/>
  <c r="Z7" i="43"/>
  <c r="J101" i="43"/>
  <c r="J103" i="43" s="1"/>
  <c r="E22" i="43"/>
  <c r="AG11" i="43"/>
  <c r="AG13" i="43" s="1"/>
  <c r="N101" i="43"/>
  <c r="N105" i="43" s="1"/>
  <c r="AE11" i="43"/>
  <c r="AE13" i="43" s="1"/>
  <c r="AH11" i="43"/>
  <c r="AH13" i="43" s="1"/>
  <c r="C101" i="43"/>
  <c r="C106" i="43" s="1"/>
  <c r="AF11" i="43"/>
  <c r="AF13" i="43" s="1"/>
  <c r="G22" i="43"/>
  <c r="G101" i="43"/>
  <c r="G105" i="43" s="1"/>
  <c r="AB11" i="43"/>
  <c r="AB13" i="43" s="1"/>
  <c r="L101" i="43"/>
  <c r="L109" i="43" s="1"/>
  <c r="AA11" i="43"/>
  <c r="AA13" i="43" s="1"/>
  <c r="AD11" i="43"/>
  <c r="AD13" i="43" s="1"/>
  <c r="N104" i="46"/>
  <c r="I101" i="43"/>
  <c r="I106" i="43" s="1"/>
  <c r="H102" i="43"/>
  <c r="H103" i="43"/>
  <c r="H105" i="43"/>
  <c r="H104" i="43"/>
  <c r="H109" i="43"/>
  <c r="E28" i="6"/>
  <c r="F30" i="6"/>
  <c r="G29" i="6"/>
  <c r="G30" i="6" s="1"/>
  <c r="G31" i="6" s="1"/>
  <c r="E60" i="40"/>
  <c r="E65" i="39"/>
  <c r="AZ13" i="3"/>
  <c r="AZ5" i="3" s="1"/>
  <c r="BA5" i="3"/>
  <c r="E13" i="6"/>
  <c r="E12" i="6"/>
  <c r="E64" i="39"/>
  <c r="E59" i="40"/>
  <c r="J7" i="36"/>
  <c r="H7" i="33"/>
  <c r="J7" i="37"/>
  <c r="F7" i="36"/>
  <c r="E63" i="40"/>
  <c r="D65" i="40"/>
  <c r="E48" i="35"/>
  <c r="F48" i="35" s="1"/>
  <c r="G48" i="35" s="1"/>
  <c r="H48" i="35" s="1"/>
  <c r="I48" i="35" s="1"/>
  <c r="J48" i="35" s="1"/>
  <c r="K48" i="35" s="1"/>
  <c r="L48" i="35" s="1"/>
  <c r="M48" i="35" s="1"/>
  <c r="N48" i="35" s="1"/>
  <c r="O48" i="35" s="1"/>
  <c r="S7" i="21"/>
  <c r="H7" i="37"/>
  <c r="F7" i="37"/>
  <c r="H7" i="35"/>
  <c r="P25" i="43"/>
  <c r="P23" i="43"/>
  <c r="B71" i="39" s="1"/>
  <c r="B40" i="1"/>
  <c r="F24" i="78" s="1"/>
  <c r="M28" i="43"/>
  <c r="N28" i="43"/>
  <c r="O28" i="43"/>
  <c r="P28" i="43"/>
  <c r="L52" i="15" s="1"/>
  <c r="M11" i="67"/>
  <c r="J10" i="67" s="1"/>
  <c r="F11" i="15"/>
  <c r="M11" i="15"/>
  <c r="F11" i="67"/>
  <c r="F37" i="15"/>
  <c r="C16" i="67"/>
  <c r="M23" i="15"/>
  <c r="F36" i="15"/>
  <c r="M28" i="15"/>
  <c r="L47" i="15"/>
  <c r="F38" i="15"/>
  <c r="F8" i="15"/>
  <c r="F40" i="15"/>
  <c r="L48" i="15"/>
  <c r="F13" i="15"/>
  <c r="J15" i="15"/>
  <c r="M6" i="15"/>
  <c r="F6" i="15"/>
  <c r="M24" i="15"/>
  <c r="F7" i="15"/>
  <c r="M9" i="15"/>
  <c r="C16" i="78"/>
  <c r="M26" i="15"/>
  <c r="F43" i="15"/>
  <c r="F16" i="15"/>
  <c r="AE7" i="1"/>
  <c r="F9" i="15"/>
  <c r="F71" i="15" l="1"/>
  <c r="C6" i="15"/>
  <c r="C10" i="15" s="1"/>
  <c r="C5" i="15" s="1"/>
  <c r="I54" i="15"/>
  <c r="J53" i="15"/>
  <c r="L56" i="15" s="1"/>
  <c r="J57" i="15"/>
  <c r="J55" i="15" s="1"/>
  <c r="J58" i="15" s="1"/>
  <c r="Q50" i="15" s="1"/>
  <c r="F64" i="15"/>
  <c r="F68" i="15"/>
  <c r="M7" i="15"/>
  <c r="J6" i="15" s="1"/>
  <c r="J18" i="15" s="1"/>
  <c r="F50" i="15"/>
  <c r="F51" i="15"/>
  <c r="F66" i="15"/>
  <c r="F65" i="15"/>
  <c r="T22" i="71"/>
  <c r="D22" i="71"/>
  <c r="T54" i="71"/>
  <c r="D54" i="71"/>
  <c r="AC7" i="33"/>
  <c r="V48" i="33" s="1"/>
  <c r="I48" i="33" s="1"/>
  <c r="J18" i="67"/>
  <c r="D56" i="71"/>
  <c r="O55" i="71"/>
  <c r="O56" i="71"/>
  <c r="P55" i="71"/>
  <c r="P56" i="71"/>
  <c r="N59" i="15"/>
  <c r="B9" i="71"/>
  <c r="B8" i="71" s="1"/>
  <c r="B7" i="71" s="1"/>
  <c r="B6" i="71" s="1"/>
  <c r="B5" i="71" s="1"/>
  <c r="S10" i="71"/>
  <c r="F7" i="35"/>
  <c r="T34" i="71"/>
  <c r="D34" i="71"/>
  <c r="T42" i="71"/>
  <c r="D42" i="71"/>
  <c r="T46" i="71"/>
  <c r="D46" i="71"/>
  <c r="T50" i="71"/>
  <c r="D50" i="71"/>
  <c r="C12" i="71"/>
  <c r="D13" i="71"/>
  <c r="E27" i="6"/>
  <c r="K23" i="6" s="1"/>
  <c r="M23" i="6" s="1"/>
  <c r="I23" i="6" s="1"/>
  <c r="S23" i="6" s="1"/>
  <c r="D20" i="53"/>
  <c r="B40" i="72" s="1"/>
  <c r="B38" i="72"/>
  <c r="I14" i="74"/>
  <c r="B8" i="74" s="1"/>
  <c r="D12" i="52"/>
  <c r="D127" i="9"/>
  <c r="D13" i="52" s="1"/>
  <c r="E68" i="39"/>
  <c r="D70" i="39"/>
  <c r="F31" i="6"/>
  <c r="AB7" i="36"/>
  <c r="T36" i="36" s="1"/>
  <c r="G36" i="36" s="1"/>
  <c r="F7" i="34"/>
  <c r="AA7" i="34" s="1"/>
  <c r="R49" i="34" s="1"/>
  <c r="C32" i="67"/>
  <c r="J7" i="34"/>
  <c r="H7" i="34"/>
  <c r="AB7" i="34" s="1"/>
  <c r="T49" i="34" s="1"/>
  <c r="G49" i="34" s="1"/>
  <c r="AC7" i="21"/>
  <c r="V48" i="21" s="1"/>
  <c r="I48" i="21" s="1"/>
  <c r="I52" i="21" s="1"/>
  <c r="J52" i="21" s="1"/>
  <c r="U7" i="21"/>
  <c r="S7" i="33"/>
  <c r="Q73" i="67"/>
  <c r="E61" i="39"/>
  <c r="I109" i="43"/>
  <c r="J5" i="67"/>
  <c r="J24" i="67" s="1"/>
  <c r="N102" i="43"/>
  <c r="H6" i="3"/>
  <c r="L105" i="43"/>
  <c r="C49" i="67"/>
  <c r="M107" i="43"/>
  <c r="Q61" i="67"/>
  <c r="M103" i="43"/>
  <c r="F1" i="67"/>
  <c r="J10" i="78"/>
  <c r="J5" i="78" s="1"/>
  <c r="J24" i="78" s="1"/>
  <c r="L59" i="15"/>
  <c r="Q74" i="15" s="1"/>
  <c r="Q72" i="15"/>
  <c r="Q59" i="15"/>
  <c r="M59" i="15"/>
  <c r="L58" i="15"/>
  <c r="Q73" i="15" s="1"/>
  <c r="C53" i="78"/>
  <c r="C48" i="78" s="1"/>
  <c r="C10" i="78"/>
  <c r="C5" i="78" s="1"/>
  <c r="C24" i="78"/>
  <c r="F27" i="11"/>
  <c r="C47" i="11" s="1"/>
  <c r="D45" i="11" s="1"/>
  <c r="C30" i="68"/>
  <c r="C30" i="69"/>
  <c r="C48" i="69"/>
  <c r="C30" i="11"/>
  <c r="C48" i="11"/>
  <c r="G20" i="43"/>
  <c r="C20" i="43" s="1"/>
  <c r="H6" i="1"/>
  <c r="H7" i="1" s="1"/>
  <c r="G7" i="1" s="1"/>
  <c r="M104" i="43"/>
  <c r="M106" i="43"/>
  <c r="M102" i="43"/>
  <c r="M109" i="43"/>
  <c r="L106" i="43"/>
  <c r="I104" i="43"/>
  <c r="L102" i="43"/>
  <c r="I103" i="43"/>
  <c r="F27" i="69"/>
  <c r="C47" i="69" s="1"/>
  <c r="D45" i="69" s="1"/>
  <c r="F109" i="43"/>
  <c r="F105" i="43"/>
  <c r="L103" i="43"/>
  <c r="N109" i="43"/>
  <c r="I105" i="43"/>
  <c r="F27" i="68"/>
  <c r="C47" i="68" s="1"/>
  <c r="D45" i="68" s="1"/>
  <c r="L107" i="43"/>
  <c r="I116" i="43"/>
  <c r="J116" i="43" s="1"/>
  <c r="K116" i="43" s="1"/>
  <c r="L116" i="43" s="1"/>
  <c r="M116" i="43" s="1"/>
  <c r="I102" i="43"/>
  <c r="K106" i="43"/>
  <c r="AC6" i="3"/>
  <c r="C109" i="43"/>
  <c r="D118" i="43"/>
  <c r="E118" i="43" s="1"/>
  <c r="F118" i="43" s="1"/>
  <c r="L104" i="43"/>
  <c r="N107" i="43"/>
  <c r="I107" i="43"/>
  <c r="G104" i="43"/>
  <c r="I115" i="43"/>
  <c r="J115" i="43" s="1"/>
  <c r="K115" i="43" s="1"/>
  <c r="L115" i="43" s="1"/>
  <c r="M115" i="43" s="1"/>
  <c r="C105" i="43"/>
  <c r="F106" i="43"/>
  <c r="F104" i="43"/>
  <c r="D103" i="43"/>
  <c r="E109" i="43"/>
  <c r="D22" i="43"/>
  <c r="B118" i="43"/>
  <c r="C118" i="43" s="1"/>
  <c r="D102" i="43"/>
  <c r="E106" i="43"/>
  <c r="J106" i="43"/>
  <c r="G118" i="43"/>
  <c r="H118" i="43" s="1"/>
  <c r="D115" i="43"/>
  <c r="E115" i="43" s="1"/>
  <c r="F115" i="43" s="1"/>
  <c r="G115" i="43" s="1"/>
  <c r="H115" i="43" s="1"/>
  <c r="K103" i="43"/>
  <c r="F103" i="43"/>
  <c r="F102" i="43"/>
  <c r="D104" i="43"/>
  <c r="D107" i="43"/>
  <c r="E102" i="43"/>
  <c r="S7" i="43" s="1"/>
  <c r="J107" i="43"/>
  <c r="B117" i="43"/>
  <c r="C117" i="43" s="1"/>
  <c r="B115" i="43"/>
  <c r="C115" i="43" s="1"/>
  <c r="B116" i="43"/>
  <c r="C116" i="43" s="1"/>
  <c r="D105" i="43"/>
  <c r="D109" i="43"/>
  <c r="E103" i="43"/>
  <c r="E104" i="43"/>
  <c r="E16" i="6"/>
  <c r="J105" i="43"/>
  <c r="J102" i="43"/>
  <c r="D116" i="43"/>
  <c r="E116" i="43" s="1"/>
  <c r="F116" i="43" s="1"/>
  <c r="G116" i="43" s="1"/>
  <c r="H116" i="43" s="1"/>
  <c r="D117" i="43"/>
  <c r="E117" i="43" s="1"/>
  <c r="F117" i="43" s="1"/>
  <c r="G117" i="43" s="1"/>
  <c r="H117" i="43" s="1"/>
  <c r="I117" i="43"/>
  <c r="J117" i="43" s="1"/>
  <c r="K117" i="43" s="1"/>
  <c r="L117" i="43" s="1"/>
  <c r="M117" i="43" s="1"/>
  <c r="E107" i="43"/>
  <c r="K21" i="6"/>
  <c r="M21" i="6" s="1"/>
  <c r="I21" i="6" s="1"/>
  <c r="S21" i="6" s="1"/>
  <c r="J109" i="43"/>
  <c r="J104" i="43"/>
  <c r="G106" i="43"/>
  <c r="G109" i="43"/>
  <c r="N103" i="43"/>
  <c r="N106" i="43"/>
  <c r="C107" i="43"/>
  <c r="K107" i="43"/>
  <c r="K102" i="43"/>
  <c r="G103" i="43"/>
  <c r="G102" i="43"/>
  <c r="C104" i="43"/>
  <c r="C102" i="43"/>
  <c r="K109" i="43"/>
  <c r="K104" i="43"/>
  <c r="G107" i="43"/>
  <c r="N104" i="43"/>
  <c r="C103" i="43"/>
  <c r="S5" i="43" s="1"/>
  <c r="K14" i="1"/>
  <c r="M14" i="1" s="1"/>
  <c r="E29" i="6"/>
  <c r="K15" i="1" s="1"/>
  <c r="E58" i="40"/>
  <c r="E63" i="39"/>
  <c r="AY6" i="3"/>
  <c r="E3" i="6"/>
  <c r="E57" i="40"/>
  <c r="E62" i="39"/>
  <c r="S6" i="43"/>
  <c r="AB7" i="37"/>
  <c r="T42" i="37" s="1"/>
  <c r="G42" i="37" s="1"/>
  <c r="U7" i="37"/>
  <c r="S7" i="35"/>
  <c r="AA7" i="35"/>
  <c r="R38" i="35" s="1"/>
  <c r="F63" i="40"/>
  <c r="E65" i="40"/>
  <c r="S7" i="34"/>
  <c r="I52" i="33"/>
  <c r="J52" i="33" s="1"/>
  <c r="E48" i="33"/>
  <c r="I53" i="33" s="1"/>
  <c r="J53" i="33" s="1"/>
  <c r="R49" i="33"/>
  <c r="AA7" i="37"/>
  <c r="R42" i="37" s="1"/>
  <c r="S7" i="37"/>
  <c r="AB7" i="35"/>
  <c r="T38" i="35" s="1"/>
  <c r="G38" i="35" s="1"/>
  <c r="U7" i="35"/>
  <c r="S7" i="36"/>
  <c r="AA7" i="36"/>
  <c r="R36" i="36" s="1"/>
  <c r="AC7" i="36"/>
  <c r="V36" i="36" s="1"/>
  <c r="I36" i="36" s="1"/>
  <c r="W7" i="36"/>
  <c r="J7" i="35"/>
  <c r="U7" i="34"/>
  <c r="R49" i="21"/>
  <c r="E48" i="21"/>
  <c r="AB7" i="33"/>
  <c r="T48" i="33" s="1"/>
  <c r="G48" i="33" s="1"/>
  <c r="U7" i="33"/>
  <c r="I53" i="21"/>
  <c r="J53" i="21" s="1"/>
  <c r="AC7" i="37"/>
  <c r="V42" i="37" s="1"/>
  <c r="I42" i="37" s="1"/>
  <c r="W7" i="37"/>
  <c r="G52" i="21"/>
  <c r="H52" i="21" s="1"/>
  <c r="G53" i="21"/>
  <c r="H53" i="21" s="1"/>
  <c r="C53" i="67"/>
  <c r="C10" i="67"/>
  <c r="C5" i="67" s="1"/>
  <c r="C53" i="15"/>
  <c r="F25" i="12"/>
  <c r="F22" i="69"/>
  <c r="F24" i="67"/>
  <c r="C24" i="67" s="1"/>
  <c r="F22" i="11"/>
  <c r="F22" i="68"/>
  <c r="F24" i="15"/>
  <c r="C24" i="15" s="1"/>
  <c r="F41" i="78"/>
  <c r="C16" i="15"/>
  <c r="F41" i="67"/>
  <c r="C32" i="15" l="1"/>
  <c r="J10" i="15"/>
  <c r="J5" i="15" s="1"/>
  <c r="J26" i="15" s="1"/>
  <c r="C49" i="15"/>
  <c r="C48" i="15" s="1"/>
  <c r="C60" i="15" s="1"/>
  <c r="F1" i="15"/>
  <c r="Q52" i="15"/>
  <c r="K26" i="6"/>
  <c r="M26" i="6" s="1"/>
  <c r="I26" i="6" s="1"/>
  <c r="S26" i="6" s="1"/>
  <c r="D12" i="71"/>
  <c r="C11" i="71"/>
  <c r="G41" i="36"/>
  <c r="H41" i="36" s="1"/>
  <c r="K25" i="6"/>
  <c r="M25" i="6" s="1"/>
  <c r="I25" i="6" s="1"/>
  <c r="S25" i="6" s="1"/>
  <c r="K22" i="6"/>
  <c r="M22" i="6" s="1"/>
  <c r="I22" i="6" s="1"/>
  <c r="S22" i="6" s="1"/>
  <c r="K24" i="6"/>
  <c r="M24" i="6" s="1"/>
  <c r="I24" i="6" s="1"/>
  <c r="S24" i="6" s="1"/>
  <c r="K20" i="6"/>
  <c r="K19" i="6"/>
  <c r="S6" i="1" s="1"/>
  <c r="AR6" i="1" s="1"/>
  <c r="F69" i="67"/>
  <c r="E70" i="39"/>
  <c r="F68" i="39"/>
  <c r="C48" i="67"/>
  <c r="C60" i="67" s="1"/>
  <c r="G40" i="36"/>
  <c r="H40" i="36" s="1"/>
  <c r="AC7" i="34"/>
  <c r="V49" i="34" s="1"/>
  <c r="I49" i="34" s="1"/>
  <c r="I53" i="34" s="1"/>
  <c r="J53" i="34" s="1"/>
  <c r="W7" i="34"/>
  <c r="J26" i="78"/>
  <c r="J29" i="78" s="1"/>
  <c r="E6" i="3"/>
  <c r="E66" i="39"/>
  <c r="J26" i="67"/>
  <c r="J29" i="67" s="1"/>
  <c r="F69" i="78"/>
  <c r="Q61" i="15"/>
  <c r="Q60" i="15"/>
  <c r="C38" i="78"/>
  <c r="C66" i="78"/>
  <c r="C60" i="78"/>
  <c r="C29" i="11"/>
  <c r="D27" i="11" s="1"/>
  <c r="G6" i="1"/>
  <c r="G16" i="1" s="1"/>
  <c r="H16" i="1"/>
  <c r="E41" i="43"/>
  <c r="C41" i="43" s="1"/>
  <c r="C38" i="43" s="1"/>
  <c r="C29" i="69"/>
  <c r="D27" i="69" s="1"/>
  <c r="C29" i="68"/>
  <c r="D27" i="68" s="1"/>
  <c r="M20" i="6"/>
  <c r="I20" i="6" s="1"/>
  <c r="S20" i="6" s="1"/>
  <c r="S7" i="1"/>
  <c r="T5" i="43"/>
  <c r="V5" i="43" s="1"/>
  <c r="T15" i="43"/>
  <c r="V15" i="43" s="1"/>
  <c r="T10" i="43"/>
  <c r="V10" i="43" s="1"/>
  <c r="T9" i="43"/>
  <c r="V9" i="43" s="1"/>
  <c r="C36" i="43"/>
  <c r="C34" i="43"/>
  <c r="T8" i="43"/>
  <c r="V8" i="43" s="1"/>
  <c r="C33" i="43"/>
  <c r="C37" i="43"/>
  <c r="C35" i="43"/>
  <c r="T6" i="43"/>
  <c r="V6" i="43" s="1"/>
  <c r="T12" i="43"/>
  <c r="V12" i="43" s="1"/>
  <c r="T11" i="43"/>
  <c r="V11" i="43" s="1"/>
  <c r="T7" i="43"/>
  <c r="V7" i="43" s="1"/>
  <c r="T13" i="43"/>
  <c r="V13" i="43" s="1"/>
  <c r="T14" i="43"/>
  <c r="V14" i="43" s="1"/>
  <c r="T16" i="43"/>
  <c r="V16" i="43" s="1"/>
  <c r="D113" i="43"/>
  <c r="S2" i="43"/>
  <c r="T2" i="43" s="1"/>
  <c r="V2" i="43" s="1"/>
  <c r="C23" i="43"/>
  <c r="C21" i="43" s="1"/>
  <c r="C29" i="43" s="1"/>
  <c r="S4" i="43"/>
  <c r="T4" i="43" s="1"/>
  <c r="V4" i="43" s="1"/>
  <c r="S3" i="43"/>
  <c r="T3" i="43" s="1"/>
  <c r="V3" i="43" s="1"/>
  <c r="C34" i="69"/>
  <c r="C35" i="69" s="1"/>
  <c r="K16" i="1"/>
  <c r="B29" i="1" s="1"/>
  <c r="C8" i="68" s="1"/>
  <c r="E30" i="6"/>
  <c r="E31" i="6" s="1"/>
  <c r="C17" i="4"/>
  <c r="B4" i="52" s="1"/>
  <c r="B43" i="72" s="1"/>
  <c r="L18" i="9"/>
  <c r="D3" i="33"/>
  <c r="D37" i="11"/>
  <c r="C37" i="11" s="1"/>
  <c r="M18" i="9"/>
  <c r="B118" i="9" s="1"/>
  <c r="B14" i="74" s="1"/>
  <c r="B1" i="74" s="1"/>
  <c r="D3" i="21"/>
  <c r="D19" i="11"/>
  <c r="C19" i="11" s="1"/>
  <c r="C24" i="11" s="1"/>
  <c r="D3" i="37"/>
  <c r="D3" i="34"/>
  <c r="D14" i="12"/>
  <c r="E6" i="6"/>
  <c r="O14" i="1"/>
  <c r="O16" i="1" s="1"/>
  <c r="M16" i="1"/>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56" i="3"/>
  <c r="AY317" i="3"/>
  <c r="AY324" i="3"/>
  <c r="AY467" i="3"/>
  <c r="AY457" i="3"/>
  <c r="AY438" i="3"/>
  <c r="AY435" i="3"/>
  <c r="AY581" i="3"/>
  <c r="AY580" i="3"/>
  <c r="BN6" i="3"/>
  <c r="AY546" i="3"/>
  <c r="AY552" i="3"/>
  <c r="AY508" i="3"/>
  <c r="AY514" i="3"/>
  <c r="AY523" i="3"/>
  <c r="AY49" i="3"/>
  <c r="AY37" i="3"/>
  <c r="AY174" i="3"/>
  <c r="AY122" i="3"/>
  <c r="AY282" i="3"/>
  <c r="AY250" i="3"/>
  <c r="AY385" i="3"/>
  <c r="AY345" i="3"/>
  <c r="AY305" i="3"/>
  <c r="AY304" i="3"/>
  <c r="AY484" i="3"/>
  <c r="AY445" i="3"/>
  <c r="AY418" i="3"/>
  <c r="AY423" i="3"/>
  <c r="AY505" i="3"/>
  <c r="AY564" i="3"/>
  <c r="AY502" i="3"/>
  <c r="AY551" i="3"/>
  <c r="AY548" i="3"/>
  <c r="BA6" i="3"/>
  <c r="AY79" i="3"/>
  <c r="AY30" i="3"/>
  <c r="AY187" i="3"/>
  <c r="AY151" i="3"/>
  <c r="AY296" i="3"/>
  <c r="AY264" i="3"/>
  <c r="AY394" i="3"/>
  <c r="AY347" i="3"/>
  <c r="AY314" i="3"/>
  <c r="AY451" i="3"/>
  <c r="AY421" i="3"/>
  <c r="AY517" i="3"/>
  <c r="AY568" i="3"/>
  <c r="AY102" i="3"/>
  <c r="AY70" i="3"/>
  <c r="AY200" i="3"/>
  <c r="AY175" i="3"/>
  <c r="AY119" i="3"/>
  <c r="AY257" i="3"/>
  <c r="AY208" i="3"/>
  <c r="AY367" i="3"/>
  <c r="AY307" i="3"/>
  <c r="AY474" i="3"/>
  <c r="AY416" i="3"/>
  <c r="AY521" i="3"/>
  <c r="AY583" i="3"/>
  <c r="AY49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70" i="3"/>
  <c r="AY325" i="3"/>
  <c r="AY332" i="3"/>
  <c r="AY483" i="3"/>
  <c r="AY464" i="3"/>
  <c r="AY446" i="3"/>
  <c r="AY406" i="3"/>
  <c r="AY403" i="3"/>
  <c r="BM6" i="3"/>
  <c r="AY572" i="3"/>
  <c r="AY527" i="3"/>
  <c r="AY510" i="3"/>
  <c r="AY543" i="3"/>
  <c r="AY556" i="3"/>
  <c r="AY519" i="3"/>
  <c r="AY81" i="3"/>
  <c r="AY32" i="3"/>
  <c r="AY189" i="3"/>
  <c r="AY153" i="3"/>
  <c r="AY298" i="3"/>
  <c r="AY266" i="3"/>
  <c r="AY396" i="3"/>
  <c r="AY352" i="3"/>
  <c r="AY313" i="3"/>
  <c r="AY320" i="3"/>
  <c r="AY492" i="3"/>
  <c r="AY453" i="3"/>
  <c r="AY434" i="3"/>
  <c r="AY431" i="3"/>
  <c r="AY579" i="3"/>
  <c r="AY538" i="3"/>
  <c r="AY575" i="3"/>
  <c r="AY509" i="3"/>
  <c r="AY545" i="3"/>
  <c r="AY563" i="3"/>
  <c r="AY94" i="3"/>
  <c r="AY62" i="3"/>
  <c r="AY203" i="3"/>
  <c r="AY167" i="3"/>
  <c r="AY301" i="3"/>
  <c r="AY233" i="3"/>
  <c r="AY221" i="3"/>
  <c r="AY359" i="3"/>
  <c r="AY330" i="3"/>
  <c r="AY466" i="3"/>
  <c r="AY408" i="3"/>
  <c r="AY13" i="3"/>
  <c r="AY512" i="3"/>
  <c r="AY107" i="3"/>
  <c r="AY39" i="3"/>
  <c r="AY27" i="3"/>
  <c r="AY164" i="3"/>
  <c r="AY136" i="3"/>
  <c r="AY273" i="3"/>
  <c r="AY240" i="3"/>
  <c r="AY375" i="3"/>
  <c r="AY323" i="3"/>
  <c r="AY477" i="3"/>
  <c r="AY432" i="3"/>
  <c r="AY550" i="3"/>
  <c r="AY566" i="3"/>
  <c r="AY567"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41" i="3"/>
  <c r="AY340" i="3"/>
  <c r="AY491" i="3"/>
  <c r="AY480" i="3"/>
  <c r="AY454" i="3"/>
  <c r="AY414" i="3"/>
  <c r="AY419" i="3"/>
  <c r="AY525" i="3"/>
  <c r="AY561" i="3"/>
  <c r="AY536" i="3"/>
  <c r="AY518" i="3"/>
  <c r="AY16" i="3"/>
  <c r="AY532" i="3"/>
  <c r="AY577" i="3"/>
  <c r="AY96" i="3"/>
  <c r="AY64" i="3"/>
  <c r="AY205" i="3"/>
  <c r="AY169" i="3"/>
  <c r="AY113" i="3"/>
  <c r="AY235" i="3"/>
  <c r="AY223" i="3"/>
  <c r="AY361" i="3"/>
  <c r="AY321" i="3"/>
  <c r="AY328" i="3"/>
  <c r="AY479" i="3"/>
  <c r="AY461" i="3"/>
  <c r="AY442" i="3"/>
  <c r="AY402" i="3"/>
  <c r="AY399" i="3"/>
  <c r="AY499" i="3"/>
  <c r="AY522" i="3"/>
  <c r="AY537" i="3"/>
  <c r="BR6" i="3"/>
  <c r="BP6" i="3"/>
  <c r="AY110" i="3"/>
  <c r="AY78" i="3"/>
  <c r="AY19" i="3"/>
  <c r="AY140" i="3"/>
  <c r="AY127" i="3"/>
  <c r="AY265" i="3"/>
  <c r="AY216" i="3"/>
  <c r="AY376" i="3"/>
  <c r="AY315" i="3"/>
  <c r="AY171" i="3"/>
  <c r="AY237" i="3"/>
  <c r="AY526" i="3"/>
  <c r="AY447" i="3"/>
  <c r="AY85" i="3"/>
  <c r="AY157" i="3"/>
  <c r="AY211" i="3"/>
  <c r="AY186" i="3"/>
  <c r="AY349" i="3"/>
  <c r="AY449" i="3"/>
  <c r="AY516" i="3"/>
  <c r="AY584" i="3"/>
  <c r="AY21" i="3"/>
  <c r="AY218" i="3"/>
  <c r="AY487" i="3"/>
  <c r="AY415" i="3"/>
  <c r="AY530" i="3"/>
  <c r="AY35" i="3"/>
  <c r="AY248" i="3"/>
  <c r="AY482" i="3"/>
  <c r="AY500" i="3"/>
  <c r="AY587" i="3"/>
  <c r="AY22" i="3"/>
  <c r="AY143" i="3"/>
  <c r="AY256" i="3"/>
  <c r="AY339" i="3"/>
  <c r="AY443" i="3"/>
  <c r="BC6" i="3"/>
  <c r="AY334" i="3"/>
  <c r="BI6" i="3"/>
  <c r="AY520" i="3"/>
  <c r="AY337" i="3"/>
  <c r="D3" i="6"/>
  <c r="AY528" i="3"/>
  <c r="AY288" i="3"/>
  <c r="AY413" i="3"/>
  <c r="AY90" i="3"/>
  <c r="AY387" i="3"/>
  <c r="AY269" i="3"/>
  <c r="AY535" i="3"/>
  <c r="AY68" i="3"/>
  <c r="AY117" i="3"/>
  <c r="AY365" i="3"/>
  <c r="AY130" i="3"/>
  <c r="AY309" i="3"/>
  <c r="AY422" i="3"/>
  <c r="BF6" i="3"/>
  <c r="AY496" i="3"/>
  <c r="AY142" i="3"/>
  <c r="AY369" i="3"/>
  <c r="AY476" i="3"/>
  <c r="AY17" i="3"/>
  <c r="AY531" i="3"/>
  <c r="AY172" i="3"/>
  <c r="AY383" i="3"/>
  <c r="AY440" i="3"/>
  <c r="AY547" i="3"/>
  <c r="AY86" i="3"/>
  <c r="AY195" i="3"/>
  <c r="AY293" i="3"/>
  <c r="AY213" i="3"/>
  <c r="AY322" i="3"/>
  <c r="AY400" i="3"/>
  <c r="AY504" i="3"/>
  <c r="AY18" i="3"/>
  <c r="AY75" i="3"/>
  <c r="AY444" i="3"/>
  <c r="AY311" i="3"/>
  <c r="AY555" i="3"/>
  <c r="AY178" i="3"/>
  <c r="AY254" i="3"/>
  <c r="AY57" i="3"/>
  <c r="AY393" i="3"/>
  <c r="AY488" i="3"/>
  <c r="AY503" i="3"/>
  <c r="AY559" i="3"/>
  <c r="AY80" i="3"/>
  <c r="AY267" i="3"/>
  <c r="AY336" i="3"/>
  <c r="AY410" i="3"/>
  <c r="AY515" i="3"/>
  <c r="AY47" i="3"/>
  <c r="AY280" i="3"/>
  <c r="AY485" i="3"/>
  <c r="AY405" i="3"/>
  <c r="AY576" i="3"/>
  <c r="AY54" i="3"/>
  <c r="AY159" i="3"/>
  <c r="AY272" i="3"/>
  <c r="AY351" i="3"/>
  <c r="AY459" i="3"/>
  <c r="AY15" i="3"/>
  <c r="AY98" i="3"/>
  <c r="AY163" i="3"/>
  <c r="AY390" i="3"/>
  <c r="AY574" i="3"/>
  <c r="AY25" i="3"/>
  <c r="AY271" i="3"/>
  <c r="AY243" i="3"/>
  <c r="AY308" i="3"/>
  <c r="AY427" i="3"/>
  <c r="AY112" i="3"/>
  <c r="AY129" i="3"/>
  <c r="AY450" i="3"/>
  <c r="AY493" i="3"/>
  <c r="AY120" i="3"/>
  <c r="AY331" i="3"/>
  <c r="AY424" i="3"/>
  <c r="AY71" i="3"/>
  <c r="AY179" i="3"/>
  <c r="AY386" i="3"/>
  <c r="AY306" i="3"/>
  <c r="BT6"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391" i="3"/>
  <c r="AY448" i="3"/>
  <c r="AY586" i="3"/>
  <c r="AY74" i="3"/>
  <c r="AY252" i="3"/>
  <c r="AY455" i="3"/>
  <c r="AY212" i="3"/>
  <c r="AY417" i="3"/>
  <c r="AY105" i="3"/>
  <c r="AY198" i="3"/>
  <c r="AY134" i="3"/>
  <c r="AY238" i="3"/>
  <c r="BB6" i="3"/>
  <c r="AY161" i="3"/>
  <c r="AY103" i="3"/>
  <c r="AY123" i="3"/>
  <c r="AY116" i="3"/>
  <c r="AY100" i="3"/>
  <c r="AY227" i="3"/>
  <c r="AY207" i="3"/>
  <c r="AY42" i="3"/>
  <c r="AY168" i="3"/>
  <c r="AY366" i="3"/>
  <c r="AY441" i="3"/>
  <c r="AY260" i="3"/>
  <c r="AY310" i="3"/>
  <c r="AY549" i="3"/>
  <c r="AY97" i="3"/>
  <c r="AY44" i="3"/>
  <c r="AY154" i="3"/>
  <c r="AY283" i="3"/>
  <c r="AY230" i="3"/>
  <c r="AY360" i="3"/>
  <c r="AY56" i="3"/>
  <c r="AY295" i="3"/>
  <c r="AY353" i="3"/>
  <c r="AY475" i="3"/>
  <c r="AY398" i="3"/>
  <c r="AY534" i="3"/>
  <c r="AY501" i="3"/>
  <c r="AY65" i="3"/>
  <c r="AY137" i="3"/>
  <c r="AY380" i="3"/>
  <c r="AY312" i="3"/>
  <c r="AY426" i="3"/>
  <c r="AY14" i="3"/>
  <c r="AY570" i="3"/>
  <c r="AY46" i="3"/>
  <c r="AY285" i="3"/>
  <c r="AY362" i="3"/>
  <c r="AY437" i="3"/>
  <c r="AY91" i="3"/>
  <c r="AY148" i="3"/>
  <c r="AY224" i="3"/>
  <c r="AY490" i="3"/>
  <c r="AY511" i="3"/>
  <c r="AY139" i="3"/>
  <c r="AY204" i="3"/>
  <c r="AY489" i="3"/>
  <c r="AY229" i="3"/>
  <c r="AY478" i="3"/>
  <c r="AY539" i="3"/>
  <c r="AY52" i="3"/>
  <c r="AY141" i="3"/>
  <c r="AY270" i="3"/>
  <c r="AY368" i="3"/>
  <c r="AY181" i="3"/>
  <c r="AY215" i="3"/>
  <c r="AY289" i="3"/>
  <c r="AY412" i="3"/>
  <c r="AY573" i="3"/>
  <c r="AY286" i="3"/>
  <c r="AY275" i="3"/>
  <c r="AY34" i="3"/>
  <c r="AY95" i="3"/>
  <c r="AY111" i="3"/>
  <c r="AY382" i="3"/>
  <c r="AY460" i="3"/>
  <c r="AY300" i="3"/>
  <c r="AY327" i="3"/>
  <c r="AY401" i="3"/>
  <c r="BE6" i="3"/>
  <c r="AY76" i="3"/>
  <c r="AY185" i="3"/>
  <c r="AY125" i="3"/>
  <c r="AY262" i="3"/>
  <c r="AY374" i="3"/>
  <c r="AY73" i="3"/>
  <c r="AY145" i="3"/>
  <c r="AY388" i="3"/>
  <c r="AY316" i="3"/>
  <c r="AY430" i="3"/>
  <c r="AY585" i="3"/>
  <c r="BG6" i="3"/>
  <c r="AY101" i="3"/>
  <c r="AY158" i="3"/>
  <c r="AY234" i="3"/>
  <c r="AY344" i="3"/>
  <c r="AY458" i="3"/>
  <c r="AY506" i="3"/>
  <c r="AY542" i="3"/>
  <c r="AY63" i="3"/>
  <c r="AY135" i="3"/>
  <c r="AY378" i="3"/>
  <c r="AY456" i="3"/>
  <c r="BL6" i="3"/>
  <c r="AY184" i="3"/>
  <c r="AY241" i="3"/>
  <c r="AY338" i="3"/>
  <c r="BD6" i="3"/>
  <c r="AY196" i="3"/>
  <c r="AY261" i="3"/>
  <c r="AY319" i="3"/>
  <c r="AY43" i="3"/>
  <c r="AY326" i="3"/>
  <c r="AY540" i="3"/>
  <c r="AY84" i="3"/>
  <c r="AY162" i="3"/>
  <c r="AY255" i="3"/>
  <c r="AY373" i="3"/>
  <c r="AY72" i="3"/>
  <c r="AY258" i="3"/>
  <c r="AY160" i="3"/>
  <c r="AY363" i="3"/>
  <c r="AY436" i="3"/>
  <c r="AY173" i="3"/>
  <c r="AY29" i="3"/>
  <c r="AY51" i="3"/>
  <c r="AY124" i="3"/>
  <c r="AY281" i="3"/>
  <c r="AY236" i="3"/>
  <c r="AY473" i="3"/>
  <c r="AY26" i="3"/>
  <c r="AY372" i="3"/>
  <c r="AY420" i="3"/>
  <c r="AY533"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67" i="3"/>
  <c r="AY183" i="3"/>
  <c r="AY209" i="3"/>
  <c r="AY497" i="3"/>
  <c r="AY379" i="3"/>
  <c r="AY557" i="3"/>
  <c r="AY69" i="3"/>
  <c r="AY193" i="3"/>
  <c r="AY291" i="3"/>
  <c r="AY384" i="3"/>
  <c r="AY88" i="3"/>
  <c r="AY121" i="3"/>
  <c r="AY50" i="3"/>
  <c r="AY284" i="3"/>
  <c r="AY343" i="3"/>
  <c r="AY20" i="3"/>
  <c r="AY507" i="3"/>
  <c r="G52" i="33"/>
  <c r="H52" i="33" s="1"/>
  <c r="G53" i="33"/>
  <c r="H53" i="33" s="1"/>
  <c r="E42" i="37"/>
  <c r="I47" i="37" s="1"/>
  <c r="J47" i="37" s="1"/>
  <c r="R43" i="37"/>
  <c r="F65" i="40"/>
  <c r="G63" i="40"/>
  <c r="G47" i="37"/>
  <c r="H47" i="37" s="1"/>
  <c r="G46" i="37"/>
  <c r="H46" i="37" s="1"/>
  <c r="G53" i="34"/>
  <c r="H53" i="34" s="1"/>
  <c r="E36" i="36"/>
  <c r="R37" i="36"/>
  <c r="E52" i="21"/>
  <c r="F52" i="21" s="1"/>
  <c r="E53" i="21"/>
  <c r="F53" i="21" s="1"/>
  <c r="AC7" i="35"/>
  <c r="V38" i="35" s="1"/>
  <c r="I38" i="35" s="1"/>
  <c r="G43" i="35" s="1"/>
  <c r="H43" i="35" s="1"/>
  <c r="W7" i="35"/>
  <c r="C48" i="33"/>
  <c r="C49" i="33"/>
  <c r="R39" i="35"/>
  <c r="E38" i="35"/>
  <c r="E49" i="34"/>
  <c r="R50" i="34"/>
  <c r="I46" i="37"/>
  <c r="J46" i="37" s="1"/>
  <c r="C48" i="21"/>
  <c r="C49" i="21"/>
  <c r="I41" i="36"/>
  <c r="J41" i="36" s="1"/>
  <c r="I40" i="36"/>
  <c r="J40" i="36" s="1"/>
  <c r="G42" i="35"/>
  <c r="H42" i="35" s="1"/>
  <c r="E53" i="33"/>
  <c r="F53" i="33" s="1"/>
  <c r="E52" i="33"/>
  <c r="F52" i="33" s="1"/>
  <c r="C26" i="69"/>
  <c r="D22" i="69" s="1"/>
  <c r="C44" i="69"/>
  <c r="D41" i="69" s="1"/>
  <c r="C44" i="68"/>
  <c r="D41" i="68" s="1"/>
  <c r="C26" i="68"/>
  <c r="D22" i="68" s="1"/>
  <c r="C26" i="12"/>
  <c r="D25" i="12" s="1"/>
  <c r="C44" i="11"/>
  <c r="D41" i="11" s="1"/>
  <c r="C23" i="11"/>
  <c r="C26" i="11"/>
  <c r="D22" i="11" s="1"/>
  <c r="C38" i="67"/>
  <c r="C38" i="15"/>
  <c r="AE6" i="1"/>
  <c r="C14" i="67"/>
  <c r="C17" i="15"/>
  <c r="C17" i="78"/>
  <c r="F41" i="15"/>
  <c r="C17" i="67"/>
  <c r="C30" i="43" l="1"/>
  <c r="E30" i="43" s="1"/>
  <c r="L50" i="15"/>
  <c r="Q58" i="15" s="1"/>
  <c r="J24" i="15"/>
  <c r="K27" i="6"/>
  <c r="T6" i="1"/>
  <c r="F69" i="15"/>
  <c r="J29" i="15"/>
  <c r="D11" i="71"/>
  <c r="C10" i="71"/>
  <c r="M19" i="6"/>
  <c r="M27" i="6" s="1"/>
  <c r="AQ6" i="1"/>
  <c r="E6" i="70"/>
  <c r="C66" i="67"/>
  <c r="S16" i="1"/>
  <c r="F70" i="39"/>
  <c r="G68" i="39"/>
  <c r="G54" i="34"/>
  <c r="H54" i="34" s="1"/>
  <c r="C18" i="67"/>
  <c r="C15" i="67"/>
  <c r="E7" i="70"/>
  <c r="E2" i="70" s="1"/>
  <c r="C33" i="78"/>
  <c r="J59" i="78"/>
  <c r="J60" i="78" s="1"/>
  <c r="C39" i="43"/>
  <c r="G39" i="43" s="1"/>
  <c r="I39" i="43" s="1"/>
  <c r="F10" i="39"/>
  <c r="J10" i="39"/>
  <c r="H10" i="39"/>
  <c r="H10" i="40"/>
  <c r="J10" i="40"/>
  <c r="F10" i="40"/>
  <c r="AQ7" i="1"/>
  <c r="AR7" i="1"/>
  <c r="T7" i="1"/>
  <c r="C66" i="15"/>
  <c r="E29" i="43"/>
  <c r="C6" i="68" s="1"/>
  <c r="C7" i="68" s="1"/>
  <c r="C5" i="68" s="1"/>
  <c r="C23" i="68" s="1"/>
  <c r="G38" i="43"/>
  <c r="I38" i="43" s="1"/>
  <c r="E38" i="43"/>
  <c r="E35" i="43"/>
  <c r="G35" i="43"/>
  <c r="I35" i="43" s="1"/>
  <c r="G34" i="43"/>
  <c r="I34" i="43" s="1"/>
  <c r="E34" i="43"/>
  <c r="E33" i="43"/>
  <c r="G33" i="43"/>
  <c r="I33" i="43" s="1"/>
  <c r="E37" i="43"/>
  <c r="G37" i="43"/>
  <c r="I37" i="43" s="1"/>
  <c r="E36" i="43"/>
  <c r="G36" i="43"/>
  <c r="I36" i="43" s="1"/>
  <c r="C38" i="69"/>
  <c r="B2" i="33"/>
  <c r="B3" i="33" s="1"/>
  <c r="C8" i="74"/>
  <c r="C7" i="74"/>
  <c r="B2" i="21"/>
  <c r="B3" i="21" s="1"/>
  <c r="P14" i="1"/>
  <c r="P16" i="1" s="1"/>
  <c r="C11" i="12" s="1"/>
  <c r="H20" i="6"/>
  <c r="D15" i="6"/>
  <c r="D9" i="6"/>
  <c r="H23" i="6"/>
  <c r="D25" i="6"/>
  <c r="E61" i="40"/>
  <c r="D23" i="6"/>
  <c r="H21" i="6"/>
  <c r="D21" i="6"/>
  <c r="D29" i="6"/>
  <c r="D10" i="6"/>
  <c r="H22" i="6"/>
  <c r="D22" i="6"/>
  <c r="D8" i="6"/>
  <c r="D28" i="6"/>
  <c r="D6" i="6"/>
  <c r="D20" i="6"/>
  <c r="R20" i="6" s="1"/>
  <c r="D26" i="6"/>
  <c r="D11" i="6"/>
  <c r="D13" i="6"/>
  <c r="D12" i="6"/>
  <c r="M19" i="9"/>
  <c r="C118" i="9" s="1"/>
  <c r="C14" i="74" s="1"/>
  <c r="B2" i="74" s="1"/>
  <c r="D5" i="6"/>
  <c r="H25" i="6"/>
  <c r="C18" i="4"/>
  <c r="L19" i="9"/>
  <c r="D19" i="6"/>
  <c r="D14" i="6"/>
  <c r="H26" i="6"/>
  <c r="H24" i="6"/>
  <c r="D24" i="6"/>
  <c r="D17" i="12"/>
  <c r="C17" i="12" s="1"/>
  <c r="C14" i="12"/>
  <c r="C20" i="11"/>
  <c r="C25" i="11" s="1"/>
  <c r="C22" i="11" s="1"/>
  <c r="N16" i="1"/>
  <c r="L16" i="1"/>
  <c r="C34" i="68"/>
  <c r="C34" i="11"/>
  <c r="D10" i="11"/>
  <c r="C10" i="11" s="1"/>
  <c r="D10" i="68"/>
  <c r="D10" i="69"/>
  <c r="D20" i="12"/>
  <c r="C20" i="12" s="1"/>
  <c r="C18" i="12" s="1"/>
  <c r="E54" i="34"/>
  <c r="F54" i="34" s="1"/>
  <c r="E53" i="34"/>
  <c r="F53" i="34" s="1"/>
  <c r="I54" i="34"/>
  <c r="J54" i="34" s="1"/>
  <c r="C39" i="35"/>
  <c r="B2" i="35" s="1"/>
  <c r="B3" i="35" s="1"/>
  <c r="C38" i="35"/>
  <c r="I43" i="35"/>
  <c r="J43" i="35" s="1"/>
  <c r="I42" i="35"/>
  <c r="J42" i="35" s="1"/>
  <c r="E41" i="36"/>
  <c r="F41" i="36" s="1"/>
  <c r="E40" i="36"/>
  <c r="F40" i="36" s="1"/>
  <c r="E46" i="37"/>
  <c r="F46" i="37" s="1"/>
  <c r="E47" i="37"/>
  <c r="F47" i="37" s="1"/>
  <c r="C49" i="34"/>
  <c r="C50" i="34"/>
  <c r="B2" i="34" s="1"/>
  <c r="B3" i="34" s="1"/>
  <c r="E43" i="35"/>
  <c r="F43" i="35" s="1"/>
  <c r="E42" i="35"/>
  <c r="F42" i="35" s="1"/>
  <c r="C36" i="36"/>
  <c r="C37" i="36"/>
  <c r="B2" i="36" s="1"/>
  <c r="B3" i="36" s="1"/>
  <c r="C42" i="37"/>
  <c r="C43" i="37"/>
  <c r="B2" i="37" s="1"/>
  <c r="B3" i="37" s="1"/>
  <c r="H63" i="40"/>
  <c r="G65" i="40"/>
  <c r="C33" i="15"/>
  <c r="J59" i="15"/>
  <c r="J60" i="15" s="1"/>
  <c r="C14" i="78"/>
  <c r="C14" i="15"/>
  <c r="I19" i="6" l="1"/>
  <c r="H19" i="6" s="1"/>
  <c r="R25" i="6"/>
  <c r="C9" i="71"/>
  <c r="T10" i="71"/>
  <c r="D10" i="71"/>
  <c r="U10" i="71" s="1"/>
  <c r="C18" i="78"/>
  <c r="C15" i="78"/>
  <c r="C18" i="15"/>
  <c r="C15" i="15"/>
  <c r="T16" i="1"/>
  <c r="G70" i="39"/>
  <c r="H68" i="39"/>
  <c r="C19" i="67"/>
  <c r="C20" i="67" s="1"/>
  <c r="C26" i="67" s="1"/>
  <c r="R7" i="1"/>
  <c r="Q48" i="78"/>
  <c r="E39" i="43"/>
  <c r="C26" i="43" s="1"/>
  <c r="AA10" i="40"/>
  <c r="S10" i="40"/>
  <c r="AC10" i="40"/>
  <c r="W10" i="40"/>
  <c r="AA10" i="39"/>
  <c r="S10" i="39"/>
  <c r="W10" i="39"/>
  <c r="AC10" i="39"/>
  <c r="AB10" i="39"/>
  <c r="U10" i="39"/>
  <c r="AB10" i="40"/>
  <c r="U10" i="40"/>
  <c r="C27" i="43"/>
  <c r="H27" i="6"/>
  <c r="D30" i="6"/>
  <c r="D16" i="6"/>
  <c r="C28" i="11"/>
  <c r="C27" i="11" s="1"/>
  <c r="C31" i="11" s="1"/>
  <c r="R24" i="6"/>
  <c r="C38" i="11"/>
  <c r="C35" i="11"/>
  <c r="S19" i="6"/>
  <c r="S27" i="6" s="1"/>
  <c r="I27" i="6"/>
  <c r="C10" i="69"/>
  <c r="C8" i="69" s="1"/>
  <c r="C5" i="69" s="1"/>
  <c r="D19" i="69"/>
  <c r="C38" i="68"/>
  <c r="C35" i="68"/>
  <c r="R23" i="6"/>
  <c r="R19" i="6"/>
  <c r="D27" i="6"/>
  <c r="F50" i="69"/>
  <c r="F50" i="11"/>
  <c r="F50" i="68"/>
  <c r="C10" i="68"/>
  <c r="D19" i="68"/>
  <c r="C4" i="52"/>
  <c r="B45" i="72" s="1"/>
  <c r="A7" i="51"/>
  <c r="B7" i="72" s="1"/>
  <c r="A10" i="51"/>
  <c r="B9" i="72" s="1"/>
  <c r="D8" i="74"/>
  <c r="D7" i="74"/>
  <c r="C15" i="12"/>
  <c r="C12" i="12"/>
  <c r="R22" i="6"/>
  <c r="R21" i="6"/>
  <c r="R26" i="6"/>
  <c r="H65" i="40"/>
  <c r="I63" i="40"/>
  <c r="Q48" i="15"/>
  <c r="E6" i="76"/>
  <c r="M21" i="67"/>
  <c r="F35" i="67"/>
  <c r="C8" i="71" l="1"/>
  <c r="D9" i="71"/>
  <c r="C19" i="15"/>
  <c r="C20" i="15" s="1"/>
  <c r="C26" i="15" s="1"/>
  <c r="C19" i="78"/>
  <c r="C20" i="78" s="1"/>
  <c r="C23" i="78" s="1"/>
  <c r="H70" i="39"/>
  <c r="I68" i="39"/>
  <c r="J20" i="67"/>
  <c r="F63" i="67"/>
  <c r="C62" i="67" s="1"/>
  <c r="C34" i="67"/>
  <c r="C23" i="67"/>
  <c r="C29" i="67" s="1"/>
  <c r="J59" i="67" s="1"/>
  <c r="J60" i="67" s="1"/>
  <c r="Q48" i="67" s="1"/>
  <c r="R27" i="6"/>
  <c r="R6" i="1"/>
  <c r="E2" i="76"/>
  <c r="B2" i="43"/>
  <c r="C16" i="12"/>
  <c r="C21" i="12" s="1"/>
  <c r="C22" i="12" s="1"/>
  <c r="C27" i="12" s="1"/>
  <c r="C25" i="12" s="1"/>
  <c r="D31" i="6"/>
  <c r="I5" i="6" s="1"/>
  <c r="C33" i="11"/>
  <c r="C42" i="11" s="1"/>
  <c r="C23" i="69"/>
  <c r="C19" i="69"/>
  <c r="C24" i="69" s="1"/>
  <c r="D37" i="69"/>
  <c r="C37" i="69" s="1"/>
  <c r="C33" i="69" s="1"/>
  <c r="C19" i="68"/>
  <c r="D37" i="68"/>
  <c r="C37" i="68" s="1"/>
  <c r="C33" i="68" s="1"/>
  <c r="J63" i="40"/>
  <c r="I65" i="40"/>
  <c r="F35" i="15"/>
  <c r="F35" i="78"/>
  <c r="B6" i="76"/>
  <c r="M21" i="78"/>
  <c r="M21" i="15"/>
  <c r="C7" i="71" l="1"/>
  <c r="D8" i="71"/>
  <c r="C23" i="15"/>
  <c r="C29" i="15" s="1"/>
  <c r="C13" i="15" s="1"/>
  <c r="Q70" i="15" s="1"/>
  <c r="C26" i="78"/>
  <c r="C29" i="78" s="1"/>
  <c r="C36" i="78" s="1"/>
  <c r="I70" i="39"/>
  <c r="J68" i="39"/>
  <c r="C13" i="67"/>
  <c r="C57" i="67"/>
  <c r="C36" i="67"/>
  <c r="J19" i="67"/>
  <c r="J17" i="67" s="1"/>
  <c r="J14" i="67"/>
  <c r="Q49" i="67"/>
  <c r="C33" i="67"/>
  <c r="C31" i="67" s="1"/>
  <c r="J20" i="78"/>
  <c r="F63" i="78"/>
  <c r="C62" i="78" s="1"/>
  <c r="C34" i="78"/>
  <c r="C31" i="78" s="1"/>
  <c r="L57" i="78"/>
  <c r="L60" i="78" s="1"/>
  <c r="L46" i="78" s="1"/>
  <c r="J20" i="15"/>
  <c r="F63" i="15"/>
  <c r="C62" i="15" s="1"/>
  <c r="C34" i="15"/>
  <c r="C31" i="15" s="1"/>
  <c r="R16" i="1"/>
  <c r="I6" i="6"/>
  <c r="B2" i="76"/>
  <c r="B3" i="76" s="1"/>
  <c r="B3" i="43"/>
  <c r="C39" i="11"/>
  <c r="C43" i="11" s="1"/>
  <c r="C41" i="11" s="1"/>
  <c r="C39" i="69"/>
  <c r="C43" i="69" s="1"/>
  <c r="C42" i="69"/>
  <c r="C20" i="68"/>
  <c r="C25" i="68" s="1"/>
  <c r="C24" i="68"/>
  <c r="C39" i="68"/>
  <c r="C42" i="68"/>
  <c r="C30" i="12"/>
  <c r="C28" i="12" s="1"/>
  <c r="C32" i="12" s="1"/>
  <c r="B2" i="12" s="1"/>
  <c r="B3" i="12" s="1"/>
  <c r="C20" i="69"/>
  <c r="K63" i="40"/>
  <c r="J65" i="40"/>
  <c r="C6" i="71" l="1"/>
  <c r="D7" i="71"/>
  <c r="Q49" i="15"/>
  <c r="C56" i="15"/>
  <c r="C65" i="15" s="1"/>
  <c r="C37" i="15"/>
  <c r="C36" i="15"/>
  <c r="C57" i="15"/>
  <c r="C61" i="15" s="1"/>
  <c r="C59" i="15" s="1"/>
  <c r="C75" i="15"/>
  <c r="J14" i="15"/>
  <c r="J22" i="15" s="1"/>
  <c r="J19" i="15"/>
  <c r="J17" i="15" s="1"/>
  <c r="C57" i="78"/>
  <c r="C64" i="78" s="1"/>
  <c r="J19" i="78"/>
  <c r="J17" i="78" s="1"/>
  <c r="C13" i="78"/>
  <c r="C56" i="78" s="1"/>
  <c r="C65" i="78" s="1"/>
  <c r="Q49" i="78"/>
  <c r="J14" i="78"/>
  <c r="J22" i="78" s="1"/>
  <c r="J70" i="39"/>
  <c r="K68" i="39"/>
  <c r="C64" i="67"/>
  <c r="C61" i="67"/>
  <c r="C59" i="67" s="1"/>
  <c r="J13" i="67"/>
  <c r="J23" i="67" s="1"/>
  <c r="J22" i="67"/>
  <c r="C37" i="67"/>
  <c r="C30" i="67" s="1"/>
  <c r="C39" i="67" s="1"/>
  <c r="C56" i="67"/>
  <c r="C65" i="67" s="1"/>
  <c r="Q70" i="67"/>
  <c r="C75" i="67"/>
  <c r="Q57" i="78"/>
  <c r="Q66" i="78"/>
  <c r="C41" i="69"/>
  <c r="C22" i="68"/>
  <c r="C46" i="11"/>
  <c r="C45" i="11" s="1"/>
  <c r="C49" i="11" s="1"/>
  <c r="C51" i="11" s="1"/>
  <c r="C52" i="11" s="1"/>
  <c r="B2" i="11" s="1"/>
  <c r="B3" i="11" s="1"/>
  <c r="C46" i="68"/>
  <c r="C45" i="68" s="1"/>
  <c r="C43" i="68"/>
  <c r="C41" i="68" s="1"/>
  <c r="C28" i="69"/>
  <c r="C27" i="69" s="1"/>
  <c r="C25" i="69"/>
  <c r="C22" i="69" s="1"/>
  <c r="C28" i="68"/>
  <c r="C27" i="68" s="1"/>
  <c r="C46" i="69"/>
  <c r="C45" i="69" s="1"/>
  <c r="C49" i="69" s="1"/>
  <c r="C51" i="69" s="1"/>
  <c r="K65" i="40"/>
  <c r="L63" i="40"/>
  <c r="L51" i="67"/>
  <c r="C5" i="71" l="1"/>
  <c r="D6" i="71"/>
  <c r="C30" i="15"/>
  <c r="C39" i="15" s="1"/>
  <c r="C80" i="15" s="1"/>
  <c r="C79" i="15" s="1"/>
  <c r="C64" i="15"/>
  <c r="C58" i="15" s="1"/>
  <c r="C67" i="15" s="1"/>
  <c r="C68" i="15" s="1"/>
  <c r="C71" i="15" s="1"/>
  <c r="J13" i="15"/>
  <c r="J23" i="15" s="1"/>
  <c r="J16" i="15" s="1"/>
  <c r="J25" i="15" s="1"/>
  <c r="C75" i="78"/>
  <c r="Q70" i="78"/>
  <c r="C61" i="78"/>
  <c r="C59" i="78" s="1"/>
  <c r="C58" i="78" s="1"/>
  <c r="C67" i="78" s="1"/>
  <c r="C68" i="78" s="1"/>
  <c r="C71" i="78" s="1"/>
  <c r="J13" i="78"/>
  <c r="J23" i="78" s="1"/>
  <c r="J16" i="78" s="1"/>
  <c r="J25" i="78" s="1"/>
  <c r="C37" i="78"/>
  <c r="C30" i="78" s="1"/>
  <c r="C39" i="78" s="1"/>
  <c r="K70" i="39"/>
  <c r="L68" i="39"/>
  <c r="C58" i="67"/>
  <c r="C67" i="67" s="1"/>
  <c r="C68" i="67" s="1"/>
  <c r="C71" i="67" s="1"/>
  <c r="C80" i="67"/>
  <c r="C79" i="67" s="1"/>
  <c r="J16" i="67"/>
  <c r="J25" i="67" s="1"/>
  <c r="Q67" i="67"/>
  <c r="L57" i="67"/>
  <c r="L60" i="67" s="1"/>
  <c r="C40" i="67"/>
  <c r="Q69" i="67"/>
  <c r="Q68" i="67" s="1"/>
  <c r="C31" i="69"/>
  <c r="C52" i="69" s="1"/>
  <c r="B2" i="69" s="1"/>
  <c r="B3" i="69" s="1"/>
  <c r="C31" i="68"/>
  <c r="C49" i="68"/>
  <c r="C51" i="68" s="1"/>
  <c r="C56" i="11"/>
  <c r="C57" i="11" s="1"/>
  <c r="M63" i="40"/>
  <c r="L65" i="40"/>
  <c r="L51" i="78"/>
  <c r="L51" i="15"/>
  <c r="D5" i="71" l="1"/>
  <c r="M20" i="43"/>
  <c r="Q69" i="15"/>
  <c r="Q68" i="15" s="1"/>
  <c r="C40" i="15"/>
  <c r="Q47" i="15" s="1"/>
  <c r="Q53" i="15" s="1"/>
  <c r="L57" i="15"/>
  <c r="L60" i="15" s="1"/>
  <c r="L46" i="15" s="1"/>
  <c r="Q67" i="15"/>
  <c r="C80" i="78"/>
  <c r="C79" i="78" s="1"/>
  <c r="Q67" i="78"/>
  <c r="C40" i="78"/>
  <c r="Q47" i="78" s="1"/>
  <c r="Q53" i="78" s="1"/>
  <c r="Q69" i="78"/>
  <c r="Q68" i="78" s="1"/>
  <c r="L70" i="39"/>
  <c r="M68" i="39"/>
  <c r="Q56" i="67"/>
  <c r="Q47" i="67"/>
  <c r="Q53" i="67" s="1"/>
  <c r="C83" i="67"/>
  <c r="C82" i="67" s="1"/>
  <c r="C43" i="67"/>
  <c r="Q65" i="67"/>
  <c r="L46" i="67"/>
  <c r="D2" i="67" s="1"/>
  <c r="Q57" i="67"/>
  <c r="Q66" i="67"/>
  <c r="C45" i="67"/>
  <c r="C46" i="67" s="1"/>
  <c r="C52" i="68"/>
  <c r="B2" i="68" s="1"/>
  <c r="C57" i="69"/>
  <c r="C56" i="69" s="1"/>
  <c r="M65" i="40"/>
  <c r="N63" i="40"/>
  <c r="C19" i="9"/>
  <c r="B2" i="15" l="1"/>
  <c r="C83" i="15"/>
  <c r="C82" i="15" s="1"/>
  <c r="Q65" i="15"/>
  <c r="C46" i="15"/>
  <c r="C43" i="15"/>
  <c r="Q56" i="15"/>
  <c r="Q66" i="15"/>
  <c r="Q75" i="15" s="1"/>
  <c r="Q57" i="15"/>
  <c r="C83" i="78"/>
  <c r="C82" i="78" s="1"/>
  <c r="Q56" i="78"/>
  <c r="Q62" i="78" s="1"/>
  <c r="B2" i="78"/>
  <c r="Q65" i="78"/>
  <c r="Q75" i="78" s="1"/>
  <c r="C43" i="78"/>
  <c r="C46" i="78"/>
  <c r="Q75" i="67"/>
  <c r="N68" i="39"/>
  <c r="M70" i="39"/>
  <c r="B2" i="67"/>
  <c r="B3" i="67"/>
  <c r="Q62" i="67"/>
  <c r="C102" i="9"/>
  <c r="C21" i="9"/>
  <c r="B3" i="68"/>
  <c r="C57" i="68"/>
  <c r="C56" i="68" s="1"/>
  <c r="O63" i="40"/>
  <c r="O65" i="40" s="1"/>
  <c r="N65" i="40"/>
  <c r="D35" i="9"/>
  <c r="AO7" i="1"/>
  <c r="D34" i="9"/>
  <c r="AO6" i="1"/>
  <c r="C20" i="9"/>
  <c r="B6" i="70" l="1"/>
  <c r="B3" i="15"/>
  <c r="Q62" i="15"/>
  <c r="B7" i="70"/>
  <c r="B3" i="78"/>
  <c r="N70" i="39"/>
  <c r="O68" i="39"/>
  <c r="O70" i="39" s="1"/>
  <c r="H7" i="39" s="1"/>
  <c r="C103" i="9"/>
  <c r="F7" i="40"/>
  <c r="H7" i="40"/>
  <c r="J7" i="40"/>
  <c r="B2" i="70" l="1"/>
  <c r="AB7" i="39"/>
  <c r="T47" i="39" s="1"/>
  <c r="G47" i="39" s="1"/>
  <c r="U7" i="39"/>
  <c r="F7" i="39"/>
  <c r="J7" i="39"/>
  <c r="U7" i="40"/>
  <c r="AB7" i="40"/>
  <c r="T42" i="40" s="1"/>
  <c r="G42" i="40" s="1"/>
  <c r="AA7" i="40"/>
  <c r="R42" i="40" s="1"/>
  <c r="S7" i="40"/>
  <c r="AC7" i="40"/>
  <c r="V42" i="40" s="1"/>
  <c r="I42" i="40" s="1"/>
  <c r="W7" i="40"/>
  <c r="D19" i="9"/>
  <c r="D22" i="9" l="1"/>
  <c r="D102" i="9"/>
  <c r="D21" i="9"/>
  <c r="G19" i="9"/>
  <c r="G21" i="9" s="1"/>
  <c r="B3" i="70"/>
  <c r="G51" i="39"/>
  <c r="H51" i="39" s="1"/>
  <c r="S7" i="39"/>
  <c r="AA7" i="39"/>
  <c r="R47" i="39" s="1"/>
  <c r="W7" i="39"/>
  <c r="AC7" i="39"/>
  <c r="V47" i="39" s="1"/>
  <c r="I47" i="39" s="1"/>
  <c r="G52" i="39" s="1"/>
  <c r="H52" i="39" s="1"/>
  <c r="E42" i="40"/>
  <c r="I47" i="40" s="1"/>
  <c r="J47" i="40" s="1"/>
  <c r="R43" i="40"/>
  <c r="G47" i="40"/>
  <c r="H47" i="40" s="1"/>
  <c r="G46" i="40"/>
  <c r="H46" i="40" s="1"/>
  <c r="I46" i="40"/>
  <c r="J46" i="40" s="1"/>
  <c r="D20" i="9"/>
  <c r="C32" i="9" l="1"/>
  <c r="H118" i="9" s="1"/>
  <c r="D103" i="9"/>
  <c r="G20" i="9"/>
  <c r="I51" i="39"/>
  <c r="J51" i="39" s="1"/>
  <c r="E47" i="39"/>
  <c r="I52" i="39" s="1"/>
  <c r="J52" i="39" s="1"/>
  <c r="R48" i="39"/>
  <c r="C42" i="40"/>
  <c r="C43" i="40"/>
  <c r="E47" i="40"/>
  <c r="F47" i="40" s="1"/>
  <c r="E46" i="40"/>
  <c r="F46" i="40" s="1"/>
  <c r="C35" i="9" l="1"/>
  <c r="F118" i="9" s="1"/>
  <c r="F119" i="9" s="1"/>
  <c r="F5" i="52" s="1"/>
  <c r="B53" i="72" s="1"/>
  <c r="H119" i="9"/>
  <c r="H5" i="52" s="1"/>
  <c r="H4" i="52"/>
  <c r="D14" i="74"/>
  <c r="I118" i="9"/>
  <c r="H101" i="9"/>
  <c r="C104" i="9"/>
  <c r="C48" i="39"/>
  <c r="C47" i="39"/>
  <c r="E51" i="39"/>
  <c r="F51" i="39" s="1"/>
  <c r="E52" i="39"/>
  <c r="F52" i="39" s="1"/>
  <c r="B55" i="40"/>
  <c r="F55" i="40" s="1"/>
  <c r="B54" i="40"/>
  <c r="F54" i="40" s="1"/>
  <c r="B59" i="40"/>
  <c r="F59" i="40" s="1"/>
  <c r="B60" i="40"/>
  <c r="F60" i="40" s="1"/>
  <c r="B51" i="40"/>
  <c r="F51" i="40" s="1"/>
  <c r="B58" i="40"/>
  <c r="F58" i="40" s="1"/>
  <c r="B53" i="40"/>
  <c r="F53" i="40" s="1"/>
  <c r="B52" i="40"/>
  <c r="F52" i="40" s="1"/>
  <c r="B56" i="40"/>
  <c r="F56" i="40" s="1"/>
  <c r="B57" i="40"/>
  <c r="F57" i="40" s="1"/>
  <c r="F61" i="40"/>
  <c r="B2" i="40" s="1"/>
  <c r="B3" i="40" s="1"/>
  <c r="F4" i="52" l="1"/>
  <c r="B51" i="72" s="1"/>
  <c r="G118" i="9"/>
  <c r="G4" i="52" s="1"/>
  <c r="B52" i="72" s="1"/>
  <c r="C34" i="9"/>
  <c r="D118" i="9" s="1"/>
  <c r="D4" i="52" s="1"/>
  <c r="B47" i="72" s="1"/>
  <c r="D45" i="9"/>
  <c r="D5" i="53"/>
  <c r="H107" i="9"/>
  <c r="M48" i="9"/>
  <c r="E14" i="74"/>
  <c r="B5" i="74"/>
  <c r="F14" i="74"/>
  <c r="C105" i="9"/>
  <c r="I4" i="52"/>
  <c r="H102" i="9"/>
  <c r="D7" i="53" s="1"/>
  <c r="B21" i="72" s="1"/>
  <c r="B58" i="39"/>
  <c r="F58" i="39" s="1"/>
  <c r="B59" i="39"/>
  <c r="F59" i="39" s="1"/>
  <c r="B56" i="39"/>
  <c r="F56" i="39" s="1"/>
  <c r="F66" i="39" s="1"/>
  <c r="B2" i="39" s="1"/>
  <c r="B3" i="39" s="1"/>
  <c r="B65" i="39"/>
  <c r="F65" i="39" s="1"/>
  <c r="B60" i="39"/>
  <c r="F60" i="39" s="1"/>
  <c r="B64" i="39"/>
  <c r="F64" i="39" s="1"/>
  <c r="B61" i="39"/>
  <c r="F61" i="39" s="1"/>
  <c r="B57" i="39"/>
  <c r="F57" i="39" s="1"/>
  <c r="B63" i="39"/>
  <c r="F63" i="39" s="1"/>
  <c r="B62" i="39"/>
  <c r="F62" i="39" s="1"/>
  <c r="E118" i="9" l="1"/>
  <c r="E4" i="52" s="1"/>
  <c r="B48" i="72" s="1"/>
  <c r="D119" i="9"/>
  <c r="D5" i="52" s="1"/>
  <c r="B49" i="72" s="1"/>
  <c r="D122" i="9"/>
  <c r="D13" i="53"/>
  <c r="H108" i="9"/>
  <c r="D15" i="53" s="1"/>
  <c r="B31" i="72" s="1"/>
  <c r="C64" i="9"/>
  <c r="C63" i="9" s="1"/>
  <c r="C67" i="9" s="1"/>
  <c r="C68" i="9" s="1"/>
  <c r="D54" i="9" s="1"/>
  <c r="D52" i="9"/>
  <c r="C78" i="9"/>
  <c r="C73" i="9" s="1"/>
  <c r="D55" i="9"/>
  <c r="M53" i="9" s="1"/>
  <c r="C93" i="9"/>
  <c r="C86" i="9" s="1"/>
  <c r="D53" i="9"/>
  <c r="C85" i="9"/>
  <c r="C72" i="9"/>
  <c r="B20" i="72"/>
  <c r="D6" i="53"/>
  <c r="B22" i="72" s="1"/>
  <c r="D5" i="74"/>
  <c r="C5" i="74"/>
  <c r="C95" i="9" l="1"/>
  <c r="C96" i="9" s="1"/>
  <c r="E96" i="9" s="1"/>
  <c r="E97" i="9" s="1"/>
  <c r="D8" i="52"/>
  <c r="D123" i="9"/>
  <c r="D9" i="52" s="1"/>
  <c r="G14" i="74"/>
  <c r="B6" i="74" s="1"/>
  <c r="B30" i="72"/>
  <c r="D14" i="53"/>
  <c r="B32" i="72" s="1"/>
  <c r="C79" i="9"/>
  <c r="C80" i="9" s="1"/>
  <c r="E80" i="9" s="1"/>
  <c r="E81" i="9" s="1"/>
  <c r="C97" i="9" l="1"/>
  <c r="D58" i="9" s="1"/>
  <c r="D56" i="9" s="1"/>
  <c r="M54" i="9" s="1"/>
  <c r="N57" i="9" s="1"/>
  <c r="P57" i="9" s="1"/>
  <c r="D6" i="74"/>
  <c r="C6" i="74"/>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A16" authorId="0">
      <text>
        <r>
          <rPr>
            <b/>
            <sz val="9"/>
            <rFont val="宋体"/>
            <family val="3"/>
            <charset val="134"/>
          </rPr>
          <t>作者:</t>
        </r>
        <r>
          <rPr>
            <sz val="9"/>
            <rFont val="宋体"/>
            <family val="3"/>
            <charset val="134"/>
          </rPr>
          <t xml:space="preserve">
没有合同。
</t>
        </r>
      </text>
    </comment>
    <comment ref="A17" authorId="0">
      <text>
        <r>
          <rPr>
            <b/>
            <sz val="9"/>
            <color indexed="81"/>
            <rFont val="宋体"/>
            <family val="3"/>
            <charset val="134"/>
          </rPr>
          <t>作者:</t>
        </r>
        <r>
          <rPr>
            <sz val="9"/>
            <color indexed="81"/>
            <rFont val="宋体"/>
            <family val="3"/>
            <charset val="134"/>
          </rPr>
          <t xml:space="preserve">
实际付款比合同金额多。？</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<sst xmlns="http://schemas.openxmlformats.org/spreadsheetml/2006/main" count="7858" uniqueCount="3188">
  <si>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</si>
  <si>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</si>
  <si>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</si>
  <si>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</si>
  <si>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</si>
  <si>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</si>
  <si>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</si>
  <si>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</si>
  <si>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</si>
  <si>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</si>
  <si>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</si>
  <si>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</si>
  <si>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</si>
  <si>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</si>
  <si>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</si>
  <si>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</si>
  <si>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</si>
  <si>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</si>
  <si>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</si>
  <si>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</si>
  <si>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</si>
  <si>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</si>
  <si>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</si>
  <si>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</si>
  <si>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</si>
  <si>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</si>
  <si>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</si>
  <si>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</si>
  <si>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</si>
  <si>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</si>
  <si>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</si>
  <si>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</si>
  <si>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</si>
  <si>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</si>
  <si>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</si>
  <si>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</si>
  <si>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</si>
  <si>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</si>
  <si>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</si>
  <si>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</si>
  <si>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</si>
  <si>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</si>
  <si>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</si>
  <si>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</si>
  <si>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</si>
  <si>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</si>
  <si>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</si>
  <si>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</si>
  <si>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</si>
  <si>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</si>
  <si>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</si>
  <si>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</si>
  <si>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</si>
  <si>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</si>
  <si>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</si>
  <si>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</si>
  <si>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</si>
  <si>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</si>
  <si>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</si>
  <si>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</si>
  <si>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</si>
  <si>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</si>
  <si>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</si>
  <si>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</si>
  <si>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</si>
  <si>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</si>
  <si>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</si>
  <si>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</si>
  <si>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</si>
  <si>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</si>
  <si>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</si>
  <si>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</si>
  <si>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</si>
  <si>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</si>
  <si>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</si>
  <si>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</si>
  <si>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</si>
  <si>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</si>
  <si>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</si>
  <si>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</si>
  <si>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</si>
  <si>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</si>
  <si>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</si>
  <si>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</si>
  <si>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</si>
  <si>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</si>
  <si>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</si>
  <si>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</si>
  <si>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</si>
  <si>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</si>
  <si>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</si>
  <si>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</si>
  <si>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</si>
  <si>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</si>
  <si>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</si>
  <si>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</si>
  <si>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</si>
  <si>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</si>
  <si>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</si>
  <si>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</si>
  <si>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</si>
  <si>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</si>
  <si>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</si>
  <si>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</si>
  <si>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</si>
  <si>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</si>
  <si>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</si>
  <si>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</si>
  <si>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</si>
  <si>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</si>
  <si>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</si>
  <si>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</si>
  <si>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</si>
  <si>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</si>
  <si>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</si>
  <si>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</si>
  <si>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</si>
  <si>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</si>
  <si>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</si>
  <si>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</si>
  <si>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</si>
  <si>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</si>
  <si>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</si>
  <si>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</si>
  <si>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</si>
  <si>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</si>
  <si>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</si>
  <si>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</si>
  <si>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</si>
  <si>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</si>
  <si>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</si>
  <si>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</si>
  <si>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</si>
  <si>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</si>
  <si>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</si>
  <si>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</si>
  <si>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</si>
  <si>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</si>
  <si>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</si>
  <si>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</si>
  <si>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</si>
  <si>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</si>
  <si>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</si>
  <si>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</si>
  <si>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</si>
  <si>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</si>
  <si>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</si>
  <si>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</si>
  <si>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</si>
  <si>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</si>
  <si>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</si>
  <si>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</si>
  <si>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</si>
  <si>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</si>
  <si>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</si>
  <si>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</si>
  <si>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</si>
  <si>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</si>
  <si>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</si>
  <si>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</si>
  <si>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</si>
  <si>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</si>
  <si>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</si>
  <si>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</si>
  <si>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</si>
  <si>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</si>
  <si>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</si>
  <si>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</si>
  <si>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</si>
  <si>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</si>
  <si>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</si>
  <si>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</si>
  <si>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</si>
  <si>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</si>
  <si>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</si>
  <si>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</si>
  <si>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</si>
  <si>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</si>
  <si>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</si>
  <si>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</si>
  <si>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</si>
  <si>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</si>
  <si>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</si>
  <si>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</si>
  <si>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</si>
  <si>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</si>
  <si>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</si>
  <si>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</si>
  <si>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</si>
  <si>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</si>
  <si>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</si>
  <si>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</si>
  <si>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</si>
  <si>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</si>
  <si>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</si>
  <si>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</si>
  <si>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</si>
  <si>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</si>
  <si>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</si>
  <si>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</si>
  <si>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</si>
  <si>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</si>
  <si>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</si>
  <si>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</si>
  <si>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</si>
  <si>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</si>
  <si>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</si>
  <si>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</si>
  <si>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</si>
  <si>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</si>
  <si>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</si>
  <si>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</si>
  <si>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</si>
  <si>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</si>
  <si>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</si>
  <si>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</si>
  <si>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</si>
  <si>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</si>
  <si>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</si>
  <si>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</si>
  <si>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</si>
  <si>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</si>
  <si>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</si>
  <si>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</si>
  <si>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</si>
  <si>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</si>
  <si>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</si>
  <si>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</si>
  <si>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</si>
  <si>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</si>
  <si>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</si>
  <si>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</si>
  <si>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</si>
  <si>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</si>
  <si>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</si>
  <si>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</si>
  <si>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</si>
  <si>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</si>
  <si>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</si>
  <si>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</si>
  <si>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</si>
  <si>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</si>
  <si>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</si>
  <si>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</si>
  <si>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</si>
  <si>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</si>
  <si>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</si>
  <si>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</si>
  <si>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</si>
  <si>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</si>
  <si>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</si>
  <si>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</si>
  <si>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</si>
  <si>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</si>
  <si>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</si>
  <si>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</si>
  <si>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</si>
  <si>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</si>
  <si>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</si>
  <si>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</si>
  <si>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</si>
  <si>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</si>
  <si>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</si>
  <si>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</si>
  <si>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</si>
  <si>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</si>
  <si>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</si>
  <si>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</si>
  <si>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</si>
  <si>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</si>
  <si>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</si>
  <si>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</si>
  <si>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</si>
  <si>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</si>
  <si>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</si>
  <si>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</si>
  <si>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</si>
  <si>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</si>
  <si>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</si>
  <si>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</si>
  <si>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</si>
  <si>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</si>
  <si>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</si>
  <si>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</si>
  <si>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</si>
  <si>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</si>
  <si>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</si>
  <si>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</si>
  <si>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</si>
  <si>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</si>
  <si>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</si>
  <si>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</si>
  <si>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</si>
  <si>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</si>
  <si>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</si>
  <si>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</si>
  <si>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</si>
  <si>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</si>
  <si>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</si>
  <si>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</si>
  <si>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</si>
  <si>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</si>
  <si>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</si>
  <si>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</si>
  <si>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</si>
  <si>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</si>
  <si>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</si>
  <si>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</si>
  <si>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</si>
  <si>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</si>
  <si>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</si>
  <si>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</si>
  <si>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</si>
  <si>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</si>
  <si>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</si>
  <si>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</si>
  <si>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</si>
  <si>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</si>
  <si>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</si>
  <si>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</si>
  <si>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</si>
  <si>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</si>
  <si>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</si>
  <si>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</si>
  <si>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</si>
  <si>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</si>
  <si>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</si>
  <si>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</si>
  <si>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</si>
  <si>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</si>
  <si>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</si>
  <si>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</si>
  <si>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</si>
  <si>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</si>
  <si>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</si>
  <si>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</si>
  <si>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</si>
  <si>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</si>
  <si>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</si>
  <si>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</si>
  <si>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</si>
  <si>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</si>
  <si>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</si>
  <si>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</si>
  <si>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</si>
  <si>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</si>
  <si>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</si>
  <si>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</si>
  <si>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</si>
  <si>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</si>
  <si>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</si>
  <si>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</si>
  <si>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</si>
  <si>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</si>
  <si>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</si>
  <si>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</si>
  <si>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</si>
  <si>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</si>
  <si>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</si>
  <si>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</si>
  <si>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</si>
  <si>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</si>
  <si>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</si>
  <si>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</si>
  <si>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</si>
  <si>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</si>
  <si>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</si>
  <si>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</si>
  <si>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</si>
  <si>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</si>
  <si>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</si>
  <si>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</si>
  <si>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</si>
  <si>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</si>
  <si>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</si>
  <si>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</si>
  <si>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</si>
  <si>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</si>
  <si>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</si>
  <si>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</si>
  <si>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</si>
  <si>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</si>
  <si>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</si>
  <si>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</si>
  <si>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</si>
  <si>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</si>
  <si>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</si>
  <si>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</si>
  <si>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</si>
  <si>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</si>
  <si>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</si>
  <si>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</si>
  <si>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</si>
  <si>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</si>
  <si>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</si>
  <si>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</si>
  <si>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</si>
  <si>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</si>
  <si>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</si>
  <si>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</si>
  <si>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</si>
  <si>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</si>
  <si>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</si>
  <si>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</si>
  <si>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</si>
  <si>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</si>
  <si>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</si>
  <si>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</si>
  <si>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</si>
  <si>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</si>
  <si>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</si>
  <si>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</si>
  <si>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</si>
  <si>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</si>
  <si>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</si>
  <si>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</si>
  <si>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</si>
  <si>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</si>
  <si>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</si>
  <si>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</si>
  <si>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</si>
  <si>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</si>
  <si>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</si>
  <si>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</si>
  <si>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</si>
  <si>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</si>
  <si>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</si>
  <si>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</si>
  <si>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</si>
  <si>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</si>
  <si>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</si>
  <si>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</si>
  <si>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</si>
  <si>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</si>
  <si>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</si>
  <si>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</si>
  <si>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</si>
  <si>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</si>
  <si>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</si>
  <si>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</si>
  <si>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</si>
  <si>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</si>
  <si>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</si>
  <si>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</si>
  <si>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</si>
  <si>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</si>
  <si>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</si>
  <si>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</si>
  <si>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</si>
  <si>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</si>
  <si>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</si>
  <si>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</si>
  <si>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</si>
  <si>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</si>
  <si>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</si>
  <si>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</si>
  <si>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</si>
  <si>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</si>
  <si>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</si>
  <si>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</si>
  <si>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</si>
  <si>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</si>
  <si>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</si>
  <si>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</si>
  <si>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</si>
  <si>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</si>
  <si>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</si>
  <si>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</si>
  <si>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</si>
  <si>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</si>
  <si>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</si>
  <si>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</si>
  <si>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</si>
  <si>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</si>
  <si>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</si>
  <si>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</si>
  <si>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</si>
  <si>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</si>
  <si>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</si>
  <si>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</si>
  <si>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</si>
  <si>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</si>
  <si>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</si>
  <si>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</si>
  <si>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</si>
  <si>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</si>
  <si>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</si>
  <si>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</si>
  <si>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</si>
  <si>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</si>
  <si>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</si>
  <si>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</si>
  <si>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</si>
  <si>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</si>
  <si>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</si>
  <si>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</si>
  <si>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</si>
  <si>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</si>
  <si>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</si>
  <si>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</si>
  <si>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</si>
  <si>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</si>
  <si>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</si>
  <si>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</si>
  <si>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</si>
  <si>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</si>
  <si>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</si>
  <si>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</si>
  <si>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</si>
  <si>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</si>
  <si>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</si>
  <si>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</si>
  <si>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</si>
  <si>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</si>
  <si>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</si>
  <si>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</si>
  <si>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</si>
  <si>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</si>
  <si>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</si>
  <si>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</si>
  <si>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</si>
  <si>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</si>
  <si>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</si>
  <si>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</si>
  <si>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</si>
  <si>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</si>
  <si>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</si>
  <si>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</si>
  <si>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</si>
  <si>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</si>
  <si>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</si>
  <si>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</si>
  <si>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</si>
  <si>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</si>
  <si>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</si>
  <si>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</si>
  <si>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</si>
  <si>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</si>
  <si>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</si>
  <si>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</si>
  <si>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</si>
  <si>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</si>
  <si>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</si>
  <si>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</si>
  <si>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</si>
  <si>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</si>
  <si>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</si>
  <si>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</si>
  <si>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</si>
  <si>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</si>
  <si>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</si>
  <si>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</si>
  <si>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</si>
  <si>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</si>
  <si>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</si>
  <si>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</si>
  <si>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</si>
  <si>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</si>
  <si>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</si>
  <si>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</si>
  <si>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</si>
  <si>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</si>
  <si>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</si>
  <si>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</si>
  <si>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</si>
  <si>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</si>
  <si>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</si>
  <si>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</si>
  <si>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</si>
  <si>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</si>
  <si>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</si>
  <si>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</si>
  <si>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</si>
  <si>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</si>
  <si>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</si>
  <si>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</si>
  <si>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</si>
  <si>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</si>
  <si>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</si>
  <si>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</si>
  <si>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</si>
  <si>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</si>
  <si>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</si>
  <si>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</si>
  <si>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</si>
  <si>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</si>
  <si>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</si>
  <si>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</si>
  <si>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</si>
  <si>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</si>
  <si>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</si>
  <si>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</si>
  <si>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</si>
  <si>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</si>
  <si>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</si>
  <si>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</si>
  <si>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</si>
  <si>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</si>
  <si>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</si>
  <si>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</si>
  <si>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</si>
  <si>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</si>
  <si>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</si>
  <si>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</si>
  <si>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</si>
  <si>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</si>
  <si>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</si>
  <si>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</si>
  <si>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</si>
  <si>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</si>
  <si>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</si>
  <si>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</si>
  <si>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</si>
  <si>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</si>
  <si>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</si>
  <si>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</si>
  <si>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</si>
  <si>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</si>
  <si>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</si>
  <si>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</si>
  <si>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</si>
  <si>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</si>
  <si>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</si>
  <si>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</si>
  <si>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</si>
  <si>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</si>
  <si>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</si>
  <si>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</si>
  <si>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</si>
  <si>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</si>
  <si>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</si>
  <si>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</si>
  <si>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</si>
  <si>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</si>
  <si>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</si>
  <si>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</si>
  <si>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</si>
  <si>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</si>
  <si>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</si>
  <si>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</si>
  <si>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</si>
  <si>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</si>
  <si>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</si>
  <si>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</si>
  <si>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</si>
  <si>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</si>
  <si>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</si>
  <si>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</si>
  <si>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</si>
  <si>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</si>
  <si>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</si>
  <si>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</si>
  <si>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</si>
  <si>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</si>
  <si>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</si>
  <si>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</si>
  <si>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</si>
  <si>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</si>
  <si>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</si>
  <si>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</si>
  <si>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</si>
  <si>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</si>
  <si>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</si>
  <si>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</si>
  <si>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</si>
  <si>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</si>
  <si>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</si>
  <si>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</si>
  <si>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</si>
  <si>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</si>
  <si>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</si>
  <si>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</si>
  <si>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</si>
  <si>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</si>
  <si>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</si>
  <si>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</si>
  <si>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</si>
  <si>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</si>
  <si>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</si>
  <si>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</si>
  <si>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</si>
  <si>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</si>
  <si>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</si>
  <si>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</si>
  <si>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</si>
  <si>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</si>
  <si>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</si>
  <si>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</si>
  <si>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</si>
  <si>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</si>
  <si>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</si>
  <si>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</si>
  <si>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</si>
  <si>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</si>
  <si>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</si>
  <si>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</si>
  <si>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</si>
  <si>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</si>
  <si>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</si>
  <si>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</si>
  <si>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</si>
  <si>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</si>
  <si>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</si>
  <si>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</si>
  <si>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</si>
  <si>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</si>
  <si>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</si>
  <si>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</si>
  <si>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</si>
  <si>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</si>
  <si>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</si>
  <si>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</si>
  <si>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</si>
  <si>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</si>
  <si>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</si>
  <si>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</si>
  <si>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</si>
  <si>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</si>
  <si>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</si>
  <si>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</si>
  <si>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</si>
  <si>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</si>
  <si>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</si>
  <si>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</si>
  <si>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</si>
  <si>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</si>
  <si>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</si>
  <si>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</si>
  <si>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</si>
  <si>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</si>
  <si>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</si>
  <si>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</si>
  <si>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</si>
  <si>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</si>
  <si>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</si>
  <si>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</si>
  <si>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</si>
  <si>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</si>
  <si>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</si>
  <si>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</si>
  <si>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</si>
  <si>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</si>
  <si>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</si>
  <si>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</si>
  <si>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</si>
  <si>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</si>
  <si>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</si>
  <si>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</si>
  <si>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</si>
  <si>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</si>
  <si>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</si>
  <si>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</si>
  <si>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</si>
  <si>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</si>
  <si>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</si>
  <si>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</si>
  <si>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</si>
  <si>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</si>
  <si>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</si>
  <si>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</si>
  <si>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</si>
  <si>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</si>
  <si>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</si>
  <si>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</si>
  <si>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</si>
  <si>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</si>
  <si>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</si>
  <si>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</si>
  <si>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</si>
  <si>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</si>
  <si>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</si>
  <si>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</si>
  <si>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</si>
  <si>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</si>
  <si>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</si>
  <si>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</si>
  <si>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</si>
  <si>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</si>
  <si>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</si>
  <si>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</si>
  <si>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</si>
  <si>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</si>
  <si>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</si>
  <si>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</si>
  <si>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</si>
  <si>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</si>
  <si>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</si>
  <si>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</si>
  <si>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</si>
  <si>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</si>
  <si>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</si>
  <si>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</si>
  <si>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</si>
  <si>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</si>
  <si>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</si>
  <si>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</si>
  <si>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</si>
  <si>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</si>
  <si>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</si>
  <si>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</si>
  <si>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</si>
  <si>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</si>
  <si>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</si>
  <si>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</si>
  <si>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</si>
  <si>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</si>
  <si>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</si>
  <si>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</si>
  <si>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</si>
  <si>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</si>
  <si>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</si>
  <si>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</si>
  <si>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</si>
  <si>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</si>
  <si>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</si>
  <si>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</si>
  <si>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</si>
  <si>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</si>
  <si>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</si>
  <si>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</si>
  <si>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</si>
  <si>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</si>
  <si>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</si>
  <si>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</si>
  <si>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</si>
  <si>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</si>
  <si>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</si>
  <si>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</si>
  <si>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</si>
  <si>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</si>
  <si>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</si>
  <si>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</si>
  <si>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</si>
  <si>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</si>
  <si>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</si>
  <si>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</si>
  <si>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</si>
  <si>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</si>
  <si>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</si>
  <si>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</si>
  <si>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</si>
  <si>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</si>
  <si>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</si>
  <si>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</si>
  <si>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</si>
  <si>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</si>
  <si>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</si>
  <si>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</si>
  <si>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</si>
  <si>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</si>
  <si>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</si>
  <si>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</si>
  <si>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</si>
  <si>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</si>
  <si>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</si>
  <si>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</si>
  <si>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</si>
  <si>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</si>
  <si>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</si>
  <si>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</si>
  <si>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</si>
  <si>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</si>
  <si>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</si>
  <si>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</si>
  <si>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</si>
  <si>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</si>
  <si>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</si>
  <si>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</si>
  <si>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</si>
  <si>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</si>
  <si>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</si>
  <si>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</si>
  <si>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</si>
  <si>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</si>
  <si>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</si>
  <si>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</si>
  <si>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</si>
  <si>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</si>
  <si>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</si>
  <si>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</si>
  <si>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</si>
  <si>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</si>
  <si>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</si>
  <si>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</si>
  <si>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</si>
  <si>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</si>
  <si>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</si>
  <si>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</si>
  <si>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</si>
  <si>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</si>
  <si>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</si>
  <si>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</si>
  <si>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</si>
  <si>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</si>
  <si>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</si>
  <si>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</si>
  <si>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</si>
  <si>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</si>
  <si>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</si>
  <si>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</si>
  <si>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</si>
  <si>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</si>
  <si>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</si>
  <si>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</si>
  <si>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</si>
  <si>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</si>
  <si>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</si>
  <si>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</si>
  <si>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</si>
  <si>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</si>
  <si>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</si>
  <si>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</si>
  <si>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</si>
  <si>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</si>
  <si>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</si>
  <si>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</si>
  <si>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</si>
  <si>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</si>
  <si>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</si>
  <si>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</si>
  <si>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</si>
  <si>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</si>
  <si>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</si>
  <si>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</si>
  <si>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</si>
  <si>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</si>
  <si>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</si>
  <si>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</si>
  <si>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</si>
  <si>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</si>
  <si>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</si>
  <si>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</si>
  <si>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</si>
  <si>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</si>
  <si>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</si>
  <si>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</si>
  <si>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</si>
  <si>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</si>
  <si>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</si>
  <si>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</si>
  <si>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</si>
  <si>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</si>
  <si>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</si>
  <si>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</si>
  <si>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</si>
  <si>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</si>
  <si>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</si>
  <si>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</si>
  <si>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</si>
  <si>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</si>
  <si>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</si>
  <si>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</si>
  <si>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</si>
  <si>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</si>
  <si>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</si>
  <si>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</si>
  <si>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</si>
  <si>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</si>
  <si>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</si>
  <si>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</si>
  <si>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</si>
  <si>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</si>
  <si>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</si>
  <si>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</si>
  <si>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</si>
  <si>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</si>
  <si>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</si>
  <si>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</si>
  <si>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</si>
  <si>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</si>
  <si>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</si>
  <si>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</si>
  <si>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</si>
  <si>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</si>
  <si>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</si>
  <si>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</si>
  <si>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</si>
  <si>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</si>
  <si>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</si>
  <si>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</si>
  <si>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</si>
  <si>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</si>
  <si>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</si>
  <si>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</si>
  <si>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</si>
  <si>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</si>
  <si>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</si>
  <si>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</si>
  <si>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</si>
  <si>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</si>
  <si>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</si>
  <si>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</si>
  <si>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</si>
  <si>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</si>
  <si>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</si>
  <si>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</si>
  <si>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</si>
  <si>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</si>
  <si>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</si>
  <si>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</si>
  <si>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</si>
  <si>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</si>
  <si>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</si>
  <si>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</si>
  <si>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</si>
  <si>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</si>
  <si>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</si>
  <si>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</si>
  <si>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</si>
  <si>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</si>
  <si>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</si>
  <si>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</si>
  <si>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</si>
  <si>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</si>
  <si>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</si>
  <si>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</si>
  <si>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</si>
  <si>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</si>
  <si>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</si>
  <si>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</si>
  <si>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</si>
  <si>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</si>
  <si>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</si>
  <si>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</si>
  <si>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</si>
  <si>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</si>
  <si>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</si>
  <si>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</si>
  <si>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</si>
  <si>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</si>
  <si>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</si>
  <si>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</si>
  <si>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</si>
  <si>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</si>
  <si>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</si>
  <si>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</si>
  <si>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</si>
  <si>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</si>
  <si>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</si>
  <si>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</si>
  <si>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</si>
  <si>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</si>
  <si>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</si>
  <si>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</si>
  <si>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</si>
  <si>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</si>
  <si>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</si>
  <si>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</si>
  <si>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</si>
  <si>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</si>
  <si>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</si>
  <si>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</si>
  <si>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</si>
  <si>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</si>
  <si>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</si>
  <si>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</si>
  <si>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</si>
  <si>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</si>
  <si>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</si>
  <si>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</si>
  <si>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</si>
  <si>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</si>
  <si>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</si>
  <si>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</si>
  <si>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</si>
  <si>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</si>
  <si>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</si>
  <si>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</si>
  <si>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</si>
  <si>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</si>
  <si>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</si>
  <si>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</si>
  <si>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</si>
  <si>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</si>
  <si>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</si>
  <si>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</si>
  <si>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</si>
  <si>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</si>
  <si>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</si>
  <si>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</si>
  <si>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</si>
  <si>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</si>
  <si>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</si>
  <si>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</si>
  <si>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</si>
  <si>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</si>
  <si>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</si>
  <si>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</si>
  <si>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</si>
  <si>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</si>
  <si>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</si>
  <si>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</si>
  <si>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</si>
  <si>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</si>
  <si>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</si>
  <si>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</si>
  <si>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</si>
  <si>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</si>
  <si>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</si>
  <si>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</si>
  <si>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</si>
  <si>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</si>
  <si>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</si>
  <si>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</si>
  <si>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</si>
  <si>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</si>
  <si>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</si>
  <si>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</si>
  <si>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</si>
  <si>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</si>
  <si>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</si>
  <si>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</si>
  <si>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</si>
  <si>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</si>
  <si>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</si>
  <si>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</si>
  <si>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</si>
  <si>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</si>
  <si>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</si>
  <si>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</si>
  <si>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</si>
  <si>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</si>
  <si>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</si>
  <si>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</si>
  <si>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</si>
  <si>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</si>
  <si>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</si>
  <si>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</si>
  <si>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</si>
  <si>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</si>
  <si>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</si>
  <si>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</si>
  <si>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</si>
  <si>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</si>
  <si>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</si>
  <si>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</si>
  <si>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</si>
  <si>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</si>
  <si>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</si>
  <si>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</si>
  <si>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</si>
  <si>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</si>
  <si>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</si>
  <si>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</si>
  <si>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</si>
  <si>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</si>
  <si>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</si>
  <si>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</si>
  <si>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</si>
  <si>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</si>
  <si>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</si>
  <si>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</si>
  <si>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</si>
  <si>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</si>
  <si>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</si>
  <si>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</si>
  <si>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</si>
  <si>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</si>
  <si>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</si>
  <si>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</si>
  <si>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</si>
  <si>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</si>
  <si>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</si>
  <si>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</si>
  <si>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</si>
  <si>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</si>
  <si>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</si>
  <si>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</si>
  <si>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</si>
  <si>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</si>
  <si>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</si>
  <si>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</si>
  <si>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</si>
  <si>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</si>
  <si>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</si>
  <si>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</si>
  <si>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</si>
  <si>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</si>
  <si>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</si>
  <si>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</si>
  <si>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</si>
  <si>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</si>
  <si>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</si>
  <si>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</si>
  <si>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</si>
  <si>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</si>
  <si>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</si>
  <si>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</si>
  <si>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</si>
  <si>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</si>
  <si>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</si>
  <si>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</si>
  <si>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</si>
  <si>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</si>
  <si>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</si>
  <si>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</si>
  <si>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</si>
  <si>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</si>
  <si>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</si>
  <si>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</si>
  <si>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</si>
  <si>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</si>
  <si>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</si>
  <si>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</si>
  <si>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</si>
  <si>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</si>
  <si>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</si>
  <si>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</si>
  <si>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</si>
  <si>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</si>
  <si>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</si>
  <si>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</si>
  <si>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</si>
  <si>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</si>
  <si>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</si>
  <si>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</si>
  <si>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</si>
  <si>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</si>
  <si>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</si>
  <si>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</si>
  <si>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</si>
  <si>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</si>
  <si>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</si>
  <si>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</si>
  <si>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</si>
  <si>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</si>
  <si>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</si>
  <si>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</si>
  <si>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</si>
  <si>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</si>
  <si>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</si>
  <si>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</si>
  <si>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</si>
  <si>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</si>
  <si>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</si>
  <si>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</si>
  <si>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</si>
  <si>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</si>
  <si>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</si>
  <si>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</si>
  <si>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</si>
  <si>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</si>
  <si>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</si>
  <si>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</si>
  <si>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</si>
  <si>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</si>
  <si>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</si>
  <si>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</si>
  <si>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</si>
  <si>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</si>
  <si>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</si>
  <si>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</si>
  <si>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</si>
  <si>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</si>
  <si>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</si>
  <si>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</si>
  <si>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</si>
  <si>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</si>
  <si>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</si>
  <si>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</si>
  <si>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</si>
  <si>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</si>
  <si>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</si>
  <si>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</si>
  <si>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</si>
  <si>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</si>
  <si>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</si>
  <si>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</si>
  <si>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</si>
  <si>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</si>
  <si>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</si>
  <si>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</si>
  <si>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</si>
  <si>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</si>
  <si>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</si>
  <si>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</si>
  <si>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</si>
  <si>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</si>
  <si>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</si>
  <si>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</si>
  <si>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</si>
  <si>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</si>
  <si>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</si>
  <si>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</si>
  <si>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</si>
  <si>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</si>
  <si>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</si>
  <si>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</si>
  <si>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</si>
  <si>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</si>
  <si>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</si>
  <si>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</si>
  <si>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</si>
  <si>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</si>
  <si>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</si>
  <si>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</si>
  <si>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</si>
  <si>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</si>
  <si>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</si>
  <si>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</si>
  <si>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</si>
  <si>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</si>
  <si>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</si>
  <si>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</si>
  <si>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</si>
  <si>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</si>
  <si>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</si>
  <si>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</si>
  <si>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</si>
  <si>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</si>
  <si>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</si>
  <si>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</si>
  <si>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</si>
  <si>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</si>
  <si>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</si>
  <si>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</si>
  <si>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</si>
  <si>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</si>
  <si>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</si>
  <si>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</si>
  <si>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</si>
  <si>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</si>
  <si>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</si>
  <si>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</si>
  <si>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</si>
  <si>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</si>
  <si>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</si>
  <si>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</si>
  <si>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</si>
  <si>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</si>
  <si>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</si>
  <si>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</si>
  <si>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</si>
  <si>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</si>
  <si>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</si>
  <si>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</si>
  <si>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</si>
  <si>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</si>
  <si>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</si>
  <si>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</si>
  <si>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</si>
  <si>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</si>
  <si>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</si>
  <si>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</si>
  <si>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</si>
  <si>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</si>
  <si>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</si>
  <si>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</si>
  <si>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</si>
  <si>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</si>
  <si>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</si>
  <si>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</si>
  <si>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</si>
  <si>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</si>
  <si>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</si>
  <si>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</si>
  <si>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</si>
  <si>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</si>
  <si>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</si>
  <si>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</si>
  <si>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</si>
  <si>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</si>
  <si>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</si>
  <si>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</si>
  <si>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</si>
  <si>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</si>
  <si>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</si>
  <si>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</si>
  <si>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</si>
  <si>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</si>
  <si>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</si>
  <si>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</si>
  <si>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</si>
  <si>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</si>
  <si>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</si>
  <si>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</si>
  <si>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</si>
  <si>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</si>
  <si>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</si>
  <si>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</si>
  <si>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</si>
  <si>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</si>
  <si>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</si>
  <si>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</si>
  <si>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</si>
  <si>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</si>
  <si>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</si>
  <si>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</si>
  <si>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</si>
  <si>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</si>
  <si>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</si>
  <si>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</si>
  <si>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</si>
  <si>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</si>
  <si>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</si>
  <si>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</si>
  <si>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</si>
  <si>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</si>
  <si>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</si>
  <si>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</si>
  <si>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</si>
  <si>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</si>
  <si>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</si>
  <si>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</si>
  <si>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</si>
  <si>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</si>
  <si>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</si>
  <si>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</si>
  <si>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</si>
  <si>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</si>
  <si>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</si>
  <si>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</si>
  <si>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</si>
  <si>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</si>
  <si>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</si>
  <si>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</si>
  <si>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</si>
  <si>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</si>
  <si>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</si>
  <si>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</si>
  <si>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</si>
  <si>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</si>
  <si>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</si>
  <si>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</si>
  <si>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</si>
  <si>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</si>
  <si>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</si>
  <si>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</si>
  <si>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</si>
  <si>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</si>
  <si>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</si>
  <si>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</si>
  <si>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</si>
  <si>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</si>
  <si>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</si>
  <si>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</si>
  <si>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</si>
  <si>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</si>
  <si>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</si>
  <si>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</si>
  <si>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</si>
  <si>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</si>
  <si>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</si>
  <si>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</si>
  <si>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</si>
  <si>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</si>
  <si>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</si>
  <si>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</si>
  <si>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</si>
  <si>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</si>
  <si>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</si>
  <si>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</si>
  <si>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</si>
  <si>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</si>
  <si>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</si>
  <si>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</si>
  <si>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</si>
  <si>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</si>
  <si>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</si>
  <si>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</si>
  <si>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</si>
  <si>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</si>
  <si>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</si>
  <si>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</si>
  <si>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</si>
  <si>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</si>
  <si>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</si>
  <si>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</si>
  <si>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</si>
  <si>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</si>
  <si>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</si>
  <si>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</si>
  <si>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</si>
  <si>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</si>
  <si>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</si>
  <si>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</si>
  <si>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</si>
  <si>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</si>
  <si>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</si>
  <si>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</si>
  <si>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</si>
  <si>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</si>
  <si>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</si>
  <si>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</si>
  <si>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</si>
  <si>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</si>
  <si>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</si>
  <si>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</si>
  <si>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</si>
  <si>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</si>
  <si>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</si>
  <si>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</si>
  <si>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</si>
  <si>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</si>
  <si>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</si>
  <si>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</si>
  <si>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</si>
  <si>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</si>
  <si>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</si>
  <si>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</si>
  <si>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</si>
  <si>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</si>
  <si>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</si>
  <si>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</si>
  <si>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</si>
  <si>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</si>
  <si>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</si>
  <si>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</si>
  <si>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</si>
  <si>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</si>
  <si>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</si>
  <si>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</si>
  <si>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</si>
  <si>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</si>
  <si>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</si>
  <si>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</si>
  <si>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</si>
  <si>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</si>
  <si>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</si>
  <si>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</si>
  <si>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</si>
  <si>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</si>
  <si>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</si>
  <si>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</si>
  <si>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</si>
  <si>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</si>
  <si>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</si>
  <si>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</si>
  <si>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</si>
  <si>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</si>
  <si>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</si>
  <si>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</si>
  <si>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</si>
  <si>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</si>
  <si>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</si>
  <si>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</si>
  <si>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</si>
  <si>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</si>
  <si>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</si>
  <si>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</si>
  <si>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</si>
  <si>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</si>
  <si>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</si>
  <si>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</si>
  <si>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</si>
  <si>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</si>
  <si>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</si>
  <si>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</si>
  <si>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</si>
  <si>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</si>
  <si>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</si>
  <si>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</si>
  <si>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</si>
  <si>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</si>
  <si>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</si>
  <si>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</si>
  <si>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</si>
  <si>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</si>
  <si>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</si>
  <si>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</si>
  <si>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</si>
  <si>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</si>
  <si>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</si>
  <si>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</si>
  <si>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</si>
  <si>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</si>
  <si>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</si>
  <si>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</si>
  <si>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</si>
  <si>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</si>
  <si>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</si>
  <si>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</si>
  <si>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</si>
  <si>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</si>
  <si>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</si>
  <si>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</si>
  <si>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</si>
  <si>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</si>
  <si>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</si>
  <si>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</si>
  <si>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</si>
  <si>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</si>
  <si>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</si>
  <si>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</si>
  <si>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</si>
  <si>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</si>
  <si>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</si>
  <si>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</si>
  <si>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</si>
  <si>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</si>
  <si>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</si>
  <si>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</si>
  <si>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</si>
  <si>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</si>
  <si>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</si>
  <si>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</si>
  <si>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</si>
  <si>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</si>
  <si>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</si>
  <si>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</si>
  <si>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</si>
  <si>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</si>
  <si>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</si>
  <si>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</si>
  <si>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</si>
  <si>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</si>
  <si>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</si>
  <si>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</si>
  <si>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</si>
  <si>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</si>
  <si>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</si>
  <si>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</si>
  <si>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</si>
  <si>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</si>
  <si>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</si>
  <si>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</si>
  <si>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</si>
  <si>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</si>
  <si>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</si>
  <si>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</si>
  <si>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</si>
  <si>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</si>
  <si>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</si>
  <si>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</si>
  <si>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</si>
  <si>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</si>
  <si>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</si>
  <si>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</si>
  <si>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</si>
  <si>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</si>
  <si>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</si>
  <si>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</si>
  <si>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</si>
  <si>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</si>
  <si>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</si>
  <si>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</si>
  <si>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</si>
  <si>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</si>
  <si>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</si>
  <si>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</si>
  <si>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</si>
  <si>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</si>
  <si>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</si>
  <si>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</si>
  <si>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</si>
  <si>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</si>
  <si>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</si>
  <si>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</si>
  <si>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</si>
  <si>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</si>
  <si>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</si>
  <si>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</si>
  <si>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</si>
  <si>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</si>
  <si>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</si>
  <si>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</si>
  <si>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</si>
  <si>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</si>
  <si>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</si>
  <si>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</si>
  <si>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</si>
  <si>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</si>
  <si>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</si>
  <si>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</si>
  <si>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</si>
  <si>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</si>
  <si>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</si>
  <si>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</si>
  <si>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</si>
  <si>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</si>
  <si>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</si>
  <si>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</si>
  <si>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</si>
  <si>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</si>
  <si>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</si>
  <si>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</si>
  <si>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</si>
  <si>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</si>
  <si>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</si>
  <si>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</si>
  <si>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</si>
  <si>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</si>
  <si>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</si>
  <si>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</si>
  <si>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</si>
  <si>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</si>
  <si>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</si>
  <si>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</si>
  <si>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</si>
  <si>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</si>
  <si>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</si>
  <si>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</si>
  <si>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</si>
  <si>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</si>
  <si>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</si>
  <si>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</si>
  <si>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</si>
  <si>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</si>
  <si>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</si>
  <si>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</si>
  <si>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</si>
  <si>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</si>
  <si>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</si>
  <si>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</si>
  <si>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</si>
  <si>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</si>
  <si>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</si>
  <si>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</si>
  <si>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</si>
  <si>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</si>
  <si>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</si>
  <si>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</si>
  <si>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</si>
  <si>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</si>
  <si>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</si>
  <si>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</si>
  <si>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</si>
  <si>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</si>
  <si>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</si>
  <si>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</si>
  <si>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</si>
  <si>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</si>
  <si>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</si>
  <si>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</si>
  <si>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</si>
  <si>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</si>
  <si>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</si>
  <si>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</si>
  <si>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</si>
  <si>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</si>
  <si>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</si>
  <si>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</si>
  <si>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</si>
  <si>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</si>
  <si>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</si>
  <si>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</si>
  <si>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</si>
  <si>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</si>
  <si>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</si>
  <si>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</si>
  <si>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</si>
  <si>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</si>
  <si>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</si>
  <si>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</si>
  <si>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</si>
  <si>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</si>
  <si>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</si>
  <si>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</si>
  <si>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</si>
  <si>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</si>
  <si>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</si>
  <si>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</si>
  <si>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</si>
  <si>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</si>
  <si>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</si>
  <si>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</si>
  <si>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</si>
  <si>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</si>
  <si>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</si>
  <si>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</si>
  <si>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</si>
  <si>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</si>
  <si>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</si>
  <si>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</si>
  <si>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</si>
  <si>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</si>
  <si>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</si>
  <si>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</si>
  <si>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</si>
  <si>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</si>
  <si>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</si>
  <si>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</si>
  <si>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</si>
  <si>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</si>
  <si>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</si>
  <si>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</si>
  <si>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</si>
  <si>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</si>
  <si>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</si>
  <si>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</si>
  <si>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</si>
  <si>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</si>
  <si>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</si>
  <si>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</si>
  <si>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</si>
  <si>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</si>
  <si>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</si>
  <si>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</si>
  <si>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</si>
  <si>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</si>
  <si>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</si>
  <si>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</si>
  <si>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</si>
  <si>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</si>
  <si>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</si>
  <si>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</si>
  <si>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</si>
  <si>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</si>
  <si>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</si>
  <si>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</si>
  <si>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</si>
  <si>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</si>
  <si>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</si>
  <si>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</si>
  <si>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</si>
  <si>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</si>
  <si>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</si>
  <si>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</si>
  <si>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</si>
  <si>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</si>
  <si>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</si>
  <si>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</si>
  <si>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</si>
  <si>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</si>
  <si>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</si>
  <si>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</si>
  <si>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</si>
  <si>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</si>
  <si>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</si>
  <si>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</si>
  <si>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</si>
  <si>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</si>
  <si>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</si>
  <si>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</si>
  <si>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</si>
  <si>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</si>
  <si>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</si>
  <si>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</si>
  <si>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</si>
  <si>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</si>
  <si>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</si>
  <si>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</si>
  <si>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</si>
  <si>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</si>
  <si>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</si>
  <si>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</si>
  <si>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</si>
  <si>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</si>
  <si>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</si>
  <si>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</si>
  <si>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</si>
  <si>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</si>
  <si>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</si>
  <si>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</si>
  <si>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</si>
  <si>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</si>
  <si>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</si>
  <si>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</si>
  <si>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</si>
  <si>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</si>
  <si>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</si>
  <si>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</si>
  <si>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</si>
  <si>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</si>
  <si>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</si>
  <si>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</si>
  <si>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</si>
  <si>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</si>
  <si>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</si>
  <si>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</si>
  <si>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</si>
  <si>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</si>
  <si>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</si>
  <si>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</si>
  <si>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</si>
  <si>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</si>
  <si>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</si>
  <si>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</si>
  <si>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</si>
  <si>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</si>
  <si>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</si>
  <si>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</si>
  <si>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</si>
  <si>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</si>
  <si>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</si>
  <si>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</si>
  <si>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</si>
  <si>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</si>
  <si>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</si>
  <si>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</si>
  <si>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</si>
  <si>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</si>
  <si>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</si>
  <si>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</si>
  <si>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</si>
  <si>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</si>
  <si>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</si>
  <si>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</si>
  <si>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</si>
  <si>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</si>
  <si>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</si>
  <si>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</si>
  <si>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</si>
  <si>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</si>
  <si>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</si>
  <si>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</si>
  <si>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</si>
  <si>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</si>
  <si>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</si>
  <si>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</si>
  <si>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</si>
  <si>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</si>
  <si>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</si>
  <si>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</si>
  <si>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</si>
  <si>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</si>
  <si>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</si>
  <si>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</si>
  <si>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</si>
  <si>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</si>
  <si>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</si>
  <si>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</si>
  <si>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</si>
  <si>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</si>
  <si>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</si>
  <si>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</si>
  <si>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</si>
  <si>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</si>
  <si>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</si>
  <si>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</si>
  <si>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</si>
  <si>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</si>
  <si>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</si>
  <si>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</si>
  <si>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</si>
  <si>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</si>
  <si>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</si>
  <si>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</si>
  <si>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</si>
  <si>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</si>
  <si>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</si>
  <si>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</si>
  <si>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</si>
  <si>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</si>
  <si>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</si>
  <si>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</si>
  <si>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</si>
  <si>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</si>
  <si>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</si>
  <si>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</si>
  <si>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</si>
  <si>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</si>
  <si>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</si>
  <si>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</si>
  <si>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</si>
  <si>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</si>
  <si>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</si>
  <si>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</si>
  <si>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</si>
  <si>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</si>
  <si>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</si>
  <si>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</si>
  <si>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</si>
  <si>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</si>
  <si>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</si>
  <si>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</si>
  <si>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</si>
  <si>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</si>
  <si>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</si>
  <si>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</si>
  <si>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</si>
  <si>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</si>
  <si>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</si>
  <si>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</si>
  <si>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</si>
  <si>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</si>
  <si>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</si>
  <si>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</si>
  <si>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</si>
  <si>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</si>
  <si>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</si>
  <si>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</si>
  <si>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</si>
  <si>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</si>
  <si>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</si>
  <si>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</si>
  <si>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</si>
  <si>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</si>
  <si>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</si>
  <si>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</si>
  <si>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</si>
  <si>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</si>
  <si>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</si>
  <si>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</si>
  <si>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</si>
  <si>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</si>
  <si>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</si>
  <si>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</si>
  <si>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</si>
  <si>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</si>
  <si>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</si>
  <si>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</si>
  <si>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</si>
  <si>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</si>
  <si>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</si>
  <si>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</si>
  <si>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</si>
  <si>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</si>
  <si>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</si>
  <si>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</si>
  <si>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</si>
  <si>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</si>
  <si>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</si>
  <si>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</si>
  <si>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</si>
  <si>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</si>
  <si>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</si>
  <si>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</si>
  <si>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</si>
  <si>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</si>
  <si>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</si>
  <si>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</si>
  <si>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</si>
  <si>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</si>
  <si>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</si>
  <si>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</si>
  <si>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</si>
  <si>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</si>
  <si>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</si>
  <si>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</si>
  <si>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</si>
  <si>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</si>
  <si>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</si>
  <si>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</si>
  <si>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</si>
  <si>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</si>
  <si>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</si>
  <si>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</si>
  <si>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</si>
  <si>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</si>
  <si>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</si>
  <si>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</si>
  <si>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</si>
  <si>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</si>
  <si>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</si>
  <si>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</si>
  <si>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</si>
  <si>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</si>
  <si>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</si>
  <si>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</si>
  <si>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</si>
  <si>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</si>
  <si>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</si>
  <si>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</si>
  <si>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</si>
  <si>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</si>
  <si>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</si>
  <si>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</si>
  <si>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</si>
  <si>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</si>
  <si>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</si>
  <si>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</si>
  <si>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</si>
  <si>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</si>
  <si>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</si>
  <si>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</si>
  <si>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</si>
  <si>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</si>
  <si>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</si>
  <si>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</si>
  <si>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</si>
  <si>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</si>
  <si>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</si>
  <si>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</si>
  <si>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</si>
  <si>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</si>
  <si>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</si>
  <si>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</si>
  <si>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</si>
  <si>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</si>
  <si>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</si>
  <si>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</si>
  <si>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</si>
  <si>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</si>
  <si>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</si>
  <si>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</si>
  <si>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</si>
  <si>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</si>
  <si>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</si>
  <si>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</si>
  <si>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</si>
  <si>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</si>
  <si>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</si>
  <si>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</si>
  <si>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</si>
  <si>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</si>
  <si>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</si>
  <si>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</si>
  <si>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</si>
  <si>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</si>
  <si>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</si>
  <si>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</si>
  <si>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</si>
  <si>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</si>
  <si>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</si>
  <si>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</si>
  <si>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</si>
  <si>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</si>
  <si>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</si>
  <si>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</si>
  <si>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</si>
  <si>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</si>
  <si>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</si>
  <si>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</si>
  <si>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</si>
  <si>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</si>
  <si>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</si>
  <si>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</si>
  <si>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</si>
  <si>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</si>
  <si>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</si>
  <si>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</si>
  <si>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</si>
  <si>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</si>
  <si>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</si>
  <si>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</si>
  <si>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</si>
  <si>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</si>
  <si>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</si>
  <si>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</si>
  <si>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</si>
  <si>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</si>
  <si>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</si>
  <si>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</si>
  <si>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</si>
  <si>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</si>
  <si>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</si>
  <si>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</si>
  <si>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</si>
  <si>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</si>
  <si>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</si>
  <si>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</si>
  <si>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</si>
  <si>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</si>
  <si>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</si>
  <si>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</si>
  <si>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</si>
  <si>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</si>
  <si>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</si>
  <si>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</si>
  <si>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</si>
  <si>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</si>
  <si>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</si>
  <si>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</si>
  <si>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</si>
  <si>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</si>
  <si>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</si>
  <si>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</si>
  <si>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</si>
  <si>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</si>
  <si>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</si>
  <si>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</si>
  <si>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</si>
  <si>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</si>
  <si>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</si>
  <si>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</si>
  <si>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</si>
  <si>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</si>
  <si>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</si>
  <si>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</si>
  <si>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</si>
  <si>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</si>
  <si>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</si>
  <si>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</si>
  <si>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</si>
  <si>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</si>
  <si>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</si>
  <si>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</si>
  <si>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</si>
  <si>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</si>
  <si>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</si>
  <si>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</si>
  <si>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</si>
  <si>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</si>
  <si>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</si>
  <si>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</si>
  <si>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</si>
  <si>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</si>
  <si>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</si>
  <si>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</si>
  <si>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</si>
  <si>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</si>
  <si>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</si>
  <si>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</si>
  <si>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</si>
  <si>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</si>
  <si>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</si>
  <si>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</si>
  <si>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</si>
  <si>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</si>
  <si>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</si>
  <si>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</si>
  <si>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</si>
  <si>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</si>
  <si>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</si>
  <si>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</si>
  <si>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</si>
  <si>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</si>
  <si>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</si>
  <si>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</si>
  <si>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</si>
  <si>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</si>
  <si>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</si>
  <si>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</si>
  <si>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</si>
  <si>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</si>
  <si>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</si>
  <si>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</si>
  <si>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</si>
  <si>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</si>
  <si>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</si>
  <si>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</si>
  <si>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</si>
  <si>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</si>
  <si>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</si>
  <si>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</si>
  <si>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</si>
  <si>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</si>
  <si>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</si>
  <si>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</si>
  <si>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</si>
  <si>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</si>
  <si>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</si>
  <si>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</si>
  <si>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</si>
  <si>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</si>
  <si>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</si>
  <si>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</si>
  <si>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</si>
  <si>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</si>
  <si>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</si>
  <si>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</si>
  <si>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</si>
  <si>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</si>
  <si>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</si>
  <si>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</si>
  <si>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</si>
  <si>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</si>
  <si>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</si>
  <si>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</si>
  <si>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</si>
  <si>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</si>
  <si>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</si>
  <si>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</si>
  <si>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</si>
  <si>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</si>
  <si>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</si>
  <si>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</si>
  <si>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</si>
  <si>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</si>
  <si>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</si>
  <si>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</si>
  <si>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</si>
  <si>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</si>
  <si>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</si>
  <si>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</si>
  <si>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</si>
  <si>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</si>
  <si>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</si>
  <si>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</si>
  <si>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</si>
  <si>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</si>
  <si>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</si>
  <si>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</si>
  <si>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</si>
  <si>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</si>
  <si>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</si>
  <si>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</si>
  <si>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</si>
  <si>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</si>
  <si>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</si>
  <si>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</si>
  <si>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</si>
  <si>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</si>
  <si>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</si>
  <si>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</si>
  <si>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</si>
  <si>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</si>
  <si>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</si>
  <si>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</si>
  <si>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</si>
  <si>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</si>
  <si>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</si>
  <si>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</si>
  <si>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</si>
  <si>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</si>
  <si>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</si>
  <si>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</si>
  <si>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</si>
  <si>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</si>
  <si>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</si>
  <si>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</si>
  <si>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</si>
  <si>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</si>
  <si>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</si>
  <si>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</si>
  <si>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</si>
  <si>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</si>
  <si>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</si>
  <si>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</si>
  <si>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</si>
  <si>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</si>
  <si>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</si>
  <si>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</si>
  <si>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</si>
  <si>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</si>
  <si>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</si>
  <si>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</si>
  <si>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</si>
  <si>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</si>
  <si>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</si>
  <si>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</si>
  <si>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</si>
  <si>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</si>
  <si>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</si>
  <si>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</si>
  <si>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</si>
  <si>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</si>
  <si>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</si>
  <si>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</si>
  <si>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</si>
  <si>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</si>
  <si>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</si>
  <si>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</si>
  <si>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</si>
  <si>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</si>
  <si>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</si>
  <si>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</si>
  <si>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</si>
  <si>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</si>
  <si>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</si>
  <si>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</si>
  <si>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</si>
  <si>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</si>
  <si>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</si>
  <si>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</si>
  <si>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</si>
  <si>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</si>
  <si>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</si>
  <si>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</si>
  <si>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</si>
  <si>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</si>
  <si>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</si>
  <si>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</si>
  <si>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</si>
  <si>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</si>
  <si>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</si>
  <si>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</si>
  <si>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</si>
  <si>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</si>
  <si>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</si>
  <si>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</si>
  <si>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</si>
  <si>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</si>
  <si>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</si>
  <si>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</si>
  <si>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</si>
  <si>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</si>
  <si>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</si>
  <si>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</si>
  <si>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</si>
  <si>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</si>
  <si>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</si>
  <si>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</si>
  <si>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</si>
  <si>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</si>
  <si>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</si>
  <si>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</si>
  <si>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</si>
  <si>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</si>
  <si>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</si>
  <si>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</si>
  <si>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</si>
  <si>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</si>
  <si>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</si>
  <si>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</si>
  <si>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</si>
  <si>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</si>
  <si>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</si>
  <si>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</si>
  <si>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</si>
  <si>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</si>
  <si>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</si>
  <si>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</si>
  <si>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</si>
  <si>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</si>
  <si>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</si>
  <si>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</si>
  <si>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</si>
  <si>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</si>
  <si>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</si>
  <si>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</si>
  <si>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</si>
  <si>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</si>
  <si>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</si>
  <si>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</si>
  <si>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</si>
  <si>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</si>
  <si>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</si>
  <si>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</si>
  <si>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</si>
  <si>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</si>
  <si>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</si>
  <si>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</si>
  <si>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</si>
  <si>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</si>
  <si>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</si>
  <si>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</si>
  <si>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</si>
  <si>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</si>
  <si>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</si>
  <si>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</si>
  <si>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</si>
  <si>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</si>
  <si>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</si>
  <si>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</si>
  <si>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</si>
  <si>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</si>
  <si>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</si>
  <si>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</si>
  <si>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</si>
  <si>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</si>
  <si>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</si>
  <si>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</si>
  <si>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</si>
  <si>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</si>
  <si>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</si>
  <si>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</si>
  <si>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</si>
  <si>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</si>
  <si>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</si>
  <si>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</si>
  <si>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</si>
  <si>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</si>
  <si>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</si>
  <si>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</si>
  <si>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</si>
  <si>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</si>
  <si>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</si>
  <si>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</si>
  <si>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</si>
  <si>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</si>
  <si>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</si>
  <si>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</si>
  <si>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</si>
  <si>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</si>
  <si>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</si>
  <si>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</si>
  <si>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</si>
  <si>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</si>
  <si>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</si>
  <si>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</si>
  <si>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</si>
  <si>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</si>
  <si>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</si>
  <si>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</si>
  <si>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</si>
  <si>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</si>
  <si>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</si>
  <si>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</si>
  <si>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</si>
  <si>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</si>
  <si>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</si>
  <si>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</si>
  <si>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</si>
  <si>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</si>
  <si>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</si>
  <si>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</si>
  <si>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</si>
  <si>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</si>
  <si>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</si>
  <si>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</si>
  <si>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</si>
  <si>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</si>
  <si>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</si>
  <si>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</si>
  <si>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</si>
  <si>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</si>
  <si>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</si>
  <si>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</si>
  <si>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</si>
  <si>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</si>
  <si>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</si>
  <si>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</si>
  <si>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</si>
  <si>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</si>
  <si>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</si>
  <si>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</si>
  <si>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</si>
  <si>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</si>
  <si>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</si>
  <si>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</si>
  <si>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</si>
  <si>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</si>
  <si>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</si>
  <si>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</si>
  <si>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</si>
  <si>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</si>
  <si>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</si>
  <si>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</si>
  <si>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</si>
  <si>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</si>
  <si>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</si>
  <si>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</si>
  <si>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</si>
  <si>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</si>
  <si>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</si>
  <si>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</si>
  <si>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</si>
  <si>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</si>
  <si>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</si>
  <si>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</si>
  <si>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</si>
  <si>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</si>
  <si>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</si>
  <si>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</si>
  <si>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</si>
  <si>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</si>
  <si>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</si>
  <si>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</si>
  <si>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</si>
  <si>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</si>
  <si>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</si>
  <si>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</si>
  <si>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</si>
  <si>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</si>
  <si>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</si>
  <si>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</si>
  <si>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</si>
  <si>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</si>
  <si>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</si>
  <si>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</si>
  <si>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</si>
  <si>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</si>
  <si>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</si>
  <si>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</si>
  <si>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</si>
  <si>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</si>
  <si>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</si>
  <si>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</si>
  <si>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</si>
  <si>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</si>
  <si>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</si>
  <si>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</si>
  <si>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</si>
  <si>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</si>
  <si>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</si>
  <si>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</si>
  <si>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</si>
  <si>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</si>
  <si>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</si>
  <si>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</si>
  <si>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</si>
  <si>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</si>
  <si>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</si>
  <si>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</si>
  <si>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</si>
  <si>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</si>
  <si>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</si>
  <si>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</si>
  <si>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</si>
  <si>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</si>
  <si>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</si>
  <si>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</si>
  <si>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</si>
  <si>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</si>
  <si>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</si>
  <si>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</si>
  <si>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</si>
  <si>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</si>
  <si>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</si>
  <si>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</si>
  <si>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</si>
  <si>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</si>
  <si>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</si>
  <si>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</si>
  <si>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</si>
  <si>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</si>
  <si>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</si>
  <si>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</si>
  <si>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</si>
  <si>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</si>
  <si>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</si>
  <si>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</si>
  <si>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</si>
  <si>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</si>
  <si>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</si>
  <si>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</si>
  <si>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</si>
  <si>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</si>
  <si>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</si>
  <si>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</si>
  <si>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</si>
  <si>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</si>
  <si>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</si>
  <si>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</si>
  <si>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</si>
  <si>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</si>
  <si>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</si>
  <si>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</si>
  <si>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</si>
  <si>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</si>
  <si>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</si>
  <si>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</si>
  <si>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</si>
  <si>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</si>
  <si>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</si>
  <si>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</si>
  <si>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</si>
  <si>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</si>
  <si>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</si>
  <si>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</si>
  <si>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</si>
  <si>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</si>
  <si>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</si>
  <si>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</si>
  <si>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</si>
  <si>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</si>
  <si>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</si>
  <si>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</si>
  <si>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</si>
  <si>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</si>
  <si>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</si>
  <si>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</si>
  <si>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</si>
  <si>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</si>
  <si>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</si>
  <si>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</si>
  <si>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</si>
  <si>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</si>
  <si>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</si>
  <si>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</si>
  <si>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</si>
  <si>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</si>
  <si>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</si>
  <si>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</si>
  <si>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</si>
  <si>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</si>
  <si>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</si>
  <si>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</si>
  <si>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</si>
  <si>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</si>
  <si>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</si>
  <si>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</si>
  <si>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</si>
  <si>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</si>
  <si>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</si>
  <si>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</si>
  <si>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</si>
  <si>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</si>
  <si>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</si>
  <si>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</si>
  <si>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</si>
  <si>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</si>
  <si>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</si>
  <si>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</si>
  <si>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</si>
  <si>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</si>
  <si>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</si>
  <si>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</si>
  <si>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</si>
  <si>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</si>
  <si>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</si>
  <si>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</si>
  <si>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</si>
  <si>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</si>
  <si>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</si>
  <si>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</si>
  <si>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</si>
  <si>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</si>
  <si>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</si>
  <si>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</si>
  <si>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</si>
  <si>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</si>
  <si>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</si>
  <si>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</si>
  <si>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</si>
  <si>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</si>
  <si>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</si>
  <si>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</si>
  <si>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</si>
  <si>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</si>
  <si>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</si>
  <si>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</si>
  <si>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</si>
  <si>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</si>
  <si>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</si>
  <si>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</si>
  <si>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</si>
  <si>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</si>
  <si>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</si>
  <si>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</si>
  <si>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</si>
  <si>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</si>
  <si>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</si>
  <si>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</si>
  <si>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</si>
  <si>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</si>
  <si>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</si>
  <si>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</si>
  <si>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</si>
  <si>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</si>
  <si>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</si>
  <si>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</si>
  <si>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</si>
  <si>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</si>
  <si>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</si>
  <si>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</si>
  <si>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</si>
  <si>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</si>
  <si>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</si>
  <si>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</si>
  <si>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</si>
  <si>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</si>
  <si>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</si>
  <si>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</si>
  <si>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</si>
  <si>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</si>
  <si>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</si>
  <si>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</si>
  <si>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</si>
  <si>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</si>
  <si>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</si>
  <si>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</si>
  <si>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</si>
  <si>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</si>
  <si>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</si>
  <si>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</si>
  <si>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</si>
  <si>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</si>
  <si>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</si>
  <si>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</si>
  <si>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</si>
  <si>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</si>
  <si>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</si>
  <si>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</si>
  <si>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</si>
  <si>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</si>
  <si>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</si>
  <si>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</si>
  <si>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</si>
  <si>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</si>
  <si>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</si>
  <si>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</si>
  <si>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</si>
  <si>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</si>
  <si>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</si>
  <si>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</si>
  <si>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</si>
  <si>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</si>
  <si>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</si>
  <si>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</si>
  <si>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</si>
  <si>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</si>
  <si>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</si>
  <si>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</si>
  <si>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</si>
  <si>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</si>
  <si>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</si>
  <si>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</si>
  <si>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</si>
  <si>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</si>
  <si>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</si>
  <si>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</si>
  <si>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</si>
  <si>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</si>
  <si>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</si>
  <si>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</si>
  <si>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</si>
  <si>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</si>
  <si>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</si>
  <si>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</si>
  <si>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</si>
  <si>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</si>
  <si>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</si>
  <si>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</si>
  <si>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</si>
  <si>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</si>
  <si>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</si>
  <si>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</si>
  <si>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</si>
  <si>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</si>
  <si>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</si>
  <si>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</si>
  <si>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</si>
  <si>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</si>
  <si>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</si>
  <si>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</si>
  <si>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</si>
  <si>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</si>
  <si>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</si>
  <si>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</si>
  <si>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</si>
  <si>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</si>
  <si>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</si>
  <si>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</si>
  <si>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</si>
  <si>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</si>
  <si>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</si>
  <si>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</si>
  <si>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</si>
  <si>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</si>
  <si>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</si>
  <si>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</si>
  <si>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</si>
  <si>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</si>
  <si>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</si>
  <si>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</si>
  <si>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</si>
  <si>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</si>
  <si>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</si>
  <si>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</si>
  <si>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</si>
  <si>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</si>
  <si>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</si>
  <si>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</si>
  <si>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</si>
  <si>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</si>
  <si>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</si>
  <si>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</si>
  <si>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</si>
  <si>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</si>
  <si>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</si>
  <si>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</si>
  <si>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</si>
  <si>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</si>
  <si>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</si>
  <si>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</si>
  <si>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</si>
  <si>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</si>
  <si>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</si>
  <si>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</si>
  <si>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</si>
  <si>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</si>
  <si>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</si>
  <si>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</si>
  <si>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</si>
  <si>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</si>
  <si>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</si>
  <si>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</si>
  <si>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</si>
  <si>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</si>
  <si>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</si>
  <si>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</si>
  <si>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</si>
  <si>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</si>
  <si>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</si>
  <si>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</si>
  <si>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</si>
  <si>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</si>
  <si>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</si>
  <si>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</si>
  <si>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</si>
  <si>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</si>
  <si>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</si>
  <si>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</si>
  <si>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</si>
  <si>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</si>
  <si>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</si>
  <si>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</si>
  <si>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</si>
  <si>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</si>
  <si>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</si>
  <si>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</si>
  <si>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</si>
  <si>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</si>
  <si>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</si>
  <si>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</si>
  <si>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</si>
  <si>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</si>
  <si>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</si>
  <si>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</si>
  <si>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</si>
  <si>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</si>
  <si>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</si>
  <si>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</si>
  <si>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</si>
  <si>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</si>
  <si>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</si>
  <si>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</si>
  <si>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</si>
  <si>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</si>
  <si>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</si>
  <si>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</si>
  <si>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</si>
  <si>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</si>
  <si>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</si>
  <si>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</si>
  <si>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</si>
  <si>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</si>
  <si>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</si>
  <si>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</si>
  <si>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</si>
  <si>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</si>
  <si>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</si>
  <si>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</si>
  <si>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</si>
  <si>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</si>
  <si>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</si>
  <si>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</si>
  <si>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</si>
  <si>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</si>
  <si>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</si>
  <si>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</si>
  <si>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</si>
  <si>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</si>
  <si>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</si>
  <si>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</si>
  <si>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</si>
  <si>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</si>
  <si>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</si>
  <si>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</si>
  <si>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</si>
  <si>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</si>
  <si>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</si>
  <si>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</si>
  <si>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</si>
  <si>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</si>
  <si>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</si>
  <si>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</si>
  <si>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</si>
  <si>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</si>
  <si>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</si>
  <si>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</si>
  <si>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</si>
  <si>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</si>
  <si>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</si>
  <si>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</si>
  <si>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</si>
  <si>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</si>
  <si>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</si>
  <si>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</si>
  <si>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</si>
  <si>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</si>
  <si>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</si>
  <si>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</si>
  <si>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</si>
  <si>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</si>
  <si>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</si>
  <si>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</si>
  <si>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</si>
  <si>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</si>
  <si>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</si>
  <si>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</si>
  <si>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</si>
  <si>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</si>
  <si>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</si>
  <si>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</si>
  <si>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</si>
  <si>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</si>
  <si>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</si>
  <si>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</si>
  <si>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</si>
  <si>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</si>
  <si>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</si>
  <si>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</si>
  <si>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</si>
  <si>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</si>
  <si>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</si>
  <si>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</si>
  <si>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</si>
  <si>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</si>
  <si>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</si>
  <si>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</si>
  <si>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</si>
  <si>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</si>
  <si>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</si>
  <si>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</si>
  <si>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</si>
  <si>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</si>
  <si>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</si>
  <si>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</si>
  <si>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</si>
  <si>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</si>
  <si>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</si>
  <si>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</si>
  <si>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</si>
  <si>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</si>
  <si>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</si>
  <si>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</si>
  <si>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</si>
  <si>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</si>
  <si>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</si>
  <si>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</si>
  <si>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</si>
  <si>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</si>
  <si>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</si>
  <si>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</si>
  <si>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</si>
  <si>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</si>
  <si>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</si>
  <si>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</si>
  <si>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</si>
  <si>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</si>
  <si>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</si>
  <si>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</si>
  <si>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</si>
  <si>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</si>
  <si>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</si>
  <si>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</si>
  <si>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</si>
  <si>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</si>
  <si>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</si>
  <si>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</si>
  <si>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</si>
  <si>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</si>
  <si>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</si>
  <si>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</si>
  <si>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</si>
  <si>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</si>
  <si>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</si>
  <si>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</si>
  <si>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</si>
  <si>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</si>
  <si>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</si>
  <si>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</si>
  <si>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</si>
  <si>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</si>
  <si>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</si>
  <si>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</si>
  <si>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</si>
  <si>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</si>
  <si>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</si>
  <si>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</si>
  <si>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</si>
  <si>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</si>
  <si>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</si>
  <si>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</si>
  <si>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</si>
  <si>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</si>
  <si>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</si>
  <si>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</si>
  <si>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</si>
  <si>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</si>
  <si>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</si>
  <si>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</si>
  <si>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</si>
  <si>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</si>
  <si>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</si>
  <si>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</si>
  <si>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</si>
  <si>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</si>
  <si>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</si>
  <si>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</si>
  <si>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</si>
  <si>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</si>
  <si>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</si>
  <si>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</si>
  <si>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</si>
  <si>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</si>
  <si>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</si>
  <si>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</si>
  <si>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</si>
  <si>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</si>
  <si>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</si>
  <si>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出让</t>
  </si>
  <si>
    <t>北京市</t>
  </si>
  <si>
    <t>企业</t>
  </si>
  <si>
    <t>办公</t>
    <phoneticPr fontId="3" type="noConversion"/>
  </si>
  <si>
    <t>厂房</t>
  </si>
  <si>
    <t>厂房</t>
    <phoneticPr fontId="3" type="noConversion"/>
  </si>
  <si>
    <t>附属</t>
    <phoneticPr fontId="3" type="noConversion"/>
  </si>
  <si>
    <t>是</t>
  </si>
  <si>
    <t>地上</t>
  </si>
  <si>
    <t>办公楼</t>
  </si>
  <si>
    <t>标准厂房</t>
  </si>
  <si>
    <t>Ⅵ-生命科学园</t>
  </si>
  <si>
    <t>工业用地</t>
  </si>
  <si>
    <t>与级别开发程度一致</t>
  </si>
  <si>
    <t>按公示增长率计算</t>
  </si>
  <si>
    <t>容积率修正</t>
  </si>
  <si>
    <t>成新度</t>
  </si>
  <si>
    <t>收益法</t>
  </si>
  <si>
    <t>收益法 (2)</t>
  </si>
  <si>
    <t>收益法 (2)</t>
    <phoneticPr fontId="16" type="noConversion"/>
  </si>
  <si>
    <t>一般</t>
  </si>
  <si>
    <t>较好</t>
  </si>
  <si>
    <t>好</t>
  </si>
  <si>
    <t>未包含在土地购买价格中</t>
  </si>
  <si>
    <t>全部缴纳</t>
  </si>
  <si>
    <t>已包含在土地取得成本中</t>
  </si>
  <si>
    <t>押一</t>
  </si>
  <si>
    <t>按租金收入计税</t>
  </si>
  <si>
    <t>砖混</t>
  </si>
  <si>
    <t>非生产用房</t>
  </si>
  <si>
    <t>成本法</t>
  </si>
  <si>
    <t>办公</t>
    <phoneticPr fontId="7" type="noConversion"/>
  </si>
  <si>
    <t>厂房</t>
    <phoneticPr fontId="7" type="noConversion"/>
  </si>
  <si>
    <t>收益法（汇总）</t>
  </si>
  <si>
    <t>序号</t>
    <phoneticPr fontId="256" type="noConversion"/>
  </si>
  <si>
    <t>主体</t>
    <phoneticPr fontId="256" type="noConversion"/>
  </si>
  <si>
    <t>公司名称</t>
  </si>
  <si>
    <t>房屋具体位置</t>
  </si>
  <si>
    <t>面积</t>
  </si>
  <si>
    <t>租赁起止时间</t>
  </si>
  <si>
    <t>押金</t>
    <phoneticPr fontId="256" type="noConversion"/>
  </si>
  <si>
    <t>开始租赁时间</t>
    <phoneticPr fontId="256" type="noConversion"/>
  </si>
  <si>
    <t>免租（月）</t>
    <phoneticPr fontId="256" type="noConversion"/>
  </si>
  <si>
    <t>合同租（年）</t>
    <phoneticPr fontId="256" type="noConversion"/>
  </si>
  <si>
    <t>本月租赁期数</t>
    <phoneticPr fontId="256" type="noConversion"/>
  </si>
  <si>
    <t>付款方式</t>
    <phoneticPr fontId="256" type="noConversion"/>
  </si>
  <si>
    <t>基础年租金</t>
    <phoneticPr fontId="256" type="noConversion"/>
  </si>
  <si>
    <t>博纳电子</t>
    <phoneticPr fontId="256" type="noConversion"/>
  </si>
  <si>
    <t>北京科理科仪技术有限公司</t>
    <phoneticPr fontId="256" type="noConversion"/>
  </si>
  <si>
    <t>研发楼一层整层</t>
    <phoneticPr fontId="256" type="noConversion"/>
  </si>
  <si>
    <t>2017.12.6-2021.2.28</t>
  </si>
  <si>
    <t>押2付6，年增4%</t>
    <phoneticPr fontId="256" type="noConversion"/>
  </si>
  <si>
    <t>北京质真科技有限公司</t>
    <phoneticPr fontId="256" type="noConversion"/>
  </si>
  <si>
    <t>北京竞业达数字系统科技有限公司</t>
    <phoneticPr fontId="256" type="noConversion"/>
  </si>
  <si>
    <t>研发楼4层整层</t>
    <phoneticPr fontId="256" type="noConversion"/>
  </si>
  <si>
    <t>2017.12.15-2027.12.14</t>
    <phoneticPr fontId="256" type="noConversion"/>
  </si>
  <si>
    <t>押2付6，3年议价</t>
    <phoneticPr fontId="256" type="noConversion"/>
  </si>
  <si>
    <t>东方瑞曦文化传播有限公司</t>
    <phoneticPr fontId="256" type="noConversion"/>
  </si>
  <si>
    <t>2018.9.7---2021.9.6</t>
    <phoneticPr fontId="256" type="noConversion"/>
  </si>
  <si>
    <t>北京哒哒美居装饰有限公司（七星时代）</t>
  </si>
  <si>
    <t>北1号楼1-4层全部等3套1号楼3层308室</t>
  </si>
  <si>
    <t>2019.10.16-2020.10.15</t>
    <phoneticPr fontId="256" type="noConversion"/>
  </si>
  <si>
    <t>北京东风南方大成汽车销售服务有限公司</t>
    <phoneticPr fontId="256" type="noConversion"/>
  </si>
  <si>
    <t>北京市昌平区回龙观二拨子北博纳集团院内库房</t>
  </si>
  <si>
    <t>2018.11.1-2029.1.31</t>
  </si>
  <si>
    <t>押523166付3，两年增5%</t>
    <phoneticPr fontId="256" type="noConversion"/>
  </si>
  <si>
    <t>北京中强建设工程有限公司</t>
    <phoneticPr fontId="256" type="noConversion"/>
  </si>
  <si>
    <t>北1号楼1-4层全部等3套研发楼3层部分</t>
  </si>
  <si>
    <t>2018.11.15-2023.11.14</t>
  </si>
  <si>
    <t>押2付12，年增4%</t>
    <phoneticPr fontId="256" type="noConversion"/>
  </si>
  <si>
    <t>北京智豪鑫工程技术有限公司（丁代顺）</t>
    <phoneticPr fontId="143" type="noConversion"/>
  </si>
  <si>
    <t>北1号楼1至4层全部等3套1号楼4层414</t>
  </si>
  <si>
    <t>2018.11.9-2021.11.8</t>
  </si>
  <si>
    <t>年付</t>
    <phoneticPr fontId="256" type="noConversion"/>
  </si>
  <si>
    <t>北京安恩科技有限公司</t>
    <phoneticPr fontId="256" type="noConversion"/>
  </si>
  <si>
    <t>2018.12.24-2022.1.8</t>
  </si>
  <si>
    <t>北京极海科技有限公司</t>
    <phoneticPr fontId="256" type="noConversion"/>
  </si>
  <si>
    <t>北1号楼1-4层全部等3套研发楼2层部分</t>
  </si>
  <si>
    <t>2019.1.8-2022.1.22</t>
  </si>
  <si>
    <t>北京三丽科技有限公司</t>
    <phoneticPr fontId="256" type="noConversion"/>
  </si>
  <si>
    <t>2019.1.25-2022.2.24</t>
  </si>
  <si>
    <t>北京伟业兴能源投资管理有限公司</t>
    <phoneticPr fontId="256" type="noConversion"/>
  </si>
  <si>
    <t>2019.2.23-2024.3.8</t>
  </si>
  <si>
    <t>北京睿彤长盛汽车科技有限公司</t>
    <phoneticPr fontId="256" type="noConversion"/>
  </si>
  <si>
    <t>北博纳集团院内AB库房部分面积385平方米</t>
  </si>
  <si>
    <t>2019.12.13-2029.12.12</t>
    <phoneticPr fontId="256" type="noConversion"/>
  </si>
  <si>
    <t>北京万丰融通科技有限公司</t>
    <phoneticPr fontId="256" type="noConversion"/>
  </si>
  <si>
    <t>2019.3.5-2022.3.19</t>
  </si>
  <si>
    <t>20--1</t>
    <phoneticPr fontId="256" type="noConversion"/>
  </si>
  <si>
    <t>北京万丰融通科技有限公司补充协议</t>
  </si>
  <si>
    <t>2019.6.20-2022.3.19</t>
  </si>
  <si>
    <t>北京万泰利克药业有限公司</t>
    <phoneticPr fontId="256" type="noConversion"/>
  </si>
  <si>
    <t>2019.1.25-2020.1.24</t>
  </si>
  <si>
    <t>付12</t>
    <phoneticPr fontId="256" type="noConversion"/>
  </si>
  <si>
    <t>北京才智创信科技有限公司（蓝鸥科技）</t>
    <phoneticPr fontId="256" type="noConversion"/>
  </si>
  <si>
    <t>2019.4.15-2022.4.30</t>
  </si>
  <si>
    <t>北京智达辰想科技有限公司</t>
    <phoneticPr fontId="256" type="noConversion"/>
  </si>
  <si>
    <t>2019.5.6-2022.5.19</t>
  </si>
  <si>
    <t>北京先行迦美教育科技有限公司</t>
    <phoneticPr fontId="256" type="noConversion"/>
  </si>
  <si>
    <t>2019.6.5-2020.6.4</t>
  </si>
  <si>
    <t>押2付3</t>
    <phoneticPr fontId="256" type="noConversion"/>
  </si>
  <si>
    <t>北京四维科瑞科技有限公司</t>
    <phoneticPr fontId="256" type="noConversion"/>
  </si>
  <si>
    <t>2019.6.18-2022.6.17</t>
  </si>
  <si>
    <t>北京先行迦美教育科技有限公司</t>
  </si>
  <si>
    <t>2019.7.2-2020.7.1</t>
  </si>
  <si>
    <t>北京城泽宇教育咨询有限公司</t>
  </si>
  <si>
    <t>2019.6.25-2020.6.24</t>
  </si>
  <si>
    <t>社交思维（北京）科技有限公司</t>
  </si>
  <si>
    <t>2019.5.15-2020.5.14</t>
  </si>
  <si>
    <t>国网冀北电力有限公司计量中心</t>
  </si>
  <si>
    <t>库房</t>
  </si>
  <si>
    <t>2019.7.22-2022.7.22</t>
  </si>
  <si>
    <t>先开票，再付租金</t>
    <phoneticPr fontId="256" type="noConversion"/>
  </si>
  <si>
    <t>北京亚海千龙科技</t>
    <phoneticPr fontId="256" type="noConversion"/>
  </si>
  <si>
    <t>北京心玥文化传媒有限公司</t>
    <phoneticPr fontId="256" type="noConversion"/>
  </si>
  <si>
    <t>7--1</t>
    <phoneticPr fontId="256" type="noConversion"/>
  </si>
  <si>
    <t>总出租面积</t>
    <phoneticPr fontId="143" type="noConversion"/>
  </si>
  <si>
    <t>通路</t>
  </si>
  <si>
    <t>通电</t>
  </si>
  <si>
    <t>通讯</t>
  </si>
  <si>
    <t>通上水</t>
  </si>
  <si>
    <t>通下水</t>
  </si>
  <si>
    <t>通热</t>
  </si>
  <si>
    <t>燃气</t>
  </si>
  <si>
    <t>平整</t>
  </si>
  <si>
    <t>基准地价</t>
  </si>
  <si>
    <t>自定义</t>
  </si>
  <si>
    <t>成本比率</t>
  </si>
  <si>
    <t>估价对象位于昌平区回龙观镇二拨子村北，周边有二拨子工业园、北京龙祥制版集团工业园等，产业集聚程度一般。</t>
    <phoneticPr fontId="41" type="noConversion"/>
  </si>
  <si>
    <t>估价对象位于昌平区回龙观镇二拨子村北，紧邻城市高速路—京藏高速路，周边路网密集度较好，行车出入便捷度较好。周边1公里范围内有345路、625路、专121路等公交线路，公交便捷度较好，周边2公里范围内有地铁8号线、13号线、昌平线。综上分析，估价对象所在区位整体交通便捷度较好。</t>
    <phoneticPr fontId="41" type="noConversion"/>
  </si>
  <si>
    <t>估价对象所在区域基础设施水平-七通</t>
    <phoneticPr fontId="25" type="noConversion"/>
  </si>
  <si>
    <t>估价对象周边自然环境较好；周边无污染型企业，绿化较好，卫生条件良好，整体环境状况较好。</t>
    <phoneticPr fontId="41" type="noConversion"/>
  </si>
  <si>
    <t>周边2公里内的公共服务配套设施齐备度一般，有购物场所（京客隆超市）、学校（华北电力大学、回龙观中心小学）、银行（北京农商银行、中国工商银行）、医院（回龙观社区卫生服务中心）、餐饮等公共服务配套设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</si>
</sst>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宋体"/>
      <family val="3"/>
      <charset val="134"/>
      <scheme val="minor"/>
    </font>
    <font>
      <sz val="9"/>
      <name val="宋体"/>
      <family val="2"/>
      <charset val="134"/>
      <scheme val="minor"/>
    </font>
    <font>
      <sz val="10"/>
      <name val="宋体"/>
      <family val="3"/>
      <charset val="134"/>
      <scheme val="minor"/>
    </font>
    <font>
      <sz val="10"/>
      <color rgb="FFFF0000"/>
      <name val="宋体"/>
      <family val="3"/>
      <charset val="134"/>
      <scheme val="minor"/>
    </font>
    <font>
      <b/>
      <sz val="9"/>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3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0" fillId="0" borderId="0" xfId="0" applyAlignment="1">
      <alignment horizontal="left" vertical="center"/>
    </xf>
    <xf numFmtId="0" fontId="99" fillId="0" borderId="0" xfId="0" applyFont="1" applyAlignment="1">
      <alignment horizontal="left" vertical="center"/>
    </xf>
    <xf numFmtId="0" fontId="99" fillId="0" borderId="0" xfId="0" applyFont="1" applyAlignment="1">
      <alignment horizontal="left" vertical="center" wrapText="1"/>
    </xf>
    <xf numFmtId="177" fontId="80" fillId="0" borderId="1" xfId="1" applyNumberFormat="1" applyFont="1" applyFill="1" applyBorder="1" applyAlignment="1" applyProtection="1">
      <alignment vertical="center"/>
      <protection locked="0" hidden="1"/>
    </xf>
    <xf numFmtId="186" fontId="119" fillId="0" borderId="5" xfId="0" applyNumberFormat="1" applyFont="1" applyFill="1" applyBorder="1" applyAlignment="1">
      <alignment horizontal="center" vertical="center" wrapText="1"/>
    </xf>
    <xf numFmtId="0" fontId="119" fillId="0" borderId="5" xfId="0" applyFont="1" applyFill="1" applyBorder="1" applyAlignment="1">
      <alignment horizontal="center" vertical="center" wrapText="1"/>
    </xf>
    <xf numFmtId="0" fontId="119" fillId="0" borderId="1" xfId="0" applyFont="1" applyFill="1" applyBorder="1" applyAlignment="1">
      <alignment horizontal="center" vertical="center" wrapText="1"/>
    </xf>
    <xf numFmtId="197" fontId="119" fillId="0" borderId="1" xfId="0" applyNumberFormat="1" applyFont="1" applyFill="1" applyBorder="1" applyAlignment="1">
      <alignment horizontal="center" vertical="center" wrapText="1"/>
    </xf>
    <xf numFmtId="43" fontId="119" fillId="7" borderId="1" xfId="17" applyFont="1" applyFill="1" applyBorder="1" applyAlignment="1">
      <alignment horizontal="center" vertical="center" wrapText="1"/>
    </xf>
    <xf numFmtId="190" fontId="119" fillId="0" borderId="1" xfId="0" applyNumberFormat="1" applyFont="1" applyFill="1" applyBorder="1" applyAlignment="1">
      <alignment horizontal="center" vertical="center" wrapText="1"/>
    </xf>
    <xf numFmtId="186" fontId="119" fillId="0" borderId="1" xfId="0" applyNumberFormat="1" applyFont="1" applyFill="1" applyBorder="1" applyAlignment="1">
      <alignment horizontal="center" vertical="center" wrapText="1"/>
    </xf>
    <xf numFmtId="197" fontId="119" fillId="9" borderId="1" xfId="17" applyNumberFormat="1" applyFont="1" applyFill="1" applyBorder="1" applyAlignment="1">
      <alignment horizontal="center" vertical="center" wrapText="1"/>
    </xf>
    <xf numFmtId="186" fontId="113" fillId="0" borderId="1" xfId="0" applyNumberFormat="1" applyFont="1" applyFill="1" applyBorder="1" applyAlignment="1">
      <alignment horizontal="center" vertical="center"/>
    </xf>
    <xf numFmtId="0" fontId="113" fillId="0" borderId="1" xfId="0" applyFont="1" applyFill="1" applyBorder="1" applyAlignment="1">
      <alignment horizontal="center" vertical="center"/>
    </xf>
    <xf numFmtId="0" fontId="113" fillId="0" borderId="1" xfId="0" applyFont="1" applyFill="1" applyBorder="1" applyAlignment="1">
      <alignment vertical="center" wrapText="1"/>
    </xf>
    <xf numFmtId="197" fontId="113" fillId="0" borderId="1" xfId="17" applyNumberFormat="1" applyFont="1" applyFill="1" applyBorder="1" applyAlignment="1">
      <alignment vertical="center" wrapText="1"/>
    </xf>
    <xf numFmtId="0" fontId="113" fillId="0" borderId="1" xfId="0" applyFont="1" applyFill="1" applyBorder="1" applyAlignment="1">
      <alignment vertical="center"/>
    </xf>
    <xf numFmtId="43" fontId="113" fillId="7" borderId="1" xfId="17" applyFont="1" applyFill="1" applyBorder="1">
      <alignment vertical="center"/>
    </xf>
    <xf numFmtId="190" fontId="113" fillId="0" borderId="1" xfId="0" applyNumberFormat="1" applyFont="1" applyFill="1" applyBorder="1" applyAlignment="1">
      <alignment vertical="center"/>
    </xf>
    <xf numFmtId="197" fontId="113" fillId="0" borderId="1" xfId="17" applyNumberFormat="1" applyFont="1" applyFill="1" applyBorder="1">
      <alignment vertical="center"/>
    </xf>
    <xf numFmtId="0" fontId="113" fillId="0" borderId="1" xfId="0" applyFont="1" applyFill="1" applyBorder="1" applyAlignment="1">
      <alignment horizontal="left" vertical="center" wrapText="1"/>
    </xf>
    <xf numFmtId="0" fontId="113" fillId="0" borderId="1" xfId="0" applyFont="1" applyFill="1" applyBorder="1" applyAlignment="1">
      <alignment horizontal="center" vertical="center" wrapText="1"/>
    </xf>
    <xf numFmtId="43" fontId="113" fillId="7" borderId="1" xfId="17" applyFont="1" applyFill="1" applyBorder="1" applyAlignment="1">
      <alignment horizontal="center" vertical="center"/>
    </xf>
    <xf numFmtId="186" fontId="113" fillId="0" borderId="13" xfId="0" applyNumberFormat="1" applyFont="1" applyFill="1" applyBorder="1" applyAlignment="1">
      <alignment horizontal="center" vertical="center"/>
    </xf>
    <xf numFmtId="197" fontId="113" fillId="0" borderId="1" xfId="17" applyNumberFormat="1" applyFont="1" applyFill="1" applyBorder="1" applyAlignment="1">
      <alignment horizontal="center" vertical="center"/>
    </xf>
    <xf numFmtId="197" fontId="113" fillId="0" borderId="1" xfId="0" applyNumberFormat="1" applyFont="1" applyFill="1" applyBorder="1" applyAlignment="1">
      <alignment horizontal="center" vertical="center"/>
    </xf>
    <xf numFmtId="197" fontId="113" fillId="0" borderId="1" xfId="0" applyNumberFormat="1" applyFont="1" applyFill="1" applyBorder="1" applyAlignment="1">
      <alignment vertical="center"/>
    </xf>
    <xf numFmtId="186" fontId="257" fillId="0" borderId="1" xfId="0" applyNumberFormat="1" applyFont="1" applyFill="1" applyBorder="1" applyAlignment="1">
      <alignment horizontal="center" vertical="center"/>
    </xf>
    <xf numFmtId="0" fontId="257" fillId="0" borderId="1" xfId="0" applyFont="1" applyFill="1" applyBorder="1" applyAlignment="1">
      <alignment horizontal="center" vertical="center"/>
    </xf>
    <xf numFmtId="0" fontId="257" fillId="0" borderId="1" xfId="0" applyFont="1" applyFill="1" applyBorder="1" applyAlignment="1">
      <alignment vertical="center" wrapText="1"/>
    </xf>
    <xf numFmtId="43" fontId="257" fillId="7" borderId="1" xfId="17" applyFont="1" applyFill="1" applyBorder="1">
      <alignment vertical="center"/>
    </xf>
    <xf numFmtId="186" fontId="257" fillId="7" borderId="1" xfId="0" applyNumberFormat="1" applyFont="1" applyFill="1" applyBorder="1" applyAlignment="1">
      <alignment horizontal="center" vertical="center"/>
    </xf>
    <xf numFmtId="0" fontId="257" fillId="7" borderId="1" xfId="0" applyFont="1" applyFill="1" applyBorder="1" applyAlignment="1">
      <alignment horizontal="center" vertical="center"/>
    </xf>
    <xf numFmtId="0" fontId="257" fillId="7" borderId="1" xfId="0" applyFont="1" applyFill="1" applyBorder="1" applyAlignment="1">
      <alignment vertical="center" wrapText="1"/>
    </xf>
    <xf numFmtId="197" fontId="257" fillId="7" borderId="1" xfId="17" applyNumberFormat="1" applyFont="1" applyFill="1" applyBorder="1" applyAlignment="1">
      <alignment vertical="center" wrapText="1"/>
    </xf>
    <xf numFmtId="0" fontId="257" fillId="7" borderId="1" xfId="0" applyFont="1" applyFill="1" applyBorder="1" applyAlignment="1">
      <alignment vertical="center"/>
    </xf>
    <xf numFmtId="190" fontId="257" fillId="7" borderId="1" xfId="0" applyNumberFormat="1" applyFont="1" applyFill="1" applyBorder="1" applyAlignment="1">
      <alignment vertical="center"/>
    </xf>
    <xf numFmtId="197" fontId="257" fillId="7" borderId="1" xfId="17" applyNumberFormat="1" applyFont="1" applyFill="1" applyBorder="1">
      <alignment vertical="center"/>
    </xf>
    <xf numFmtId="0" fontId="258" fillId="0" borderId="1" xfId="0" applyFont="1" applyFill="1" applyBorder="1" applyAlignment="1">
      <alignment vertical="center"/>
    </xf>
    <xf numFmtId="186" fontId="113" fillId="0" borderId="1" xfId="0" applyNumberFormat="1" applyFont="1" applyFill="1" applyBorder="1" applyAlignment="1">
      <alignment vertical="center"/>
    </xf>
    <xf numFmtId="0" fontId="119" fillId="0" borderId="1" xfId="0" applyFont="1" applyFill="1" applyBorder="1" applyAlignment="1">
      <alignment horizontal="right" vertical="center" wrapText="1"/>
    </xf>
    <xf numFmtId="0" fontId="113" fillId="0" borderId="1" xfId="0" applyFont="1" applyFill="1" applyBorder="1" applyAlignment="1">
      <alignment horizontal="right" vertical="center"/>
    </xf>
    <xf numFmtId="0" fontId="257" fillId="7" borderId="1" xfId="0" applyFont="1" applyFill="1" applyBorder="1" applyAlignment="1">
      <alignment horizontal="right" vertical="center"/>
    </xf>
    <xf numFmtId="0" fontId="0" fillId="0" borderId="0" xfId="0" applyAlignment="1">
      <alignment horizontal="right"/>
    </xf>
    <xf numFmtId="0" fontId="99" fillId="0" borderId="0" xfId="0" applyFont="1" applyAlignment="1"/>
    <xf numFmtId="197" fontId="0" fillId="0" borderId="0" xfId="0" applyNumberFormat="1" applyAlignment="1"/>
    <xf numFmtId="2" fontId="50" fillId="6" borderId="0" xfId="0" applyNumberFormat="1" applyFont="1" applyFill="1" applyAlignment="1" applyProtection="1">
      <alignment vertical="center"/>
      <protection locked="0"/>
    </xf>
    <xf numFmtId="0" fontId="54" fillId="7" borderId="23" xfId="0" applyFont="1" applyFill="1" applyBorder="1" applyAlignment="1" applyProtection="1">
      <alignment vertical="center"/>
      <protection locked="0"/>
    </xf>
    <xf numFmtId="181" fontId="120" fillId="5" borderId="8" xfId="0" applyNumberFormat="1" applyFont="1" applyFill="1" applyBorder="1" applyAlignment="1" applyProtection="1">
      <alignment horizontal="center" vertical="center"/>
      <protection locked="0"/>
    </xf>
    <xf numFmtId="181" fontId="120" fillId="5" borderId="24" xfId="0" applyNumberFormat="1" applyFont="1" applyFill="1" applyBorder="1" applyAlignment="1" applyProtection="1">
      <alignment horizontal="center" vertical="center"/>
      <protection locked="0"/>
    </xf>
    <xf numFmtId="177" fontId="106"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0" fontId="120" fillId="5" borderId="49"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left" vertical="center"/>
    </xf>
    <xf numFmtId="0" fontId="0" fillId="0" borderId="0" xfId="0" applyAlignment="1">
      <alignment horizontal="left" vertical="center"/>
    </xf>
    <xf numFmtId="0" fontId="258" fillId="0" borderId="1" xfId="0" applyFont="1" applyFill="1" applyBorder="1" applyAlignment="1">
      <alignment horizontal="right" vertical="center"/>
    </xf>
    <xf numFmtId="43" fontId="258" fillId="7" borderId="1" xfId="17" applyFont="1" applyFill="1" applyBorder="1">
      <alignment vertical="center"/>
    </xf>
    <xf numFmtId="190" fontId="258" fillId="0" borderId="1" xfId="0" applyNumberFormat="1" applyFont="1" applyFill="1" applyBorder="1" applyAlignment="1">
      <alignment vertical="center"/>
    </xf>
    <xf numFmtId="186" fontId="258" fillId="0" borderId="1" xfId="0" applyNumberFormat="1" applyFont="1" applyFill="1" applyBorder="1" applyAlignment="1">
      <alignment horizontal="center" vertical="center"/>
    </xf>
    <xf numFmtId="43" fontId="258" fillId="0" borderId="1" xfId="17" applyFont="1" applyFill="1" applyBorder="1" applyAlignment="1">
      <alignment horizontal="center" vertical="center"/>
    </xf>
    <xf numFmtId="197" fontId="258" fillId="0" borderId="1" xfId="17" applyNumberFormat="1" applyFont="1" applyFill="1" applyBorder="1">
      <alignment vertical="center"/>
    </xf>
    <xf numFmtId="0" fontId="101" fillId="0" borderId="0" xfId="0" applyFont="1" applyAlignment="1"/>
    <xf numFmtId="0" fontId="258" fillId="0" borderId="1" xfId="0" applyFont="1" applyFill="1" applyBorder="1" applyAlignment="1">
      <alignment vertical="center" wrapText="1"/>
    </xf>
    <xf numFmtId="197" fontId="258" fillId="0" borderId="1" xfId="17" applyNumberFormat="1" applyFont="1" applyFill="1" applyBorder="1" applyAlignment="1">
      <alignment vertical="center" wrapText="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98" fontId="55" fillId="6" borderId="1" xfId="0" applyNumberFormat="1" applyFont="1" applyFill="1" applyBorder="1" applyAlignment="1" applyProtection="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19050</xdr:colOff>
      <xdr:row>25</xdr:row>
      <xdr:rowOff>76200</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848350" cy="4533900"/>
        </a:xfrm>
        <a:prstGeom prst="rect">
          <a:avLst/>
        </a:prstGeom>
        <a:noFill/>
        <a:ln w="1">
          <a:noFill/>
          <a:miter lim="800000"/>
          <a:headEnd/>
          <a:tailEnd type="none" w="med" len="med"/>
        </a:ln>
        <a:effectLst/>
      </xdr:spPr>
    </xdr:pic>
    <xdr:clientData/>
  </xdr:twoCellAnchor>
  <xdr:twoCellAnchor editAs="oneCell">
    <xdr:from>
      <xdr:col>10</xdr:col>
      <xdr:colOff>152400</xdr:colOff>
      <xdr:row>0</xdr:row>
      <xdr:rowOff>9525</xdr:rowOff>
    </xdr:from>
    <xdr:to>
      <xdr:col>17</xdr:col>
      <xdr:colOff>142277</xdr:colOff>
      <xdr:row>22</xdr:row>
      <xdr:rowOff>132842</xdr:rowOff>
    </xdr:to>
    <xdr:pic>
      <xdr:nvPicPr>
        <xdr:cNvPr id="2" name="图片 1"/>
        <xdr:cNvPicPr>
          <a:picLocks noChangeAspect="1"/>
        </xdr:cNvPicPr>
      </xdr:nvPicPr>
      <xdr:blipFill>
        <a:blip xmlns:r="http://schemas.openxmlformats.org/officeDocument/2006/relationships" r:embed="rId2"/>
        <a:stretch>
          <a:fillRect/>
        </a:stretch>
      </xdr:blipFill>
      <xdr:spPr>
        <a:xfrm>
          <a:off x="8077200" y="9525"/>
          <a:ext cx="4790477" cy="4066667"/>
        </a:xfrm>
        <a:prstGeom prst="rect">
          <a:avLst/>
        </a:prstGeom>
      </xdr:spPr>
    </xdr:pic>
    <xdr:clientData/>
  </xdr:twoCellAnchor>
  <xdr:twoCellAnchor editAs="oneCell">
    <xdr:from>
      <xdr:col>7</xdr:col>
      <xdr:colOff>314325</xdr:colOff>
      <xdr:row>25</xdr:row>
      <xdr:rowOff>76200</xdr:rowOff>
    </xdr:from>
    <xdr:to>
      <xdr:col>14</xdr:col>
      <xdr:colOff>389911</xdr:colOff>
      <xdr:row>48</xdr:row>
      <xdr:rowOff>113803</xdr:rowOff>
    </xdr:to>
    <xdr:pic>
      <xdr:nvPicPr>
        <xdr:cNvPr id="3" name="图片 2"/>
        <xdr:cNvPicPr>
          <a:picLocks noChangeAspect="1"/>
        </xdr:cNvPicPr>
      </xdr:nvPicPr>
      <xdr:blipFill>
        <a:blip xmlns:r="http://schemas.openxmlformats.org/officeDocument/2006/relationships" r:embed="rId3"/>
        <a:stretch>
          <a:fillRect/>
        </a:stretch>
      </xdr:blipFill>
      <xdr:spPr>
        <a:xfrm>
          <a:off x="6143625" y="4533900"/>
          <a:ext cx="4914286" cy="3980953"/>
        </a:xfrm>
        <a:prstGeom prst="rect">
          <a:avLst/>
        </a:prstGeom>
      </xdr:spPr>
    </xdr:pic>
    <xdr:clientData/>
  </xdr:twoCellAnchor>
  <xdr:twoCellAnchor editAs="oneCell">
    <xdr:from>
      <xdr:col>14</xdr:col>
      <xdr:colOff>571500</xdr:colOff>
      <xdr:row>0</xdr:row>
      <xdr:rowOff>57150</xdr:rowOff>
    </xdr:from>
    <xdr:to>
      <xdr:col>23</xdr:col>
      <xdr:colOff>208824</xdr:colOff>
      <xdr:row>22</xdr:row>
      <xdr:rowOff>85229</xdr:rowOff>
    </xdr:to>
    <xdr:pic>
      <xdr:nvPicPr>
        <xdr:cNvPr id="4" name="图片 3"/>
        <xdr:cNvPicPr>
          <a:picLocks noChangeAspect="1"/>
        </xdr:cNvPicPr>
      </xdr:nvPicPr>
      <xdr:blipFill>
        <a:blip xmlns:r="http://schemas.openxmlformats.org/officeDocument/2006/relationships" r:embed="rId4"/>
        <a:stretch>
          <a:fillRect/>
        </a:stretch>
      </xdr:blipFill>
      <xdr:spPr>
        <a:xfrm>
          <a:off x="11239500" y="57150"/>
          <a:ext cx="5809524" cy="3971429"/>
        </a:xfrm>
        <a:prstGeom prst="rect">
          <a:avLst/>
        </a:prstGeom>
      </xdr:spPr>
    </xdr:pic>
    <xdr:clientData/>
  </xdr:twoCellAnchor>
  <xdr:twoCellAnchor editAs="oneCell">
    <xdr:from>
      <xdr:col>13</xdr:col>
      <xdr:colOff>428625</xdr:colOff>
      <xdr:row>20</xdr:row>
      <xdr:rowOff>104775</xdr:rowOff>
    </xdr:from>
    <xdr:to>
      <xdr:col>20</xdr:col>
      <xdr:colOff>266121</xdr:colOff>
      <xdr:row>42</xdr:row>
      <xdr:rowOff>113828</xdr:rowOff>
    </xdr:to>
    <xdr:pic>
      <xdr:nvPicPr>
        <xdr:cNvPr id="5" name="图片 4"/>
        <xdr:cNvPicPr>
          <a:picLocks noChangeAspect="1"/>
        </xdr:cNvPicPr>
      </xdr:nvPicPr>
      <xdr:blipFill>
        <a:blip xmlns:r="http://schemas.openxmlformats.org/officeDocument/2006/relationships" r:embed="rId5"/>
        <a:stretch>
          <a:fillRect/>
        </a:stretch>
      </xdr:blipFill>
      <xdr:spPr>
        <a:xfrm>
          <a:off x="10410825" y="3705225"/>
          <a:ext cx="4638096" cy="3780953"/>
        </a:xfrm>
        <a:prstGeom prst="rect">
          <a:avLst/>
        </a:prstGeom>
      </xdr:spPr>
    </xdr:pic>
    <xdr:clientData/>
  </xdr:twoCellAnchor>
  <xdr:twoCellAnchor editAs="oneCell">
    <xdr:from>
      <xdr:col>6</xdr:col>
      <xdr:colOff>1114425</xdr:colOff>
      <xdr:row>44</xdr:row>
      <xdr:rowOff>142875</xdr:rowOff>
    </xdr:from>
    <xdr:to>
      <xdr:col>13</xdr:col>
      <xdr:colOff>380430</xdr:colOff>
      <xdr:row>66</xdr:row>
      <xdr:rowOff>85261</xdr:rowOff>
    </xdr:to>
    <xdr:pic>
      <xdr:nvPicPr>
        <xdr:cNvPr id="6" name="图片 5"/>
        <xdr:cNvPicPr>
          <a:picLocks noChangeAspect="1"/>
        </xdr:cNvPicPr>
      </xdr:nvPicPr>
      <xdr:blipFill>
        <a:blip xmlns:r="http://schemas.openxmlformats.org/officeDocument/2006/relationships" r:embed="rId6"/>
        <a:stretch>
          <a:fillRect/>
        </a:stretch>
      </xdr:blipFill>
      <xdr:spPr>
        <a:xfrm>
          <a:off x="5800725" y="7858125"/>
          <a:ext cx="4561905" cy="3714286"/>
        </a:xfrm>
        <a:prstGeom prst="rect">
          <a:avLst/>
        </a:prstGeom>
      </xdr:spPr>
    </xdr:pic>
    <xdr:clientData/>
  </xdr:twoCellAnchor>
  <xdr:twoCellAnchor editAs="oneCell">
    <xdr:from>
      <xdr:col>13</xdr:col>
      <xdr:colOff>581025</xdr:colOff>
      <xdr:row>42</xdr:row>
      <xdr:rowOff>38100</xdr:rowOff>
    </xdr:from>
    <xdr:to>
      <xdr:col>20</xdr:col>
      <xdr:colOff>561378</xdr:colOff>
      <xdr:row>65</xdr:row>
      <xdr:rowOff>28084</xdr:rowOff>
    </xdr:to>
    <xdr:pic>
      <xdr:nvPicPr>
        <xdr:cNvPr id="7" name="图片 6"/>
        <xdr:cNvPicPr>
          <a:picLocks noChangeAspect="1"/>
        </xdr:cNvPicPr>
      </xdr:nvPicPr>
      <xdr:blipFill>
        <a:blip xmlns:r="http://schemas.openxmlformats.org/officeDocument/2006/relationships" r:embed="rId7"/>
        <a:stretch>
          <a:fillRect/>
        </a:stretch>
      </xdr:blipFill>
      <xdr:spPr>
        <a:xfrm>
          <a:off x="10563225" y="7410450"/>
          <a:ext cx="4780953" cy="3933334"/>
        </a:xfrm>
        <a:prstGeom prst="rect">
          <a:avLst/>
        </a:prstGeom>
      </xdr:spPr>
    </xdr:pic>
    <xdr:clientData/>
  </xdr:twoCellAnchor>
  <xdr:twoCellAnchor editAs="oneCell">
    <xdr:from>
      <xdr:col>2</xdr:col>
      <xdr:colOff>219075</xdr:colOff>
      <xdr:row>0</xdr:row>
      <xdr:rowOff>123825</xdr:rowOff>
    </xdr:from>
    <xdr:to>
      <xdr:col>10</xdr:col>
      <xdr:colOff>161114</xdr:colOff>
      <xdr:row>27</xdr:row>
      <xdr:rowOff>161321</xdr:rowOff>
    </xdr:to>
    <xdr:pic>
      <xdr:nvPicPr>
        <xdr:cNvPr id="8" name="图片 7"/>
        <xdr:cNvPicPr>
          <a:picLocks noChangeAspect="1"/>
        </xdr:cNvPicPr>
      </xdr:nvPicPr>
      <xdr:blipFill>
        <a:blip xmlns:r="http://schemas.openxmlformats.org/officeDocument/2006/relationships" r:embed="rId8"/>
        <a:stretch>
          <a:fillRect/>
        </a:stretch>
      </xdr:blipFill>
      <xdr:spPr>
        <a:xfrm>
          <a:off x="1590675" y="123825"/>
          <a:ext cx="6495239" cy="4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估价对象为北京市出让国有建设用地使用权及在建建筑物房地产，为所有。根据《国有土地使用证》[]，估价对象（分摊）出让国有建设用地使用权面积为7066.74平方米，建筑面积为9339.3平方米。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7066.74平方米，规划建筑面积为9339.3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为估价委托人了解估价对象房地产市场价值提供参考依据。</v>
      </c>
    </row>
    <row r="12" spans="1:2" s="1592" customFormat="1">
      <c r="A12" s="1590" t="s">
        <v>1221</v>
      </c>
      <c r="B12" s="1591" t="str">
        <f>'预评函-1'!A15</f>
        <v>2020年4月13日</v>
      </c>
    </row>
    <row r="13" spans="1:2" s="1592" customFormat="1">
      <c r="A13" s="1590" t="s">
        <v>1222</v>
      </c>
      <c r="B13" s="1591" t="str">
        <f>'预评函-1'!A18</f>
        <v>本次估价的“房地产价值”是指在正常市场情况下，在价值时点2020年4月13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7480</v>
      </c>
    </row>
    <row r="21" spans="1:2" s="1592" customFormat="1">
      <c r="A21" s="1590" t="s">
        <v>1230</v>
      </c>
      <c r="B21" s="1591">
        <f ca="1">'预评函-2'!D7</f>
        <v>8009</v>
      </c>
    </row>
    <row r="22" spans="1:2" s="1592" customFormat="1">
      <c r="A22" s="1590" t="s">
        <v>1231</v>
      </c>
      <c r="B22" s="1591" t="str">
        <f ca="1">'预评函-2'!D6</f>
        <v>柒仟肆佰捌拾万元整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7480</v>
      </c>
    </row>
    <row r="31" spans="1:2" s="1592" customFormat="1">
      <c r="A31" s="1590" t="s">
        <v>1269</v>
      </c>
      <c r="B31" s="1591">
        <f ca="1">'预评函-2'!D15</f>
        <v>8009</v>
      </c>
    </row>
    <row r="32" spans="1:2" s="1592" customFormat="1">
      <c r="A32" s="1590" t="s">
        <v>1236</v>
      </c>
      <c r="B32" s="1591" t="str">
        <f ca="1">'预评函-2'!D14</f>
        <v>柒仟肆佰捌拾万元整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9339.3000000000011</v>
      </c>
    </row>
    <row r="44" spans="1:2" s="1592" customFormat="1">
      <c r="A44" s="1590" t="s">
        <v>1268</v>
      </c>
      <c r="B44" s="1591" t="str">
        <f>'预评函-3'!C2</f>
        <v>(分摊)土地面积</v>
      </c>
    </row>
    <row r="45" spans="1:2" s="1592" customFormat="1">
      <c r="A45" s="1590" t="s">
        <v>1240</v>
      </c>
      <c r="B45" s="1591">
        <f>'预评函-3'!C4</f>
        <v>7066.74</v>
      </c>
    </row>
    <row r="46" spans="1:2" s="1592" customFormat="1">
      <c r="A46" s="1590" t="s">
        <v>1266</v>
      </c>
      <c r="B46" s="1591" t="str">
        <f>'预评函-3'!D2</f>
        <v>出让国有建设用地使用权价值</v>
      </c>
    </row>
    <row r="47" spans="1:2" s="1592" customFormat="1">
      <c r="A47" s="1590" t="s">
        <v>1241</v>
      </c>
      <c r="B47" s="1591">
        <f ca="1">'预评函-3'!D4</f>
        <v>3733</v>
      </c>
    </row>
    <row r="48" spans="1:2" s="1592" customFormat="1">
      <c r="A48" s="1590" t="s">
        <v>1242</v>
      </c>
      <c r="B48" s="1591">
        <f ca="1">'预评函-3'!E4</f>
        <v>3997</v>
      </c>
    </row>
    <row r="49" spans="1:2" s="1592" customFormat="1">
      <c r="A49" s="1590" t="s">
        <v>1243</v>
      </c>
      <c r="B49" s="1591" t="str">
        <f ca="1">'预评函-3'!D5</f>
        <v>叁仟柒佰叁拾叁万元整</v>
      </c>
    </row>
    <row r="50" spans="1:2" s="1592" customFormat="1">
      <c r="A50" s="1590" t="s">
        <v>1267</v>
      </c>
      <c r="B50" s="1591" t="str">
        <f>'预评函-3'!F2</f>
        <v>在建建筑物价值</v>
      </c>
    </row>
    <row r="51" spans="1:2" s="1592" customFormat="1">
      <c r="A51" s="1590" t="s">
        <v>1244</v>
      </c>
      <c r="B51" s="1591">
        <f ca="1">'预评函-3'!F4</f>
        <v>3747</v>
      </c>
    </row>
    <row r="52" spans="1:2" s="1592" customFormat="1">
      <c r="A52" s="1590" t="s">
        <v>1245</v>
      </c>
      <c r="B52" s="1591">
        <f ca="1">'预评函-3'!G4</f>
        <v>4012</v>
      </c>
    </row>
    <row r="53" spans="1:2" s="1592" customFormat="1">
      <c r="A53" s="1590" t="s">
        <v>1273</v>
      </c>
      <c r="B53" s="1591" t="str">
        <f ca="1">'预评函-3'!F5</f>
        <v>叁仟柒佰肆拾柒万元整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2.本次评估设定估价对象房地产权属无争议，未被查封或者以其他形式限制其房地产权利，未设定抵押权等他项权利，不涉及第三方权利义务。</v>
      </c>
    </row>
    <row r="59" spans="1:2" s="1592" customFormat="1">
      <c r="A59" s="1590" t="s">
        <v>1247</v>
      </c>
      <c r="B59" s="1591" t="str">
        <f>'预评函-4'!A13</f>
        <v>——</v>
      </c>
    </row>
    <row r="60" spans="1:2" s="1592" customFormat="1">
      <c r="A60" s="1590" t="s">
        <v>1248</v>
      </c>
      <c r="B60" s="1591" t="str">
        <f>'预评函-4'!A14</f>
        <v>——</v>
      </c>
    </row>
    <row r="61" spans="1:2" s="1592" customFormat="1">
      <c r="A61" s="1590" t="s">
        <v>1249</v>
      </c>
      <c r="B61" s="1591" t="str">
        <f>'预评函-4'!A15</f>
        <v>——</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v>
      </c>
    </row>
    <row r="65" spans="1:2" s="1592" customFormat="1">
      <c r="A65" s="1590" t="s">
        <v>1252</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3074</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61"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0" t="s">
        <v>860</v>
      </c>
      <c r="C54" s="2017" t="s">
        <v>1276</v>
      </c>
    </row>
    <row r="55" spans="1:4">
      <c r="A55" s="3061"/>
      <c r="B55" s="2020" t="s">
        <v>861</v>
      </c>
      <c r="C55" s="2017" t="s">
        <v>1277</v>
      </c>
    </row>
    <row r="56" spans="1:4">
      <c r="A56" s="3061"/>
      <c r="B56" s="2020" t="s">
        <v>862</v>
      </c>
      <c r="C56" s="2017" t="s">
        <v>1281</v>
      </c>
    </row>
    <row r="57" spans="1:4">
      <c r="A57" s="3061"/>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4" zoomScale="90" zoomScaleNormal="100" zoomScaleSheetLayoutView="90" workbookViewId="0">
      <selection activeCell="G37" sqref="G37"/>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62" t="str">
        <f>IF(B10="北京市","北京市",C10)&amp;F10&amp;IF(结果表!G1="在建","出让国有建设用地使用权及在建建筑物",IF(结果表!G1="土地","出让国有建设用地使用权",))&amp;B9&amp;"预评估"</f>
        <v>北京市出让国有建设用地使用权及在建建筑物预评估</v>
      </c>
      <c r="C1" s="3063"/>
      <c r="D1" s="3063"/>
      <c r="E1" s="3063"/>
      <c r="F1" s="3063"/>
      <c r="G1" s="3063"/>
      <c r="H1" s="3063"/>
      <c r="I1" s="306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43934</v>
      </c>
      <c r="E3" s="2024"/>
      <c r="F3" s="2024"/>
      <c r="G3" s="2024"/>
      <c r="H3" s="2024"/>
      <c r="I3" s="2024"/>
      <c r="J3" s="2024"/>
      <c r="K3" s="2025"/>
      <c r="L3" s="2026"/>
      <c r="M3" s="2026"/>
      <c r="N3" s="2027"/>
      <c r="O3" s="2028"/>
      <c r="P3" s="2027"/>
      <c r="Q3" s="2027"/>
      <c r="R3" s="2027"/>
      <c r="S3" s="2029"/>
    </row>
    <row r="4" spans="1:19" ht="18" customHeight="1" thickBot="1">
      <c r="A4" s="2036" t="s">
        <v>1774</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c r="C8" s="2054"/>
      <c r="D8" s="3065" t="s">
        <v>1779</v>
      </c>
      <c r="E8" s="2055"/>
      <c r="F8" s="2056"/>
      <c r="G8" s="2024"/>
      <c r="H8" s="2024"/>
      <c r="I8" s="2024"/>
      <c r="J8" s="2040"/>
      <c r="K8" s="2041"/>
      <c r="L8" s="2026"/>
      <c r="M8" s="2026"/>
      <c r="N8" s="2027"/>
      <c r="O8" s="2028"/>
      <c r="P8" s="2027"/>
      <c r="Q8" s="2027"/>
      <c r="R8" s="2027"/>
    </row>
    <row r="9" spans="1:19" ht="18" customHeight="1" thickBot="1">
      <c r="A9" s="2038" t="s">
        <v>1780</v>
      </c>
      <c r="B9" s="2057"/>
      <c r="C9" s="2058"/>
      <c r="D9" s="3066"/>
      <c r="E9" s="2057"/>
      <c r="F9" s="2059"/>
      <c r="G9" s="2060"/>
      <c r="H9" s="2060"/>
      <c r="I9" s="2060"/>
      <c r="J9" s="2040"/>
      <c r="K9" s="2052"/>
      <c r="L9" s="2026"/>
      <c r="M9" s="2026"/>
      <c r="N9" s="2027"/>
      <c r="O9" s="2028"/>
      <c r="P9" s="2027"/>
      <c r="Q9" s="2027"/>
      <c r="R9" s="2027"/>
    </row>
    <row r="10" spans="1:19" ht="18" customHeight="1" thickTop="1">
      <c r="A10" s="2061" t="s">
        <v>1781</v>
      </c>
      <c r="B10" s="2062" t="s">
        <v>3056</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3057</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3055</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c r="G13" s="2078"/>
      <c r="H13" s="2078"/>
      <c r="I13" s="1046">
        <v>54492</v>
      </c>
      <c r="J13" s="2040"/>
      <c r="K13" s="2052"/>
      <c r="L13" s="2026"/>
      <c r="M13" s="2026"/>
      <c r="N13" s="2027"/>
      <c r="O13" s="2028"/>
      <c r="P13" s="2027"/>
      <c r="Q13" s="2027"/>
      <c r="R13" s="2027"/>
    </row>
    <row r="14" spans="1:19" ht="18" customHeight="1">
      <c r="A14" s="2075"/>
      <c r="B14" s="2076"/>
      <c r="C14" s="2077" t="s">
        <v>1793</v>
      </c>
      <c r="D14" s="1049"/>
      <c r="E14" s="1049"/>
      <c r="F14" s="1049"/>
      <c r="G14" s="1049"/>
      <c r="H14" s="1049"/>
      <c r="I14" s="1049">
        <v>50</v>
      </c>
      <c r="J14" s="2040"/>
      <c r="K14" s="2079"/>
      <c r="L14" s="2026"/>
      <c r="M14" s="2026"/>
      <c r="N14" s="2027"/>
      <c r="O14" s="2028"/>
      <c r="P14" s="2027"/>
      <c r="Q14" s="2027"/>
      <c r="R14" s="2027"/>
    </row>
    <row r="15" spans="1:19" ht="18" customHeight="1">
      <c r="A15" s="2061"/>
      <c r="B15" s="2080"/>
      <c r="C15" s="2077" t="s">
        <v>1794</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28.92</v>
      </c>
      <c r="J15" s="2040"/>
      <c r="K15" s="2081"/>
      <c r="L15" s="2082"/>
      <c r="M15" s="2082"/>
      <c r="N15" s="2083"/>
      <c r="O15" s="2082"/>
      <c r="P15" s="2083"/>
      <c r="Q15" s="2027"/>
      <c r="R15" s="2027"/>
    </row>
    <row r="16" spans="1:19" ht="30.75" customHeight="1">
      <c r="A16" s="2064" t="s">
        <v>1795</v>
      </c>
      <c r="B16" s="3072"/>
      <c r="C16" s="3073"/>
      <c r="D16" s="3074"/>
      <c r="E16" s="2084" t="s">
        <v>1796</v>
      </c>
      <c r="F16" s="3075"/>
      <c r="G16" s="3076"/>
      <c r="H16" s="3076"/>
      <c r="I16" s="3077"/>
      <c r="J16" s="2027"/>
      <c r="K16" s="2081"/>
      <c r="L16" s="2082"/>
      <c r="M16" s="2082"/>
      <c r="N16" s="2083"/>
      <c r="O16" s="2082"/>
      <c r="P16" s="2083"/>
      <c r="Q16" s="2027"/>
      <c r="R16" s="2027"/>
    </row>
    <row r="17" spans="1:22" ht="18" customHeight="1">
      <c r="A17" s="2085" t="s">
        <v>1797</v>
      </c>
      <c r="B17" s="2033" t="s">
        <v>1798</v>
      </c>
      <c r="C17" s="1053">
        <f>'数据-汇总表'!E3</f>
        <v>9339.3000000000011</v>
      </c>
      <c r="D17" s="2086" t="s">
        <v>1799</v>
      </c>
      <c r="E17" s="3078" t="s">
        <v>1800</v>
      </c>
      <c r="F17" s="3079"/>
      <c r="G17" s="3079"/>
      <c r="H17" s="3079"/>
      <c r="I17" s="3080"/>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7066.74</v>
      </c>
      <c r="D18" s="2089" t="s">
        <v>1799</v>
      </c>
      <c r="E18" s="3081" t="s">
        <v>1803</v>
      </c>
      <c r="F18" s="3082"/>
      <c r="G18" s="3082"/>
      <c r="H18" s="3082"/>
      <c r="I18" s="3083"/>
      <c r="J18" s="2027"/>
      <c r="K18" s="2087"/>
      <c r="L18" s="2082"/>
      <c r="M18" s="2082"/>
      <c r="N18" s="2083"/>
      <c r="O18" s="2082"/>
      <c r="P18" s="2083"/>
      <c r="Q18" s="2027"/>
      <c r="R18" s="2027"/>
      <c r="S18" s="2027"/>
      <c r="T18" s="2027"/>
      <c r="U18" s="2027"/>
      <c r="V18" s="2027"/>
    </row>
    <row r="19" spans="1:22" ht="37.5" customHeight="1" thickTop="1" thickBot="1">
      <c r="A19" s="372" t="s">
        <v>1804</v>
      </c>
      <c r="B19" s="351"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68" t="s">
        <v>1808</v>
      </c>
      <c r="C20" s="3069"/>
      <c r="D20" s="3070" t="s">
        <v>1809</v>
      </c>
      <c r="E20" s="3071"/>
      <c r="F20" s="2096" t="s">
        <v>1810</v>
      </c>
      <c r="G20" s="2040"/>
      <c r="H20" s="2040"/>
      <c r="I20" s="2040"/>
      <c r="J20" s="2040"/>
      <c r="K20" s="3067"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6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6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2" t="s">
        <v>1818</v>
      </c>
      <c r="C23" s="2105"/>
      <c r="D23" s="2106" t="s">
        <v>1818</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1819</v>
      </c>
      <c r="C24" s="2110"/>
      <c r="D24" s="2104" t="s">
        <v>1819</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85"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85"/>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85"/>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86"/>
      <c r="B30" s="2033" t="s">
        <v>1827</v>
      </c>
      <c r="C30" s="3087"/>
      <c r="D30" s="308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89"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9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9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84" t="s">
        <v>1837</v>
      </c>
      <c r="T34" s="2133" t="str">
        <f>NUMBERSTRING(7-K34,1)&amp;"通"</f>
        <v>七通</v>
      </c>
      <c r="U34" s="2027"/>
      <c r="V34" s="2027"/>
    </row>
    <row r="35" spans="1:22" ht="18" customHeight="1">
      <c r="A35" s="2134"/>
      <c r="B35" s="3091" t="s">
        <v>1838</v>
      </c>
      <c r="C35" s="3091"/>
      <c r="D35" s="3091"/>
      <c r="E35" s="3091"/>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4"/>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t="s">
        <v>56</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t="s">
        <v>3066</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7066.74</v>
      </c>
      <c r="B3" s="14">
        <f>IF(C3="否",G5-AT5,G5)</f>
        <v>9339.3000000000011</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9339.3000000000011</v>
      </c>
      <c r="H5" s="16">
        <f t="shared" ref="H5:AT5" si="0">SUM(H13:H656)</f>
        <v>9251.5400000000009</v>
      </c>
      <c r="I5" s="16">
        <f t="shared" si="0"/>
        <v>9251.5400000000009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87.76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87.76</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9339.3000000000011</v>
      </c>
      <c r="BA5" s="18">
        <f t="shared" si="1"/>
        <v>9251.5400000000009</v>
      </c>
      <c r="BB5" s="18">
        <f t="shared" si="1"/>
        <v>9251.5400000000009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87.76</v>
      </c>
      <c r="BM5" s="18">
        <f t="shared" si="1"/>
        <v>0</v>
      </c>
      <c r="BN5" s="18">
        <f t="shared" si="1"/>
        <v>0</v>
      </c>
      <c r="BO5" s="18">
        <f t="shared" si="1"/>
        <v>0</v>
      </c>
      <c r="BP5" s="18">
        <f t="shared" si="1"/>
        <v>0</v>
      </c>
      <c r="BQ5" s="18">
        <f t="shared" si="1"/>
        <v>87.76</v>
      </c>
      <c r="BR5" s="18">
        <f t="shared" si="1"/>
        <v>0</v>
      </c>
      <c r="BS5" s="18">
        <f t="shared" si="1"/>
        <v>0</v>
      </c>
      <c r="BT5" s="19">
        <f t="shared" si="1"/>
        <v>0</v>
      </c>
    </row>
    <row r="6" spans="1:72" s="2176" customFormat="1" ht="12.75">
      <c r="A6" s="15" t="s">
        <v>1875</v>
      </c>
      <c r="B6" s="2173"/>
      <c r="C6" s="2173"/>
      <c r="D6" s="2174"/>
      <c r="E6" s="16">
        <f>H6+AC6+AT6</f>
        <v>7066.74</v>
      </c>
      <c r="F6" s="16" t="s">
        <v>1</v>
      </c>
      <c r="G6" s="16" t="s">
        <v>2</v>
      </c>
      <c r="H6" s="20">
        <f>SUMIF(I$12:AB$12,"总值",I6:AB6)</f>
        <v>7000.33</v>
      </c>
      <c r="I6" s="16">
        <f t="shared" ref="I6:AB6" si="2">ROUND($A$3*I5/$B$3,2)</f>
        <v>7000.33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66.41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66.41</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7066.74</v>
      </c>
      <c r="AZ6" s="16" t="s">
        <v>3</v>
      </c>
      <c r="BA6" s="16">
        <f>ROUND($AY$6*BA5/$AZ$5,2)</f>
        <v>7000.33</v>
      </c>
      <c r="BB6" s="16">
        <f>ROUND($AY$6*BB5/$AZ$5,2)</f>
        <v>7000.33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66.41</v>
      </c>
      <c r="BM6" s="16">
        <f t="shared" si="5"/>
        <v>0</v>
      </c>
      <c r="BN6" s="16">
        <f t="shared" si="5"/>
        <v>0</v>
      </c>
      <c r="BO6" s="16">
        <f t="shared" si="5"/>
        <v>0</v>
      </c>
      <c r="BP6" s="16">
        <f t="shared" si="5"/>
        <v>0</v>
      </c>
      <c r="BQ6" s="16">
        <f t="shared" si="5"/>
        <v>66.41</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0"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3063</v>
      </c>
      <c r="J9" s="980"/>
      <c r="K9" s="2190" t="s">
        <v>3063</v>
      </c>
      <c r="L9" s="980"/>
      <c r="M9" s="2190"/>
      <c r="N9" s="980"/>
      <c r="O9" s="2190"/>
      <c r="P9" s="980"/>
      <c r="Q9" s="2190"/>
      <c r="R9" s="980"/>
      <c r="S9" s="2190"/>
      <c r="T9" s="980"/>
      <c r="U9" s="2190"/>
      <c r="V9" s="980"/>
      <c r="W9" s="2190"/>
      <c r="X9" s="2191"/>
      <c r="Y9" s="2190"/>
      <c r="Z9" s="980"/>
      <c r="AA9" s="2190"/>
      <c r="AB9" s="980"/>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6</v>
      </c>
      <c r="J10" s="980"/>
      <c r="K10" s="2196" t="s">
        <v>6</v>
      </c>
      <c r="L10" s="980"/>
      <c r="M10" s="2196"/>
      <c r="N10" s="980"/>
      <c r="O10" s="2196"/>
      <c r="P10" s="980"/>
      <c r="Q10" s="2196"/>
      <c r="R10" s="980"/>
      <c r="S10" s="2196"/>
      <c r="T10" s="980"/>
      <c r="U10" s="2196"/>
      <c r="V10" s="980"/>
      <c r="W10" s="2196"/>
      <c r="X10" s="980"/>
      <c r="Y10" s="2196"/>
      <c r="Z10" s="980"/>
      <c r="AA10" s="2196"/>
      <c r="AB10" s="980"/>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t="str">
        <f>K9</f>
        <v>地上</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3064</v>
      </c>
      <c r="J11" s="2202"/>
      <c r="K11" s="2201" t="s">
        <v>3065</v>
      </c>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t="str">
        <f>K11</f>
        <v>标准厂房</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2962" t="s">
        <v>3058</v>
      </c>
      <c r="D13" s="2212" t="s">
        <v>3062</v>
      </c>
      <c r="E13" s="16">
        <f>IF($C$3="是",ROUND($A$3*G13/$B$3,2),ROUND($A$3*(G13-AT13)/$B$3,2))</f>
        <v>2745.13</v>
      </c>
      <c r="F13" s="32"/>
      <c r="G13" s="33">
        <f>H13+AC13+AT13</f>
        <v>3627.92</v>
      </c>
      <c r="H13" s="20">
        <f>SUMIF(I$12:AB$12,"总值",I13:AB13)</f>
        <v>3627.92</v>
      </c>
      <c r="I13" s="2213">
        <v>3627.92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办公</v>
      </c>
      <c r="AY13" s="1805">
        <f>ROUND($AY$6*AZ13/$AZ$5,2)</f>
        <v>2745.13</v>
      </c>
      <c r="AZ13" s="16">
        <f>BA13+BL13</f>
        <v>3627.92</v>
      </c>
      <c r="BA13" s="16">
        <f>SUM(BB13:BK13)</f>
        <v>3627.92</v>
      </c>
      <c r="BB13" s="16">
        <f>IF($D13="是",I13-J13,0)</f>
        <v>3627.92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963" t="s">
        <v>3060</v>
      </c>
      <c r="D14" s="2212" t="s">
        <v>3062</v>
      </c>
      <c r="E14" s="16">
        <f>IF($C$3="是",ROUND($A$3*G14/$B$3,2),ROUND($A$3*(G14-AT14)/$B$3,2))</f>
        <v>4255.21</v>
      </c>
      <c r="F14" s="32"/>
      <c r="G14" s="33">
        <f>H14+AC14+AT14</f>
        <v>5623.62</v>
      </c>
      <c r="H14" s="20">
        <f>SUMIF(I$12:AB$12,"总值",I14:AB14)</f>
        <v>5623.62</v>
      </c>
      <c r="I14" s="2213">
        <v>5623.62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厂房</v>
      </c>
      <c r="AY14" s="1805">
        <f>ROUND($AY$6*AZ14/$AZ$5,2)</f>
        <v>4255.21</v>
      </c>
      <c r="AZ14" s="16">
        <f>BA14+BL14</f>
        <v>5623.62</v>
      </c>
      <c r="BA14" s="16">
        <f>SUM(BB14:BK14)</f>
        <v>5623.62</v>
      </c>
      <c r="BB14" s="16">
        <f>IF($D14="是",I14-J14,0)</f>
        <v>5623.62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963" t="s">
        <v>3061</v>
      </c>
      <c r="D15" s="2212" t="s">
        <v>3062</v>
      </c>
      <c r="E15" s="16">
        <f>IF($C$3="是",ROUND($A$3*G15/$B$3,2),ROUND($A$3*(G15-AT15)/$B$3,2))</f>
        <v>66.41</v>
      </c>
      <c r="F15" s="32"/>
      <c r="G15" s="33">
        <f>H15+AC15+AT15</f>
        <v>87.76</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87.76</v>
      </c>
      <c r="AD15" s="2214"/>
      <c r="AE15" s="2214"/>
      <c r="AF15" s="2214"/>
      <c r="AG15" s="2214"/>
      <c r="AH15" s="2214"/>
      <c r="AI15" s="2214"/>
      <c r="AJ15" s="2214"/>
      <c r="AK15" s="2214"/>
      <c r="AL15" s="2214">
        <v>87.76</v>
      </c>
      <c r="AM15" s="2214"/>
      <c r="AN15" s="2214"/>
      <c r="AO15" s="2214"/>
      <c r="AP15" s="2214"/>
      <c r="AQ15" s="2214"/>
      <c r="AR15" s="2214"/>
      <c r="AS15" s="2214"/>
      <c r="AT15" s="2215"/>
      <c r="AU15" s="2216"/>
      <c r="AV15" s="11">
        <f t="shared" si="6"/>
        <v>0</v>
      </c>
      <c r="AW15" s="11">
        <f t="shared" si="6"/>
        <v>0</v>
      </c>
      <c r="AX15" s="11" t="str">
        <f t="shared" si="6"/>
        <v>附属</v>
      </c>
      <c r="AY15" s="1805">
        <f>ROUND($AY$6*AZ15/$AZ$5,2)</f>
        <v>66.41</v>
      </c>
      <c r="AZ15" s="16">
        <f>BA15+BL15</f>
        <v>87.76</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87.76</v>
      </c>
      <c r="BM15" s="16">
        <f>IF($D15="是",AD15-AE15,0)</f>
        <v>0</v>
      </c>
      <c r="BN15" s="16">
        <f>IF($D15="是",AF15-AG15,0)</f>
        <v>0</v>
      </c>
      <c r="BO15" s="16">
        <f>IF($D15="是",AH15-AI15,0)</f>
        <v>0</v>
      </c>
      <c r="BP15" s="16">
        <f>IF($D15="是",AJ15-AK15,0)</f>
        <v>0</v>
      </c>
      <c r="BQ15" s="16">
        <f>IF($D15="是",AL15-AM15,0)</f>
        <v>87.76</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5" sqref="G2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1"/>
      <c r="C1" s="1391"/>
      <c r="D1" s="1391"/>
      <c r="E1" s="1391"/>
      <c r="F1" s="1391"/>
      <c r="G1" s="1391"/>
      <c r="H1" s="1391"/>
      <c r="I1" s="1391"/>
      <c r="J1" s="1391"/>
      <c r="K1" s="1391"/>
      <c r="L1" s="1391"/>
      <c r="M1" s="1391"/>
      <c r="N1" s="1391"/>
      <c r="O1" s="1391"/>
      <c r="P1" s="1391"/>
    </row>
    <row r="2" spans="1:16" ht="15">
      <c r="A2" s="3103" t="s">
        <v>1933</v>
      </c>
      <c r="B2" s="3103"/>
      <c r="C2" s="3103"/>
      <c r="D2" s="966" t="s">
        <v>1910</v>
      </c>
      <c r="E2" s="2226" t="s">
        <v>1911</v>
      </c>
      <c r="F2" s="1391"/>
      <c r="G2" s="2227"/>
      <c r="H2" s="2228"/>
      <c r="I2" s="2229" t="s">
        <v>1934</v>
      </c>
      <c r="J2" s="1391"/>
      <c r="K2" s="1391"/>
      <c r="L2" s="1391"/>
      <c r="M2" s="1391"/>
      <c r="N2" s="1426"/>
      <c r="O2" s="1391"/>
      <c r="P2" s="1391"/>
    </row>
    <row r="3" spans="1:16" ht="15.75" thickBot="1">
      <c r="A3" s="3104" t="s">
        <v>1908</v>
      </c>
      <c r="B3" s="3104"/>
      <c r="C3" s="3104"/>
      <c r="D3" s="46">
        <f>'数据-基础表'!AY6</f>
        <v>7066.74</v>
      </c>
      <c r="E3" s="46">
        <f>'数据-基础表'!AZ5</f>
        <v>9339.3000000000011</v>
      </c>
      <c r="F3" s="1391"/>
      <c r="G3" s="1398"/>
      <c r="H3" s="1246" t="s">
        <v>1909</v>
      </c>
      <c r="I3" s="55">
        <f>ROUND('数据-基础表'!B3/'数据-基础表'!A3,2)</f>
        <v>1.32</v>
      </c>
      <c r="J3" s="1391"/>
      <c r="K3" s="1391"/>
      <c r="L3" s="1391"/>
      <c r="M3" s="1391"/>
      <c r="N3" s="1426"/>
      <c r="O3" s="1391"/>
      <c r="P3" s="1391"/>
    </row>
    <row r="4" spans="1:16" ht="15">
      <c r="A4" s="3105"/>
      <c r="B4" s="3106"/>
      <c r="C4" s="3107"/>
      <c r="D4" s="2230" t="s">
        <v>1910</v>
      </c>
      <c r="E4" s="2231" t="s">
        <v>1911</v>
      </c>
      <c r="F4" s="1391"/>
      <c r="G4" s="2232" t="s">
        <v>1935</v>
      </c>
      <c r="H4" s="1246" t="s">
        <v>1916</v>
      </c>
      <c r="I4" s="55">
        <f>ROUND(SUMIF('数据-基础表'!I9:AS9,"地上",'数据-基础表'!I5:AS5)/'数据-基础表'!A3,2)</f>
        <v>1.32</v>
      </c>
      <c r="J4" s="1391"/>
      <c r="K4" s="1391"/>
      <c r="L4" s="1391"/>
      <c r="M4" s="1391"/>
      <c r="N4" s="1426"/>
      <c r="O4" s="1391"/>
      <c r="P4" s="1391"/>
    </row>
    <row r="5" spans="1:16">
      <c r="A5" s="47" t="s">
        <v>1912</v>
      </c>
      <c r="B5" s="3108" t="s">
        <v>1913</v>
      </c>
      <c r="C5" s="3108"/>
      <c r="D5" s="48">
        <f>ROUND($D$3*E5/$E$3,2)</f>
        <v>0</v>
      </c>
      <c r="E5" s="49">
        <f>SUMIF('数据-基础表'!$11:$11,"住宅",'数据-基础表'!$5:$5)</f>
        <v>0</v>
      </c>
      <c r="F5" s="1391"/>
      <c r="G5" s="1398"/>
      <c r="H5" s="1246" t="s">
        <v>1909</v>
      </c>
      <c r="I5" s="55">
        <f>ROUND(E31/D31,2)</f>
        <v>1.32</v>
      </c>
      <c r="J5" s="1391"/>
      <c r="K5" s="1391"/>
      <c r="L5" s="1391"/>
      <c r="M5" s="1391"/>
      <c r="N5" s="1391"/>
      <c r="O5" s="1391"/>
      <c r="P5" s="1391"/>
    </row>
    <row r="6" spans="1:16" ht="15" thickBot="1">
      <c r="A6" s="2233"/>
      <c r="B6" s="3108" t="s">
        <v>1914</v>
      </c>
      <c r="C6" s="3108"/>
      <c r="D6" s="48">
        <f>ROUND($D$3*E6/$E$3,2)</f>
        <v>7066.74</v>
      </c>
      <c r="E6" s="49">
        <f>E3-E5</f>
        <v>9339.3000000000011</v>
      </c>
      <c r="F6" s="1391"/>
      <c r="G6" s="2234" t="s">
        <v>1915</v>
      </c>
      <c r="H6" s="1398" t="s">
        <v>1916</v>
      </c>
      <c r="I6" s="938">
        <f>ROUND(F31/D31,2)</f>
        <v>1.32</v>
      </c>
      <c r="J6" s="1391"/>
      <c r="K6" s="1391"/>
      <c r="L6" s="1391"/>
      <c r="M6" s="1391"/>
      <c r="N6" s="1391"/>
      <c r="O6" s="1391"/>
      <c r="P6" s="1391"/>
    </row>
    <row r="7" spans="1:16" ht="15">
      <c r="A7" s="3100"/>
      <c r="B7" s="3101"/>
      <c r="C7" s="3102"/>
      <c r="D7" s="2230" t="s">
        <v>1910</v>
      </c>
      <c r="E7" s="2235" t="s">
        <v>1917</v>
      </c>
      <c r="F7" s="1391"/>
      <c r="G7" s="2227" t="s">
        <v>1918</v>
      </c>
      <c r="H7" s="64"/>
      <c r="I7" s="419"/>
      <c r="J7" s="1391"/>
      <c r="K7" s="1391"/>
      <c r="L7" s="1391"/>
      <c r="M7" s="1391"/>
      <c r="N7" s="1391"/>
      <c r="O7" s="1391"/>
      <c r="P7" s="1391"/>
    </row>
    <row r="8" spans="1:16">
      <c r="A8" s="47" t="s">
        <v>1919</v>
      </c>
      <c r="B8" s="50" t="s">
        <v>1920</v>
      </c>
      <c r="C8" s="48" t="s">
        <v>1921</v>
      </c>
      <c r="D8" s="48">
        <f t="shared" ref="D8:D15" si="0">ROUND($D$3*E8/$E$3,2)</f>
        <v>7000.33</v>
      </c>
      <c r="E8" s="51">
        <f>SUMIF('数据-基础表'!BB10:BK10,"地上",'数据-基础表'!BB5:BK5)</f>
        <v>9251.5400000000009</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1930</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1936</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1931</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7000.33</v>
      </c>
      <c r="E16" s="53">
        <f>SUM(E8:E15)</f>
        <v>9251.5400000000009</v>
      </c>
      <c r="F16" s="1391"/>
      <c r="G16" s="2236"/>
      <c r="H16" s="2239" t="s">
        <v>1937</v>
      </c>
      <c r="I16" s="2240"/>
      <c r="J16" s="1391"/>
      <c r="K16" s="3097" t="s">
        <v>1937</v>
      </c>
      <c r="L16" s="3098"/>
      <c r="M16" s="3098"/>
      <c r="N16" s="3098"/>
      <c r="O16" s="3098"/>
      <c r="P16" s="3099"/>
    </row>
    <row r="17" spans="1:19" ht="15">
      <c r="A17" s="2241" t="s">
        <v>1938</v>
      </c>
      <c r="B17" s="2242" t="s">
        <v>1939</v>
      </c>
      <c r="C17" s="2243" t="s">
        <v>1940</v>
      </c>
      <c r="D17" s="2244" t="s">
        <v>1928</v>
      </c>
      <c r="E17" s="2245" t="s">
        <v>1929</v>
      </c>
      <c r="F17" s="2246"/>
      <c r="G17" s="2247"/>
      <c r="H17" s="2248" t="s">
        <v>1941</v>
      </c>
      <c r="I17" s="2249" t="s">
        <v>3181</v>
      </c>
      <c r="J17" s="1391"/>
      <c r="K17" s="3094" t="s">
        <v>1942</v>
      </c>
      <c r="L17" s="3095"/>
      <c r="M17" s="3096"/>
      <c r="N17" s="3094" t="s">
        <v>1943</v>
      </c>
      <c r="O17" s="3095"/>
      <c r="P17" s="3096"/>
      <c r="R17" s="2227" t="s">
        <v>1944</v>
      </c>
      <c r="S17" s="64"/>
    </row>
    <row r="18" spans="1:19" ht="15">
      <c r="A18" s="2237"/>
      <c r="B18" s="2250"/>
      <c r="C18" s="2251"/>
      <c r="D18" s="2252"/>
      <c r="E18" s="2253" t="s">
        <v>1945</v>
      </c>
      <c r="F18" s="2254" t="s">
        <v>1946</v>
      </c>
      <c r="G18" s="2255" t="s">
        <v>1947</v>
      </c>
      <c r="H18" s="1261" t="s">
        <v>1948</v>
      </c>
      <c r="I18" s="2256" t="s">
        <v>1949</v>
      </c>
      <c r="J18" s="1391"/>
      <c r="K18" s="1261" t="s">
        <v>1950</v>
      </c>
      <c r="L18" s="2257" t="s">
        <v>1951</v>
      </c>
      <c r="M18" s="1045" t="s">
        <v>1952</v>
      </c>
      <c r="N18" s="1261" t="s">
        <v>1950</v>
      </c>
      <c r="O18" s="2257" t="s">
        <v>1951</v>
      </c>
      <c r="P18" s="1045" t="s">
        <v>1952</v>
      </c>
      <c r="R18" s="1246" t="s">
        <v>1953</v>
      </c>
      <c r="S18" s="1246" t="s">
        <v>1954</v>
      </c>
    </row>
    <row r="19" spans="1:19">
      <c r="A19" s="2258"/>
      <c r="B19" s="50" t="s">
        <v>1927</v>
      </c>
      <c r="C19" s="2967" t="s">
        <v>3086</v>
      </c>
      <c r="D19" s="48">
        <f>ROUND($D$3*E19/$E$3,2)</f>
        <v>2745.13</v>
      </c>
      <c r="E19" s="56">
        <f t="shared" ref="E19:E26" si="1">SUM(F19:G19)</f>
        <v>3627.92</v>
      </c>
      <c r="F19" s="57">
        <f>'数据-基础表'!I13</f>
        <v>3627.92</v>
      </c>
      <c r="G19" s="58"/>
      <c r="H19" s="722">
        <f>ROUND($D$3*I19/$E$3,2)</f>
        <v>0</v>
      </c>
      <c r="I19" s="51">
        <f t="shared" ref="I19:I26" si="2">IF($I$17="自定义",P19,M19)</f>
        <v>0</v>
      </c>
      <c r="J19" s="1391"/>
      <c r="K19" s="1390">
        <f t="shared" ref="K19:K26" si="3">ROUND(E$28*E19/E$27,2)</f>
        <v>34.409999999999997</v>
      </c>
      <c r="L19" s="1246">
        <f t="shared" ref="L19:L26" si="4">ROUND(IF(COUNTIF(C19,"*住宅*")&gt;0,E$29*E19/E$32,0),2)</f>
        <v>0</v>
      </c>
      <c r="M19" s="1402">
        <f>K19+L19</f>
        <v>34.409999999999997</v>
      </c>
      <c r="N19" s="2260"/>
      <c r="O19" s="2261"/>
      <c r="P19" s="1402">
        <f>N19+O19</f>
        <v>0</v>
      </c>
      <c r="R19" s="1246">
        <f t="shared" ref="R19:S26" si="5">D19+H19</f>
        <v>2745.13</v>
      </c>
      <c r="S19" s="1247">
        <f t="shared" si="5"/>
        <v>3627.92</v>
      </c>
    </row>
    <row r="20" spans="1:19">
      <c r="A20" s="2262"/>
      <c r="B20" s="50" t="s">
        <v>1955</v>
      </c>
      <c r="C20" s="2967" t="s">
        <v>3087</v>
      </c>
      <c r="D20" s="48">
        <f t="shared" ref="D20:D26" si="6">ROUND($D$3*E20/$E$3,2)</f>
        <v>4255.21</v>
      </c>
      <c r="E20" s="56">
        <f t="shared" si="1"/>
        <v>5623.62</v>
      </c>
      <c r="F20" s="57">
        <f>'数据-基础表'!I14</f>
        <v>5623.62</v>
      </c>
      <c r="G20" s="58"/>
      <c r="H20" s="722">
        <f t="shared" ref="H20:H26" si="7">ROUND($D$3*I20/$E$3,2)</f>
        <v>66.41</v>
      </c>
      <c r="I20" s="51">
        <f t="shared" si="2"/>
        <v>87.76</v>
      </c>
      <c r="J20" s="1391"/>
      <c r="K20" s="1390">
        <f t="shared" si="3"/>
        <v>53.35</v>
      </c>
      <c r="L20" s="1246">
        <f t="shared" si="4"/>
        <v>0</v>
      </c>
      <c r="M20" s="1402">
        <f t="shared" ref="M20:M26" si="8">K20+L20</f>
        <v>53.35</v>
      </c>
      <c r="N20" s="3016">
        <f>F30</f>
        <v>87.76</v>
      </c>
      <c r="O20" s="2261"/>
      <c r="P20" s="1402">
        <f t="shared" ref="P20:P26" si="9">N20+O20</f>
        <v>87.76</v>
      </c>
      <c r="R20" s="1246">
        <f t="shared" si="5"/>
        <v>4321.62</v>
      </c>
      <c r="S20" s="1247">
        <f t="shared" si="5"/>
        <v>5711.38</v>
      </c>
    </row>
    <row r="21" spans="1:19">
      <c r="A21" s="2262"/>
      <c r="B21" s="50" t="s">
        <v>1955</v>
      </c>
      <c r="C21" s="2259"/>
      <c r="D21" s="48">
        <f t="shared" si="6"/>
        <v>0</v>
      </c>
      <c r="E21" s="56">
        <f t="shared" si="1"/>
        <v>0</v>
      </c>
      <c r="F21" s="57"/>
      <c r="G21" s="58"/>
      <c r="H21" s="722">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1955</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1955</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1955</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29.25" thickBot="1">
      <c r="A27" s="2262"/>
      <c r="B27" s="48"/>
      <c r="C27" s="2265" t="s">
        <v>1956</v>
      </c>
      <c r="D27" s="1392">
        <f>SUM(D19:D26)</f>
        <v>7000.34</v>
      </c>
      <c r="E27" s="1393">
        <f>IF(SUM(E19:E26)='数据-基础表'!BA5,SUM(E19:E26),IF(F27="地上面积有误","面积有误","地下面积有误"))</f>
        <v>9251.5400000000009</v>
      </c>
      <c r="F27" s="1392">
        <f>IF(SUM(F19:F26)=E8,SUM(F19:F26),"地上面积有误")</f>
        <v>9251.5400000000009</v>
      </c>
      <c r="G27" s="1394">
        <f>SUM(G19:G26)</f>
        <v>0</v>
      </c>
      <c r="H27" s="1395">
        <f>SUM(H19:H26)</f>
        <v>66.41</v>
      </c>
      <c r="I27" s="1396">
        <f>SUM(I19:I26)</f>
        <v>87.76</v>
      </c>
      <c r="J27" s="1391"/>
      <c r="K27" s="1399">
        <f>SUM(K19:K26)</f>
        <v>87.759999999999991</v>
      </c>
      <c r="L27" s="1400">
        <f>SUM(L19:L26)</f>
        <v>0</v>
      </c>
      <c r="M27" s="1403">
        <f>SUM(M19:M26)</f>
        <v>87.759999999999991</v>
      </c>
      <c r="N27" s="1399">
        <f t="shared" ref="N27:O27" si="10">SUM(N19:N26)</f>
        <v>87.76</v>
      </c>
      <c r="O27" s="1400">
        <f t="shared" si="10"/>
        <v>0</v>
      </c>
      <c r="P27" s="1401">
        <f>SUM(P19:P26)</f>
        <v>87.76</v>
      </c>
      <c r="R27" s="1248" t="str">
        <f>IF(SUM(R19:R26)=$D$3,SUM(R19:R26),SUM(R19:R26)&amp;"误差"&amp;ROUND(SUM(R19:R26)-$D$3,2))</f>
        <v>7066.75误差0.01</v>
      </c>
      <c r="S27" s="1246">
        <f>IF(SUM(S19:S26)=$E$3,SUM(S19:S26),SUM(S19:S26)&amp;"误差"&amp;ROUND(SUM(S19:S26)-E3,2))</f>
        <v>9339.2999999999993</v>
      </c>
    </row>
    <row r="28" spans="1:19">
      <c r="A28" s="2262"/>
      <c r="B28" s="50" t="s">
        <v>1957</v>
      </c>
      <c r="C28" s="1258" t="s">
        <v>1958</v>
      </c>
      <c r="D28" s="48">
        <f>ROUND($D$3*E28/$E$3,2)</f>
        <v>66.41</v>
      </c>
      <c r="E28" s="56">
        <f>SUM(F28:G28)</f>
        <v>87.76</v>
      </c>
      <c r="F28" s="64">
        <f>'数据-基础表'!BQ5+'数据-基础表'!BS5</f>
        <v>87.76</v>
      </c>
      <c r="G28" s="65">
        <f>'数据-基础表'!BR5+'数据-基础表'!BT5</f>
        <v>0</v>
      </c>
      <c r="H28" s="1391"/>
      <c r="I28" s="1391"/>
      <c r="J28" s="1391"/>
      <c r="K28" s="1391"/>
      <c r="L28" s="1391"/>
      <c r="M28" s="1391"/>
      <c r="N28" s="1391"/>
      <c r="O28" s="1391"/>
      <c r="P28" s="1391"/>
    </row>
    <row r="29" spans="1:19">
      <c r="A29" s="2262"/>
      <c r="B29" s="50" t="s">
        <v>1957</v>
      </c>
      <c r="C29" s="2266"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1956</v>
      </c>
      <c r="D30" s="1392">
        <f>SUM(D28:D29)</f>
        <v>66.41</v>
      </c>
      <c r="E30" s="1392">
        <f>SUM(E28:E29)</f>
        <v>87.76</v>
      </c>
      <c r="F30" s="1392">
        <f>SUM(F28:F29)</f>
        <v>87.76</v>
      </c>
      <c r="G30" s="1394">
        <f>SUM(G28:G29)</f>
        <v>0</v>
      </c>
      <c r="H30" s="1391"/>
      <c r="I30" s="1391"/>
      <c r="J30" s="1391"/>
      <c r="K30" s="1391"/>
      <c r="L30" s="1391"/>
      <c r="M30" s="1391"/>
      <c r="N30" s="1391"/>
      <c r="O30" s="1391"/>
      <c r="P30" s="1391"/>
    </row>
    <row r="31" spans="1:19" ht="15.75" thickBot="1">
      <c r="A31" s="2268"/>
      <c r="B31" s="2269"/>
      <c r="C31" s="1006" t="s">
        <v>1960</v>
      </c>
      <c r="D31" s="728">
        <f>D27+D30</f>
        <v>7066.75</v>
      </c>
      <c r="E31" s="728">
        <f>E27+E30</f>
        <v>9339.3000000000011</v>
      </c>
      <c r="F31" s="729">
        <f>F27+F30</f>
        <v>9339.3000000000011</v>
      </c>
      <c r="G31" s="730">
        <f>G27+G30</f>
        <v>0</v>
      </c>
      <c r="H31" s="1391"/>
      <c r="I31" s="1391"/>
      <c r="J31" s="1391"/>
      <c r="K31" s="1391"/>
      <c r="L31" s="1391"/>
      <c r="M31" s="1391"/>
      <c r="N31" s="1391"/>
      <c r="O31" s="1391"/>
      <c r="P31" s="1391"/>
    </row>
    <row r="32" spans="1:19">
      <c r="A32" s="2232"/>
      <c r="B32" s="2232" t="s">
        <v>1961</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9" sqref="N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1963</v>
      </c>
      <c r="B2" s="1265">
        <f>项目基本情况!D3</f>
        <v>43934</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自定义</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1970</v>
      </c>
      <c r="B5" s="2289" t="s">
        <v>1971</v>
      </c>
      <c r="C5" s="2290" t="s">
        <v>1972</v>
      </c>
      <c r="D5" s="2291" t="s">
        <v>1973</v>
      </c>
      <c r="E5" s="1267" t="s">
        <v>1974</v>
      </c>
      <c r="F5" s="2292" t="s">
        <v>1975</v>
      </c>
      <c r="G5" s="1267" t="s">
        <v>1976</v>
      </c>
      <c r="H5" s="1267" t="s">
        <v>1977</v>
      </c>
      <c r="I5" s="1267" t="s">
        <v>1978</v>
      </c>
      <c r="J5" s="2293" t="s">
        <v>1979</v>
      </c>
      <c r="K5" s="2294" t="s">
        <v>1980</v>
      </c>
      <c r="L5" s="2295" t="s">
        <v>1981</v>
      </c>
      <c r="M5" s="2296" t="s">
        <v>1982</v>
      </c>
      <c r="N5" s="2297" t="s">
        <v>3071</v>
      </c>
      <c r="O5" s="2295" t="s">
        <v>1983</v>
      </c>
      <c r="P5" s="2298" t="s">
        <v>1984</v>
      </c>
      <c r="Q5" s="69" t="s">
        <v>1985</v>
      </c>
      <c r="R5" s="2299" t="s">
        <v>1986</v>
      </c>
      <c r="S5" s="2300" t="s">
        <v>1987</v>
      </c>
      <c r="T5" s="2301" t="s">
        <v>1988</v>
      </c>
      <c r="U5" s="1266" t="s">
        <v>1989</v>
      </c>
      <c r="V5" s="1267" t="s">
        <v>1990</v>
      </c>
      <c r="W5" s="1267" t="s">
        <v>1991</v>
      </c>
      <c r="X5" s="71"/>
      <c r="Y5" s="70" t="s">
        <v>1992</v>
      </c>
      <c r="Z5" s="2302" t="s">
        <v>1989</v>
      </c>
      <c r="AA5" s="1267" t="s">
        <v>1990</v>
      </c>
      <c r="AB5" s="1267" t="s">
        <v>1991</v>
      </c>
      <c r="AC5" s="71"/>
      <c r="AD5" s="71" t="s">
        <v>1992</v>
      </c>
      <c r="AE5" s="1266" t="s">
        <v>1993</v>
      </c>
      <c r="AF5" s="1267" t="s">
        <v>1994</v>
      </c>
      <c r="AG5" s="70" t="s">
        <v>1995</v>
      </c>
      <c r="AH5" s="1266" t="s">
        <v>1996</v>
      </c>
      <c r="AI5" s="2302" t="s">
        <v>1997</v>
      </c>
      <c r="AJ5" s="2302" t="s">
        <v>1998</v>
      </c>
      <c r="AK5" s="1267" t="s">
        <v>1999</v>
      </c>
      <c r="AL5" s="1267" t="s">
        <v>2000</v>
      </c>
      <c r="AM5" s="70" t="s">
        <v>2001</v>
      </c>
      <c r="AN5" s="2303" t="s">
        <v>2002</v>
      </c>
      <c r="AO5" s="2073" t="s">
        <v>2003</v>
      </c>
      <c r="AP5" s="1248" t="s">
        <v>2004</v>
      </c>
      <c r="AQ5" s="2304" t="s">
        <v>2005</v>
      </c>
      <c r="AR5" s="2304"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办公</v>
      </c>
      <c r="B6" s="2306" t="str">
        <f>IF(A6=0,"","经营性")</f>
        <v>经营性</v>
      </c>
      <c r="C6" s="2307" t="s">
        <v>6</v>
      </c>
      <c r="D6" s="1050">
        <f>SUMIF(项目基本情况!D$12:I$12,C6,项目基本情况!D$14:I$14)</f>
        <v>50</v>
      </c>
      <c r="E6" s="1047">
        <f>IF(B6="","",SUMIF(项目基本情况!D$12:I$12,C6,项目基本情况!D$13:I$13))</f>
        <v>54492</v>
      </c>
      <c r="F6" s="72">
        <f>SUMIF(项目基本情况!D$12:I$12,C6,项目基本情况!D$15:I$15)</f>
        <v>28.92</v>
      </c>
      <c r="G6" s="73">
        <f ca="1">IF(ISERROR(ROUND(POWER(1+H6,D6-F6)*(POWER(1+H6,F6)-1)/(POWER(1+H6,D6)-1),3)),0,ROUND(POWER(1+H6,D6-F6)*(POWER(1+H6,F6)-1)/(POWER(1+H6,D6)-1),3))</f>
        <v>0.82099999999999995</v>
      </c>
      <c r="H6" s="801">
        <f ca="1">基准地价修正!P28</f>
        <v>4.8000000000000001E-2</v>
      </c>
      <c r="I6" s="801">
        <v>5.5E-2</v>
      </c>
      <c r="J6" s="74">
        <v>8.5000000000000006E-2</v>
      </c>
      <c r="K6" s="1250">
        <f>SUMIF('数据-汇总表'!C$19:C$33,A6,'数据-汇总表'!E$19:E$33)</f>
        <v>3627.92</v>
      </c>
      <c r="L6" s="802">
        <v>3000</v>
      </c>
      <c r="M6" s="75">
        <f t="shared" ref="M6:M14" si="0">ROUND(K6*L6/10000,0)</f>
        <v>1088</v>
      </c>
      <c r="N6" s="800">
        <f>O18</f>
        <v>0.65500000000000003</v>
      </c>
      <c r="O6" s="75" t="str">
        <f>IF($N$5="成新度","——",ROUND(M6*N6,0))</f>
        <v>——</v>
      </c>
      <c r="P6" s="76" t="str">
        <f>IF($N$5="成新度","——",M6-O6)</f>
        <v>——</v>
      </c>
      <c r="Q6" s="803">
        <v>0.05</v>
      </c>
      <c r="R6" s="77">
        <f ca="1">SUMIF('数据-汇总表'!C$19:C$33,A6,'数据-汇总表'!R$19:R$27)</f>
        <v>2745.13</v>
      </c>
      <c r="S6" s="54">
        <f>IF('数据-汇总表'!$I$17="按面积比例",SUMIF('数据-汇总表'!C$19:C$33,A6,'数据-汇总表'!K$19:K$33),SUMIF('数据-汇总表'!C$19:C$33,A6,'数据-汇总表'!N$19:N$33))</f>
        <v>0</v>
      </c>
      <c r="T6" s="1442">
        <f>ROUND($L$14*S6/10000,0)</f>
        <v>0</v>
      </c>
      <c r="U6" s="3011">
        <v>3</v>
      </c>
      <c r="V6" s="79">
        <v>0</v>
      </c>
      <c r="W6" s="79">
        <v>0.1</v>
      </c>
      <c r="X6" s="1260"/>
      <c r="Y6" s="80">
        <f>N6</f>
        <v>0.65500000000000003</v>
      </c>
      <c r="Z6" s="81"/>
      <c r="AA6" s="74"/>
      <c r="AB6" s="74"/>
      <c r="AC6" s="1260"/>
      <c r="AD6" s="82"/>
      <c r="AE6" s="1261">
        <f ca="1">IF(AN6="",0,SUMIF(INDIRECT("'"&amp;AN6&amp;"'"&amp;"!E:E"),$AE$5,INDIRECT("'"&amp;AN6&amp;"'"&amp;"!F:F")))</f>
        <v>25</v>
      </c>
      <c r="AF6" s="1803"/>
      <c r="AG6" s="146">
        <f>IF(AF6="",0,AE6-AF6)</f>
        <v>0</v>
      </c>
      <c r="AH6" s="83"/>
      <c r="AI6" s="85">
        <v>365</v>
      </c>
      <c r="AJ6" s="86"/>
      <c r="AK6" s="87">
        <v>0.01</v>
      </c>
      <c r="AL6" s="88">
        <v>1.5E-3</v>
      </c>
      <c r="AM6" s="89">
        <v>0.01</v>
      </c>
      <c r="AN6" s="2308" t="s">
        <v>3072</v>
      </c>
      <c r="AO6" s="55">
        <f ca="1">SUMIF(INDIRECT("'"&amp;AN6&amp;"'"&amp;"!A:A"),"总价",INDIRECT("'"&amp;AN6&amp;"'"&amp;"!B:B"))</f>
        <v>3796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厂房</v>
      </c>
      <c r="B7" s="2306" t="str">
        <f t="shared" ref="B7:B13" si="1">IF(A7=0,"","经营性")</f>
        <v>经营性</v>
      </c>
      <c r="C7" s="2307" t="s">
        <v>6</v>
      </c>
      <c r="D7" s="1050">
        <f>SUMIF(项目基本情况!D$12:I$12,C7,项目基本情况!D$14:I$14)</f>
        <v>50</v>
      </c>
      <c r="E7" s="1047">
        <f>IF(B7="","",SUMIF(项目基本情况!D$12:I$12,C7,项目基本情况!D$13:I$13))</f>
        <v>54492</v>
      </c>
      <c r="F7" s="72">
        <f>SUMIF(项目基本情况!D$12:I$12,C7,项目基本情况!D$15:I$15)</f>
        <v>28.92</v>
      </c>
      <c r="G7" s="73">
        <f t="shared" ref="G7:G11" ca="1" si="2">IF(ISERROR(ROUND(POWER(1+H7,D7-F7)*(POWER(1+H7,F7)-1)/(POWER(1+H7,D7)-1),3)),0,ROUND(POWER(1+H7,D7-F7)*(POWER(1+H7,F7)-1)/(POWER(1+H7,D7)-1),3))</f>
        <v>0.82099999999999995</v>
      </c>
      <c r="H7" s="801">
        <f ca="1">H6</f>
        <v>4.8000000000000001E-2</v>
      </c>
      <c r="I7" s="801">
        <f>I6</f>
        <v>5.5E-2</v>
      </c>
      <c r="J7" s="74">
        <f>J6</f>
        <v>8.5000000000000006E-2</v>
      </c>
      <c r="K7" s="1250">
        <f>SUMIF('数据-汇总表'!C$19:C$33,A7,'数据-汇总表'!E$19:E$33)</f>
        <v>5623.62</v>
      </c>
      <c r="L7" s="802">
        <f>L6</f>
        <v>3000</v>
      </c>
      <c r="M7" s="75">
        <f t="shared" si="0"/>
        <v>1687</v>
      </c>
      <c r="N7" s="800">
        <f>O19</f>
        <v>0.69399999999999995</v>
      </c>
      <c r="O7" s="75" t="str">
        <f t="shared" ref="O7:O14" si="3">IF($N$5="成新度","——",ROUND(M7*N7,0))</f>
        <v>——</v>
      </c>
      <c r="P7" s="76" t="str">
        <f t="shared" ref="P7:P14" si="4">IF($N$5="成新度","——",M7-O7)</f>
        <v>——</v>
      </c>
      <c r="Q7" s="803">
        <v>0.05</v>
      </c>
      <c r="R7" s="77">
        <f ca="1">SUMIF('数据-汇总表'!C$19:C$33,A7,'数据-汇总表'!R$19:R$27)</f>
        <v>4321.62</v>
      </c>
      <c r="S7" s="54">
        <f>IF('数据-汇总表'!$I$17="按面积比例",SUMIF('数据-汇总表'!C$19:C$33,A7,'数据-汇总表'!K$19:K$33),SUMIF('数据-汇总表'!C$19:C$33,A7,'数据-汇总表'!N$19:N$33))</f>
        <v>87.76</v>
      </c>
      <c r="T7" s="1442">
        <f t="shared" ref="T7:T13" si="5">ROUND($L$14*S7/10000,0)</f>
        <v>26</v>
      </c>
      <c r="U7" s="3011">
        <v>3</v>
      </c>
      <c r="V7" s="79">
        <v>0</v>
      </c>
      <c r="W7" s="79">
        <f>W6</f>
        <v>0.1</v>
      </c>
      <c r="X7" s="1260"/>
      <c r="Y7" s="80">
        <f>N7</f>
        <v>0.69399999999999995</v>
      </c>
      <c r="Z7" s="81"/>
      <c r="AA7" s="74"/>
      <c r="AB7" s="74"/>
      <c r="AC7" s="1260"/>
      <c r="AD7" s="82"/>
      <c r="AE7" s="1261">
        <f t="shared" ref="AE7:AE13" ca="1" si="6">IF(AN7="",0,SUMIF(INDIRECT("'"&amp;AN7&amp;"'"&amp;"!E:E"),$AE$5,INDIRECT("'"&amp;AN7&amp;"'"&amp;"!F:F")))</f>
        <v>28.92</v>
      </c>
      <c r="AF7" s="1803"/>
      <c r="AG7" s="146">
        <f t="shared" ref="AG7:AG13" si="7">IF(AF7="",0,AE7-AF7)</f>
        <v>0</v>
      </c>
      <c r="AH7" s="83"/>
      <c r="AI7" s="85">
        <v>365</v>
      </c>
      <c r="AJ7" s="86"/>
      <c r="AK7" s="87">
        <f>AK6</f>
        <v>0.01</v>
      </c>
      <c r="AL7" s="88">
        <f>AL6</f>
        <v>1.5E-3</v>
      </c>
      <c r="AM7" s="89">
        <f>AM6</f>
        <v>0.01</v>
      </c>
      <c r="AN7" s="2308" t="s">
        <v>3073</v>
      </c>
      <c r="AO7" s="55">
        <f t="shared" ref="AO7:AO13" ca="1" si="8">SUMIF(INDIRECT("'"&amp;AN7&amp;"'"&amp;"!A:A"),"总价",INDIRECT("'"&amp;AN7&amp;"'"&amp;"!B:B"))</f>
        <v>6185</v>
      </c>
      <c r="AP7" s="2309">
        <f t="shared" ref="AP7:AP13" si="9">IF(C7="住宅",K7*L7,0)</f>
        <v>0</v>
      </c>
      <c r="AQ7" s="55">
        <f t="shared" ref="AQ7:AQ13" si="10">ROUND($L$14*$N$14*S7/10000,0)</f>
        <v>18</v>
      </c>
      <c r="AR7" s="55">
        <f t="shared" ref="AR7:AR13" si="11">ROUND($L$14*(1-$N$14)*S7/10000,0)</f>
        <v>8</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2007</v>
      </c>
      <c r="B14" s="2306" t="s">
        <v>2008</v>
      </c>
      <c r="C14" s="2311" t="s">
        <v>2007</v>
      </c>
      <c r="D14" s="1050"/>
      <c r="E14" s="1047"/>
      <c r="F14" s="72"/>
      <c r="G14" s="73"/>
      <c r="H14" s="1249"/>
      <c r="I14" s="1249"/>
      <c r="J14" s="1249"/>
      <c r="K14" s="1250">
        <f>SUMIF('数据-汇总表'!C$19:C$33,A14,'数据-汇总表'!E$19:E$33)</f>
        <v>87.76</v>
      </c>
      <c r="L14" s="3014">
        <f>L7</f>
        <v>3000</v>
      </c>
      <c r="M14" s="75">
        <f t="shared" si="0"/>
        <v>26</v>
      </c>
      <c r="N14" s="3015">
        <f>N7</f>
        <v>0.69399999999999995</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2009</v>
      </c>
      <c r="B15" s="2306" t="s">
        <v>2008</v>
      </c>
      <c r="C15" s="2311" t="s">
        <v>2010</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2011</v>
      </c>
      <c r="B16" s="97"/>
      <c r="C16" s="1004"/>
      <c r="D16" s="2313"/>
      <c r="E16" s="97"/>
      <c r="F16" s="97"/>
      <c r="G16" s="98">
        <f ca="1">ROUND(SUMPRODUCT(G6:G13,K6:K13)/SUMPRODUCT((G6:G13&gt;0)*(K6:K13)),3)</f>
        <v>0.82099999999999995</v>
      </c>
      <c r="H16" s="99">
        <f ca="1">ROUND(SUMPRODUCT(H6:H13,K6:K13)/SUMPRODUCT((H6:H13&gt;0)*(K6:K13)),3)</f>
        <v>4.8000000000000001E-2</v>
      </c>
      <c r="I16" s="100"/>
      <c r="J16" s="100"/>
      <c r="K16" s="101">
        <f>SUM(K6:K15)</f>
        <v>9339.3000000000011</v>
      </c>
      <c r="L16" s="102">
        <f>ROUND(M16*10000/SUM(K6:K14),0)</f>
        <v>2999</v>
      </c>
      <c r="M16" s="102">
        <f>SUM(M6:M14)</f>
        <v>2801</v>
      </c>
      <c r="N16" s="103">
        <f>ROUND(SUMPRODUCT(M6:M14,N6:N14)/M16,3)</f>
        <v>0.67900000000000005</v>
      </c>
      <c r="O16" s="102">
        <f>SUM(O6:O14)</f>
        <v>0</v>
      </c>
      <c r="P16" s="102">
        <f>SUM(P6:P14)</f>
        <v>0</v>
      </c>
      <c r="Q16" s="104">
        <f>ROUND(SUMPRODUCT(Q6:Q13,K6:K13)/SUMPRODUCT((Q6:Q13&gt;0)*(K6:K13)),2)</f>
        <v>0.05</v>
      </c>
      <c r="R16" s="1254">
        <f ca="1">SUM(R6:R13)</f>
        <v>7066.75</v>
      </c>
      <c r="S16" s="105">
        <f>SUM(S6:S13)</f>
        <v>87.76</v>
      </c>
      <c r="T16" s="106">
        <f>IF(SUMIF(T6:T13,"&lt;9E307")=M14,SUMIF(T6:T13,"&lt;9E307"),"有误，请检查")</f>
        <v>26</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9"/>
      <c r="C18" s="2276"/>
      <c r="D18" s="2277"/>
      <c r="E18" s="2276"/>
      <c r="F18" s="2276"/>
      <c r="G18" s="2276"/>
      <c r="H18" s="2276"/>
      <c r="I18" s="2276"/>
      <c r="J18" s="2276"/>
      <c r="K18" s="167"/>
      <c r="L18" s="167"/>
      <c r="M18" s="3010">
        <f>1-(1-2%)*(2020-1995)/50</f>
        <v>0.51</v>
      </c>
      <c r="N18" s="1580">
        <v>0.8</v>
      </c>
      <c r="O18" s="1580">
        <f>ROUND(AVERAGE(M18:N18),3)</f>
        <v>0.65500000000000003</v>
      </c>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2013</v>
      </c>
      <c r="B19" s="112">
        <v>0</v>
      </c>
      <c r="C19" s="2276" t="s">
        <v>2014</v>
      </c>
      <c r="D19" s="2277"/>
      <c r="E19" s="2276"/>
      <c r="F19" s="2276"/>
      <c r="G19" s="2276"/>
      <c r="H19" s="2276"/>
      <c r="I19" s="2276"/>
      <c r="J19" s="2276"/>
      <c r="K19" s="167"/>
      <c r="L19" s="167"/>
      <c r="M19" s="1580">
        <f>1-(1-2%)*(2020-1999)/50</f>
        <v>0.58840000000000003</v>
      </c>
      <c r="N19" s="1580">
        <v>0.8</v>
      </c>
      <c r="O19" s="1580">
        <f>ROUND(AVERAGE(M19:N19),3)</f>
        <v>0.69399999999999995</v>
      </c>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2015</v>
      </c>
      <c r="B20" s="113">
        <v>1</v>
      </c>
      <c r="C20" s="2276" t="s">
        <v>2016</v>
      </c>
      <c r="D20" s="2277"/>
      <c r="E20" s="2276"/>
      <c r="F20" s="2276"/>
      <c r="G20" s="2276"/>
      <c r="H20" s="2276"/>
      <c r="I20" s="2276"/>
      <c r="J20" s="227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2017</v>
      </c>
      <c r="B21" s="113">
        <v>1</v>
      </c>
      <c r="C21" s="2276"/>
      <c r="D21" s="2277"/>
      <c r="E21" s="2276"/>
      <c r="F21" s="2276"/>
      <c r="G21" s="2276"/>
      <c r="H21" s="2276"/>
      <c r="I21" s="2276"/>
      <c r="J21" s="227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2018</v>
      </c>
      <c r="B22" s="114">
        <f>B19+B20</f>
        <v>1</v>
      </c>
      <c r="C22" s="2276"/>
      <c r="D22" s="2277"/>
      <c r="E22" s="2276"/>
      <c r="F22" s="2276"/>
      <c r="G22" s="2276"/>
      <c r="H22" s="2276"/>
      <c r="I22" s="2276"/>
      <c r="J22" s="227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2019</v>
      </c>
      <c r="B23" s="114">
        <f>B19+B21</f>
        <v>1</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2020</v>
      </c>
      <c r="B24" s="115">
        <f>B20-B21</f>
        <v>0</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2021</v>
      </c>
      <c r="B26" s="2319" t="s">
        <v>2022</v>
      </c>
      <c r="C26" s="2320" t="s">
        <v>2023</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2024</v>
      </c>
      <c r="B27" s="116">
        <v>150</v>
      </c>
      <c r="C27" s="1763" t="s">
        <v>2025</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2026</v>
      </c>
      <c r="B28" s="119">
        <v>190</v>
      </c>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2027</v>
      </c>
      <c r="B29" s="121">
        <f>ROUND(B28*K16/10000,0)</f>
        <v>177</v>
      </c>
      <c r="C29" s="1763" t="s">
        <v>2028</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2029</v>
      </c>
      <c r="B30" s="723">
        <v>200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2030</v>
      </c>
      <c r="B31" s="120">
        <f>B30-B32</f>
        <v>200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2031</v>
      </c>
      <c r="B32" s="724">
        <v>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2032</v>
      </c>
      <c r="B33" s="725">
        <v>0.03</v>
      </c>
      <c r="C33" s="1762" t="s">
        <v>2033</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2034</v>
      </c>
      <c r="B34" s="122"/>
      <c r="C34" s="1762" t="s">
        <v>2035</v>
      </c>
      <c r="D34" s="2277" t="s">
        <v>2036</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2037</v>
      </c>
      <c r="B35" s="119">
        <v>200</v>
      </c>
      <c r="C35" s="1762" t="s">
        <v>2038</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2039</v>
      </c>
      <c r="B36" s="123">
        <v>1.4999999999999999E-2</v>
      </c>
      <c r="C36" s="1762" t="s">
        <v>2040</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2041</v>
      </c>
      <c r="B37" s="3012">
        <v>0.02</v>
      </c>
      <c r="C37" s="1762" t="s">
        <v>2042</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2043</v>
      </c>
      <c r="B38" s="3013">
        <v>0.02</v>
      </c>
      <c r="C38" s="1762" t="s">
        <v>2042</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2044</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2045</v>
      </c>
      <c r="B40" s="1299">
        <f ca="1">存贷款利率!G1</f>
        <v>4.3499999999999997E-2</v>
      </c>
      <c r="C40" s="1762" t="s">
        <v>2046</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2047</v>
      </c>
      <c r="B41" s="124">
        <f>B42+B43</f>
        <v>5.5000000000000007E-2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2048</v>
      </c>
      <c r="B42" s="125">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2049</v>
      </c>
      <c r="B43" s="126">
        <f>B42*(B44+B45+B46)+B47</f>
        <v>5.000000000000001E-3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2050</v>
      </c>
      <c r="B44" s="127">
        <v>0.05</v>
      </c>
      <c r="C44" s="1762" t="s">
        <v>2051</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2052</v>
      </c>
      <c r="B45" s="125">
        <v>0.03</v>
      </c>
      <c r="C45" s="1763" t="s">
        <v>2053</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2054</v>
      </c>
      <c r="B46" s="125">
        <v>0.02</v>
      </c>
      <c r="C46" s="1763" t="s">
        <v>2055</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2056</v>
      </c>
      <c r="B47" s="128"/>
      <c r="C47" s="1763" t="s">
        <v>2057</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2058</v>
      </c>
      <c r="B48" s="129">
        <v>0.03</v>
      </c>
      <c r="C48" s="1770" t="s">
        <v>2059</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2060</v>
      </c>
      <c r="B49" s="125">
        <v>5.0000000000000001E-4</v>
      </c>
      <c r="C49" s="1770" t="s">
        <v>2061</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2062</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2063</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2064</v>
      </c>
      <c r="B52" s="132">
        <f>SUMIF(A54:A63,B53,B54:B63)</f>
        <v>1.5</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2065</v>
      </c>
      <c r="B53" s="2335" t="s">
        <v>56</v>
      </c>
      <c r="C53" s="1426" t="s">
        <v>2066</v>
      </c>
      <c r="D53" s="2336" t="s">
        <v>2067</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2068</v>
      </c>
      <c r="B54" s="84"/>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2069</v>
      </c>
      <c r="B55" s="84"/>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2070</v>
      </c>
      <c r="B56" s="84"/>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2071</v>
      </c>
      <c r="B57" s="84"/>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2072</v>
      </c>
      <c r="B58" s="84"/>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2073</v>
      </c>
      <c r="B59" s="84">
        <v>1.5</v>
      </c>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2074</v>
      </c>
      <c r="B60" s="84"/>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2075</v>
      </c>
      <c r="B61" s="84"/>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2076</v>
      </c>
      <c r="B62" s="84"/>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2077</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109" t="s">
        <v>2078</v>
      </c>
      <c r="B1" s="3110"/>
      <c r="C1" s="3110"/>
      <c r="D1" s="3110"/>
      <c r="E1" s="3110"/>
      <c r="F1" s="3110"/>
      <c r="G1" s="311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5"/>
      <c r="G2" s="2363" t="s">
        <v>2080</v>
      </c>
      <c r="H2" s="2366"/>
      <c r="I2" s="2366"/>
      <c r="J2" s="2366"/>
      <c r="K2" s="2366"/>
      <c r="L2" s="2366"/>
      <c r="M2" s="2366"/>
      <c r="N2" s="2366"/>
      <c r="O2" s="2366"/>
      <c r="P2" s="2366"/>
      <c r="Q2" s="2366"/>
      <c r="R2" s="2366"/>
    </row>
    <row r="3" spans="1:29" ht="54">
      <c r="A3" s="414" t="s">
        <v>2081</v>
      </c>
      <c r="B3" s="1267" t="s">
        <v>2082</v>
      </c>
      <c r="C3" s="2368" t="s">
        <v>2083</v>
      </c>
      <c r="D3" s="2369"/>
      <c r="E3" s="430" t="s">
        <v>2081</v>
      </c>
      <c r="F3" s="2370" t="s">
        <v>2084</v>
      </c>
      <c r="G3" s="3358" t="s">
        <v>3183</v>
      </c>
      <c r="H3" s="2366"/>
      <c r="I3" s="2366"/>
      <c r="J3" s="2366"/>
      <c r="K3" s="2366"/>
      <c r="L3" s="2366"/>
      <c r="M3" s="2366"/>
      <c r="N3" s="2366"/>
      <c r="O3" s="2366"/>
      <c r="P3" s="2366"/>
      <c r="Q3" s="2366"/>
      <c r="R3" s="2366"/>
    </row>
    <row r="4" spans="1:29" ht="135">
      <c r="A4" s="430"/>
      <c r="B4" s="1794" t="s">
        <v>2085</v>
      </c>
      <c r="C4" s="2371" t="s">
        <v>2086</v>
      </c>
      <c r="D4" s="2369"/>
      <c r="E4" s="2372"/>
      <c r="F4" s="42" t="s">
        <v>2087</v>
      </c>
      <c r="G4" s="3359" t="s">
        <v>3184</v>
      </c>
      <c r="H4" s="2366"/>
      <c r="I4" s="2366"/>
      <c r="J4" s="2366"/>
      <c r="K4" s="2366"/>
      <c r="L4" s="2366"/>
      <c r="M4" s="2366"/>
      <c r="N4" s="2366"/>
      <c r="O4" s="2366"/>
      <c r="P4" s="2366"/>
      <c r="Q4" s="2366"/>
      <c r="R4" s="2366"/>
    </row>
    <row r="5" spans="1:29" ht="108">
      <c r="A5" s="430"/>
      <c r="B5" s="1794" t="s">
        <v>2089</v>
      </c>
      <c r="C5" s="2371" t="s">
        <v>2090</v>
      </c>
      <c r="D5" s="2369"/>
      <c r="E5" s="2372"/>
      <c r="F5" s="1794" t="s">
        <v>2091</v>
      </c>
      <c r="G5" s="3359" t="s">
        <v>3187</v>
      </c>
      <c r="H5" s="2366"/>
      <c r="I5" s="2366"/>
      <c r="J5" s="2366"/>
      <c r="K5" s="2366"/>
      <c r="L5" s="2366"/>
      <c r="M5" s="2366"/>
      <c r="N5" s="2366"/>
      <c r="O5" s="2366"/>
      <c r="P5" s="2366"/>
      <c r="Q5" s="2366"/>
      <c r="R5" s="2366"/>
    </row>
    <row r="6" spans="1:29" ht="54">
      <c r="A6" s="430"/>
      <c r="B6" s="1794" t="s">
        <v>2093</v>
      </c>
      <c r="C6" s="2373" t="s">
        <v>2088</v>
      </c>
      <c r="D6" s="2369"/>
      <c r="E6" s="2372"/>
      <c r="F6" s="1794" t="s">
        <v>2094</v>
      </c>
      <c r="G6" s="3359" t="s">
        <v>3185</v>
      </c>
      <c r="H6" s="2366"/>
      <c r="I6" s="2366"/>
      <c r="J6" s="2366"/>
      <c r="K6" s="2366"/>
      <c r="L6" s="2366"/>
      <c r="M6" s="2366"/>
      <c r="N6" s="2366"/>
      <c r="O6" s="2366"/>
      <c r="P6" s="2366"/>
      <c r="Q6" s="2366"/>
      <c r="R6" s="2366"/>
    </row>
    <row r="7" spans="1:29" ht="54.75" thickBot="1">
      <c r="A7" s="430"/>
      <c r="B7" s="1794" t="s">
        <v>2091</v>
      </c>
      <c r="C7" s="2373" t="s">
        <v>2092</v>
      </c>
      <c r="D7" s="2374"/>
      <c r="E7" s="2375"/>
      <c r="F7" s="2376" t="s">
        <v>2096</v>
      </c>
      <c r="G7" s="3360" t="s">
        <v>3186</v>
      </c>
      <c r="H7" s="2366"/>
      <c r="I7" s="2366"/>
      <c r="J7" s="2366"/>
      <c r="K7" s="2366"/>
      <c r="L7" s="2366"/>
      <c r="M7" s="2366"/>
      <c r="N7" s="2366"/>
      <c r="O7" s="2366"/>
      <c r="P7" s="2366"/>
      <c r="Q7" s="2366"/>
      <c r="R7" s="2366"/>
    </row>
    <row r="8" spans="1:29" ht="27">
      <c r="A8" s="430"/>
      <c r="B8" s="1794" t="s">
        <v>2094</v>
      </c>
      <c r="C8" s="2373" t="s">
        <v>2095</v>
      </c>
      <c r="D8" s="2374"/>
      <c r="E8" s="2374"/>
      <c r="F8" s="1132"/>
      <c r="G8" s="1132"/>
      <c r="H8" s="2366"/>
      <c r="I8" s="2366"/>
      <c r="J8" s="2366"/>
      <c r="K8" s="2366"/>
      <c r="L8" s="2366"/>
      <c r="M8" s="2366"/>
      <c r="N8" s="2366"/>
      <c r="O8" s="2366"/>
      <c r="P8" s="2366"/>
      <c r="Q8" s="2366"/>
      <c r="R8" s="2366"/>
    </row>
    <row r="9" spans="1:29" ht="27">
      <c r="A9" s="430"/>
      <c r="B9" s="1794" t="s">
        <v>2097</v>
      </c>
      <c r="C9" s="2371" t="s">
        <v>2098</v>
      </c>
      <c r="D9" s="2369"/>
      <c r="E9" s="2374"/>
      <c r="F9" s="1132"/>
      <c r="G9" s="1132"/>
      <c r="H9" s="2366"/>
      <c r="I9" s="2366"/>
      <c r="J9" s="2366"/>
      <c r="K9" s="2366"/>
      <c r="L9" s="2366"/>
      <c r="M9" s="2366"/>
      <c r="N9" s="2366"/>
      <c r="O9" s="2366"/>
      <c r="P9" s="2366"/>
      <c r="Q9" s="2366"/>
      <c r="R9" s="2366"/>
    </row>
    <row r="10" spans="1:29" s="117" customFormat="1" ht="15.75" thickBot="1">
      <c r="A10" s="2377"/>
      <c r="B10" s="2378" t="s">
        <v>2099</v>
      </c>
      <c r="C10" s="2379"/>
      <c r="D10" s="2369"/>
      <c r="E10" s="2369"/>
      <c r="F10" s="1132"/>
      <c r="G10" s="1132"/>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0"/>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0"/>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2100</v>
      </c>
      <c r="B13" s="2384"/>
      <c r="C13" s="2384"/>
      <c r="D13" s="2391"/>
      <c r="E13" s="2384"/>
      <c r="F13" s="2384"/>
      <c r="G13" s="2384"/>
    </row>
    <row r="14" spans="1:29" ht="15.75" thickBot="1">
      <c r="A14" s="2395"/>
      <c r="B14" s="2396"/>
      <c r="C14" s="2397" t="s">
        <v>2101</v>
      </c>
      <c r="D14" s="2369"/>
      <c r="E14" s="2398"/>
      <c r="F14" s="2398"/>
      <c r="G14" s="2363" t="s">
        <v>2102</v>
      </c>
    </row>
    <row r="15" spans="1:29" ht="57">
      <c r="A15" s="68" t="s">
        <v>2103</v>
      </c>
      <c r="B15" s="1266" t="s">
        <v>2082</v>
      </c>
      <c r="C15" s="2399" t="str">
        <f>C3</f>
        <v>估价对象周边居住用地比例、居住小区规模和社区发展完善程度，综合评价居住社区成熟度一般</v>
      </c>
      <c r="D15" s="2369"/>
      <c r="E15" s="2400" t="s">
        <v>2104</v>
      </c>
      <c r="F15" s="1266" t="s">
        <v>2105</v>
      </c>
      <c r="G15" s="134" t="str">
        <f>G3</f>
        <v>估价对象位于昌平区回龙观镇二拨子村北，周边有二拨子工业园、北京龙祥制版集团工业园等，产业集聚程度一般。</v>
      </c>
    </row>
    <row r="16" spans="1:29" ht="42.75">
      <c r="A16" s="644"/>
      <c r="B16" s="2401" t="s">
        <v>2085</v>
      </c>
      <c r="C16" s="2402" t="str">
        <f>C4</f>
        <v>估价对象位于XX商圈，周边商业氛围成熟，人流量大，商业繁华度好</v>
      </c>
      <c r="D16" s="2369"/>
      <c r="E16" s="2403"/>
      <c r="F16" s="2404" t="s">
        <v>2087</v>
      </c>
      <c r="G16" s="135" t="str">
        <f>G4</f>
        <v>估价对象位于昌平区回龙观镇二拨子村北，紧邻城市高速路—京藏高速路，周边路网密集度较好，行车出入便捷度较好。周边1公里范围内有345路、625路、专121路等公交线路，公交便捷度较好，周边2公里范围内有地铁8号线、13号线、昌平线。综上分析，估价对象所在区位整体交通便捷度较好。</v>
      </c>
    </row>
    <row r="17" spans="1:18" ht="42.75">
      <c r="A17" s="644"/>
      <c r="B17" s="2401" t="s">
        <v>2089</v>
      </c>
      <c r="C17" s="2402" t="str">
        <f>C5</f>
        <v>估价对象位于XX商圈，周边办公楼项目较多，入驻率高，办公集聚程度较好</v>
      </c>
      <c r="D17" s="2374"/>
      <c r="E17" s="2403"/>
      <c r="F17" s="2404" t="s">
        <v>2106</v>
      </c>
      <c r="G17" s="1568"/>
    </row>
    <row r="18" spans="1:18" ht="57">
      <c r="A18" s="644"/>
      <c r="B18" s="2404" t="s">
        <v>2093</v>
      </c>
      <c r="C18" s="135" t="str">
        <f>C6</f>
        <v>估价对象周边道路状况、公共交通通达情况、停车便捷程度，综合评价交通便捷度较好</v>
      </c>
      <c r="D18" s="2374"/>
      <c r="E18" s="2403"/>
      <c r="F18" s="2404" t="s">
        <v>2096</v>
      </c>
      <c r="G18" s="135" t="str">
        <f>G7</f>
        <v>估价对象周边自然环境较好；周边无污染型企业，绿化较好，卫生条件良好，整体环境状况较好。</v>
      </c>
    </row>
    <row r="19" spans="1:18" ht="28.5">
      <c r="A19" s="644"/>
      <c r="B19" s="2404" t="s">
        <v>2107</v>
      </c>
      <c r="C19" s="1568"/>
      <c r="D19" s="2369"/>
      <c r="E19" s="2403"/>
      <c r="F19" s="1794" t="s">
        <v>2091</v>
      </c>
      <c r="G19" s="135" t="str">
        <f>G5</f>
        <v>周边2公里内的公共服务配套设施齐备度一般，有购物场所（京客隆超市）、学校（华北电力大学、回龙观中心小学）、银行（北京农商银行、中国工商银行）、医院（回龙观社区卫生服务中心）、餐饮等公共服务配套设施。</v>
      </c>
    </row>
    <row r="20" spans="1:18" ht="28.5">
      <c r="A20" s="644"/>
      <c r="B20" s="2404" t="s">
        <v>2108</v>
      </c>
      <c r="C20" s="2402" t="str">
        <f>C9</f>
        <v>区域自然环境：；人文环境；综合评价环境状况一般</v>
      </c>
      <c r="D20" s="2374"/>
      <c r="E20" s="2403"/>
      <c r="F20" s="1794" t="s">
        <v>2109</v>
      </c>
      <c r="G20" s="135" t="str">
        <f>G6</f>
        <v>估价对象所在区域基础设施水平-七通</v>
      </c>
    </row>
    <row r="21" spans="1:18" ht="28.5">
      <c r="A21" s="644"/>
      <c r="B21" s="1794" t="s">
        <v>2091</v>
      </c>
      <c r="C21" s="135" t="str">
        <f>C7</f>
        <v>估价对象所在区域公共配套设施齐备情况</v>
      </c>
      <c r="D21" s="2369"/>
      <c r="E21" s="2403"/>
      <c r="F21" s="2404" t="s">
        <v>2110</v>
      </c>
      <c r="G21" s="2405"/>
    </row>
    <row r="22" spans="1:18" ht="13.5" customHeight="1">
      <c r="A22" s="644"/>
      <c r="B22" s="1794" t="s">
        <v>2094</v>
      </c>
      <c r="C22" s="135" t="str">
        <f>C8</f>
        <v>估价对象所在区域基础设施水平</v>
      </c>
      <c r="D22" s="2369"/>
      <c r="E22" s="2403"/>
      <c r="F22" s="2404" t="s">
        <v>2099</v>
      </c>
      <c r="G22" s="1568"/>
    </row>
    <row r="23" spans="1:18" s="2366" customFormat="1" ht="15.75" thickBot="1">
      <c r="A23" s="644"/>
      <c r="B23" s="2404" t="s">
        <v>2110</v>
      </c>
      <c r="C23" s="2405"/>
      <c r="D23" s="2392"/>
      <c r="E23" s="2406"/>
      <c r="F23" s="2407" t="s">
        <v>2111</v>
      </c>
      <c r="G23" s="2408"/>
      <c r="H23" s="2392"/>
      <c r="I23" s="2393"/>
      <c r="J23" s="2392"/>
      <c r="K23" s="2392"/>
      <c r="L23" s="2393"/>
      <c r="M23" s="2392"/>
      <c r="N23" s="2392"/>
      <c r="O23" s="2393"/>
      <c r="P23" s="2392"/>
      <c r="Q23" s="2392"/>
      <c r="R23" s="2394"/>
    </row>
    <row r="24" spans="1:18" s="2366" customFormat="1" ht="15.75" thickBot="1">
      <c r="A24" s="2409"/>
      <c r="B24" s="2407" t="s">
        <v>2112</v>
      </c>
      <c r="C24" s="136">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E25" sqref="E2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9339.3000000000011</v>
      </c>
      <c r="C1" s="1741"/>
      <c r="D1" s="1741"/>
      <c r="E1" s="1741"/>
      <c r="F1" s="1741"/>
      <c r="G1" s="1739"/>
    </row>
    <row r="2" spans="1:10" ht="16.5">
      <c r="A2" s="1742" t="s">
        <v>1348</v>
      </c>
      <c r="B2" s="1742">
        <f>SUM(C14:C23)</f>
        <v>7066.74</v>
      </c>
      <c r="C2" s="1741"/>
      <c r="D2" s="1741"/>
      <c r="E2" s="1741"/>
      <c r="F2" s="1741"/>
      <c r="G2" s="1739"/>
    </row>
    <row r="3" spans="1:10" ht="16.5">
      <c r="A3" s="1742" t="s">
        <v>1357</v>
      </c>
      <c r="B3" s="1743">
        <f>项目基本情况!D3</f>
        <v>43934</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7480</v>
      </c>
      <c r="C5" s="1742">
        <f ca="1">ROUND(B5*10000/$B$1,0)</f>
        <v>8009</v>
      </c>
      <c r="D5" s="1742">
        <f ca="1">ROUND(B5*10000/$B$2,0)</f>
        <v>10585</v>
      </c>
      <c r="E5" s="1741"/>
      <c r="F5" s="1739"/>
      <c r="G5" s="1739"/>
    </row>
    <row r="6" spans="1:10" ht="16.5">
      <c r="A6" s="1742" t="s">
        <v>1351</v>
      </c>
      <c r="B6" s="1742">
        <f ca="1">SUM(G14:G23)</f>
        <v>7480</v>
      </c>
      <c r="C6" s="1742">
        <f ca="1">ROUND(B6*10000/$B$1,0)</f>
        <v>8009</v>
      </c>
      <c r="D6" s="1742">
        <f ca="1">ROUND(B6*10000/$B$2,0)</f>
        <v>10585</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9339.3000000000011</v>
      </c>
      <c r="C14" s="1740">
        <f>结果表!C118</f>
        <v>7066.74</v>
      </c>
      <c r="D14" s="1740">
        <f ca="1">结果表!H118</f>
        <v>7480</v>
      </c>
      <c r="E14" s="1740">
        <f ca="1">ROUND(D14*10000/B14,0)</f>
        <v>8009</v>
      </c>
      <c r="F14" s="1740">
        <f ca="1">ROUND(D14*10000/C14,0)</f>
        <v>10585</v>
      </c>
      <c r="G14" s="1740">
        <f ca="1">结果表!D122</f>
        <v>7480</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98" zoomScaleNormal="100" zoomScaleSheetLayoutView="100" zoomScalePageLayoutView="80" workbookViewId="0">
      <selection activeCell="J48" sqref="J48"/>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4" t="s">
        <v>2113</v>
      </c>
      <c r="B1" s="2415"/>
      <c r="C1" s="2416"/>
      <c r="D1" s="2415"/>
      <c r="E1" s="2415"/>
      <c r="F1" s="2417" t="s">
        <v>2114</v>
      </c>
      <c r="G1" s="2069" t="s">
        <v>2115</v>
      </c>
      <c r="H1" s="2418" t="str">
        <f>IF(G1="现房","——","估价对象范围")</f>
        <v>估价对象范围</v>
      </c>
      <c r="I1" s="2419"/>
    </row>
    <row r="2" spans="1:12" ht="21.75" customHeight="1" thickBot="1">
      <c r="A2" s="3183" t="str">
        <f>项目基本情况!S2</f>
        <v>北京市出让国有建设用地使用权及在建建筑物房地产</v>
      </c>
      <c r="B2" s="3184"/>
      <c r="C2" s="3184"/>
      <c r="D2" s="3184"/>
      <c r="E2" s="3184"/>
      <c r="F2" s="3184"/>
      <c r="G2" s="3184"/>
      <c r="H2" s="3184"/>
      <c r="I2" s="3185"/>
    </row>
    <row r="3" spans="1:12" ht="12.75">
      <c r="A3" s="3186" t="s">
        <v>2116</v>
      </c>
      <c r="B3" s="3187"/>
      <c r="C3" s="3187"/>
      <c r="D3" s="3187"/>
      <c r="E3" s="3187"/>
      <c r="F3" s="3187"/>
      <c r="G3" s="3187"/>
      <c r="H3" s="3187"/>
      <c r="I3" s="3187"/>
    </row>
    <row r="4" spans="1:12" ht="14.25">
      <c r="A4" s="2422" t="s">
        <v>2117</v>
      </c>
      <c r="B4" s="2423" t="s">
        <v>2118</v>
      </c>
      <c r="C4" s="2424" t="s">
        <v>3085</v>
      </c>
      <c r="D4" s="2424" t="s">
        <v>3088</v>
      </c>
      <c r="E4" s="3167" t="s">
        <v>2119</v>
      </c>
      <c r="F4" s="3180"/>
      <c r="G4" s="3180"/>
      <c r="H4" s="3180"/>
      <c r="I4" s="316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58" t="s">
        <v>2120</v>
      </c>
      <c r="B5" s="3084">
        <v>25</v>
      </c>
      <c r="C5" s="3188"/>
      <c r="D5" s="3176"/>
      <c r="E5" s="139" t="s">
        <v>2121</v>
      </c>
      <c r="F5" s="2426"/>
      <c r="G5" s="2426"/>
      <c r="H5" s="2426"/>
      <c r="I5" s="1830"/>
    </row>
    <row r="6" spans="1:12" ht="12.75">
      <c r="A6" s="3158"/>
      <c r="B6" s="3084"/>
      <c r="C6" s="3190"/>
      <c r="D6" s="3176"/>
      <c r="E6" s="139" t="s">
        <v>2122</v>
      </c>
      <c r="F6" s="2426"/>
      <c r="G6" s="2426"/>
      <c r="H6" s="2426"/>
      <c r="I6" s="1830"/>
    </row>
    <row r="7" spans="1:12" ht="12.75">
      <c r="A7" s="3158"/>
      <c r="B7" s="3084"/>
      <c r="C7" s="3189"/>
      <c r="D7" s="3176"/>
      <c r="E7" s="139" t="s">
        <v>2123</v>
      </c>
      <c r="F7" s="2426"/>
      <c r="G7" s="2426"/>
      <c r="H7" s="2426"/>
      <c r="I7" s="1830"/>
    </row>
    <row r="8" spans="1:12" ht="12.75">
      <c r="A8" s="3158" t="s">
        <v>2124</v>
      </c>
      <c r="B8" s="3084">
        <v>15</v>
      </c>
      <c r="C8" s="3188"/>
      <c r="D8" s="3176"/>
      <c r="E8" s="139" t="s">
        <v>2125</v>
      </c>
      <c r="F8" s="2426"/>
      <c r="G8" s="2426"/>
      <c r="H8" s="2426"/>
      <c r="I8" s="1830"/>
    </row>
    <row r="9" spans="1:12" ht="12.75">
      <c r="A9" s="3158"/>
      <c r="B9" s="3084"/>
      <c r="C9" s="3189"/>
      <c r="D9" s="3176"/>
      <c r="E9" s="139" t="s">
        <v>2126</v>
      </c>
      <c r="F9" s="2426"/>
      <c r="G9" s="2426"/>
      <c r="H9" s="2426"/>
      <c r="I9" s="1830"/>
    </row>
    <row r="10" spans="1:12" ht="12.75">
      <c r="A10" s="3158" t="s">
        <v>2127</v>
      </c>
      <c r="B10" s="3084">
        <v>15</v>
      </c>
      <c r="C10" s="3188"/>
      <c r="D10" s="3176"/>
      <c r="E10" s="139" t="s">
        <v>2128</v>
      </c>
      <c r="F10" s="2426"/>
      <c r="G10" s="2426"/>
      <c r="H10" s="2426"/>
      <c r="I10" s="1830"/>
    </row>
    <row r="11" spans="1:12" ht="12.75">
      <c r="A11" s="3158"/>
      <c r="B11" s="3084"/>
      <c r="C11" s="3189"/>
      <c r="D11" s="3176"/>
      <c r="E11" s="139" t="s">
        <v>2129</v>
      </c>
      <c r="F11" s="2426"/>
      <c r="G11" s="2426"/>
      <c r="H11" s="2426"/>
      <c r="I11" s="1830"/>
    </row>
    <row r="12" spans="1:12" ht="12.75">
      <c r="A12" s="3158" t="s">
        <v>2130</v>
      </c>
      <c r="B12" s="3084">
        <v>15</v>
      </c>
      <c r="C12" s="3188"/>
      <c r="D12" s="3176"/>
      <c r="E12" s="139" t="s">
        <v>2131</v>
      </c>
      <c r="F12" s="2426"/>
      <c r="G12" s="2426"/>
      <c r="H12" s="2426"/>
      <c r="I12" s="1830"/>
    </row>
    <row r="13" spans="1:12" ht="12.75">
      <c r="A13" s="3158"/>
      <c r="B13" s="3084"/>
      <c r="C13" s="3189"/>
      <c r="D13" s="3176"/>
      <c r="E13" s="139" t="s">
        <v>2132</v>
      </c>
      <c r="F13" s="2426"/>
      <c r="G13" s="2426"/>
      <c r="H13" s="2426"/>
      <c r="I13" s="1830"/>
    </row>
    <row r="14" spans="1:12" ht="12.75">
      <c r="A14" s="3158" t="s">
        <v>2133</v>
      </c>
      <c r="B14" s="3084">
        <v>30</v>
      </c>
      <c r="C14" s="3188">
        <v>5</v>
      </c>
      <c r="D14" s="3176">
        <v>5</v>
      </c>
      <c r="E14" s="139" t="s">
        <v>2134</v>
      </c>
      <c r="F14" s="2426"/>
      <c r="G14" s="2426"/>
      <c r="H14" s="2426"/>
      <c r="I14" s="1830"/>
    </row>
    <row r="15" spans="1:12" ht="12.75">
      <c r="A15" s="3158"/>
      <c r="B15" s="3084"/>
      <c r="C15" s="3190"/>
      <c r="D15" s="3176"/>
      <c r="E15" s="139" t="s">
        <v>2135</v>
      </c>
      <c r="F15" s="2426"/>
      <c r="G15" s="2426"/>
      <c r="H15" s="2426"/>
      <c r="I15" s="1830"/>
    </row>
    <row r="16" spans="1:12" ht="12.75">
      <c r="A16" s="3158"/>
      <c r="B16" s="3084"/>
      <c r="C16" s="3189"/>
      <c r="D16" s="3176"/>
      <c r="E16" s="139" t="s">
        <v>2136</v>
      </c>
      <c r="F16" s="2426"/>
      <c r="G16" s="2426"/>
      <c r="H16" s="2426"/>
      <c r="I16" s="1830"/>
    </row>
    <row r="17" spans="1:35" ht="15">
      <c r="A17" s="2427" t="s">
        <v>2137</v>
      </c>
      <c r="B17" s="64"/>
      <c r="C17" s="140">
        <f>SUM(C5:C16)</f>
        <v>5</v>
      </c>
      <c r="D17" s="140">
        <f>SUM(D5:D16)</f>
        <v>5</v>
      </c>
      <c r="E17" s="137"/>
      <c r="F17" s="137"/>
      <c r="G17" s="137"/>
      <c r="H17" s="137"/>
      <c r="I17" s="137"/>
      <c r="K17" s="2425"/>
      <c r="L17" s="2428" t="s">
        <v>2138</v>
      </c>
      <c r="M17" s="2428" t="s">
        <v>2139</v>
      </c>
    </row>
    <row r="18" spans="1:35" ht="15.75" thickBot="1">
      <c r="A18" s="2429" t="s">
        <v>2140</v>
      </c>
      <c r="B18" s="2430"/>
      <c r="C18" s="141">
        <f>ROUND(C17/SUM(C17:D17),2)</f>
        <v>0.5</v>
      </c>
      <c r="D18" s="141">
        <f>1-C18</f>
        <v>0.5</v>
      </c>
      <c r="E18" s="137"/>
      <c r="F18" s="137"/>
      <c r="G18" s="137"/>
      <c r="H18" s="137"/>
      <c r="I18" s="137"/>
      <c r="K18" s="2425" t="s">
        <v>2141</v>
      </c>
      <c r="L18" s="2425">
        <f>IF(C1="",'数据-汇总表'!E3,SUMIF(项目类型,C1,'数据-汇总表'!E17:E26)+SUMIF(项目类型,C1,'数据-汇总表'!I17:I26))</f>
        <v>9339.3000000000011</v>
      </c>
      <c r="M18" s="2425">
        <f>IF(C1="",'数据-汇总表'!E3,SUMIF(项目类型,C1,'数据-汇总表'!E17:E26))</f>
        <v>9339.3000000000011</v>
      </c>
    </row>
    <row r="19" spans="1:35" ht="15">
      <c r="A19" s="2431" t="s">
        <v>2142</v>
      </c>
      <c r="B19" s="2432" t="s">
        <v>2143</v>
      </c>
      <c r="C19" s="142">
        <f ca="1">SUMIF(INDIRECT("'"&amp;C4&amp;"'"&amp;"!A:A"),结果表!B19,INDIRECT("'"&amp;C4&amp;"'"&amp;"!B:B"))</f>
        <v>4979</v>
      </c>
      <c r="D19" s="143">
        <f ca="1">SUMIF(INDIRECT("'"&amp;D4&amp;"'"&amp;"!A:A"),结果表!B19,INDIRECT("'"&amp;D4&amp;"'"&amp;"!B:B"))</f>
        <v>9981</v>
      </c>
      <c r="E19" s="2431" t="s">
        <v>2144</v>
      </c>
      <c r="F19" s="2432" t="s">
        <v>2143</v>
      </c>
      <c r="G19" s="144">
        <f ca="1">ROUND(C19*$C$18+D19*$D$18,0)</f>
        <v>7480</v>
      </c>
      <c r="H19" s="2433" t="s">
        <v>2145</v>
      </c>
      <c r="I19" s="137"/>
      <c r="K19" s="2425" t="s">
        <v>2146</v>
      </c>
      <c r="L19" s="2425">
        <f>IF(C1="",'数据-汇总表'!D3,SUMIF(项目类型,C1,'数据-汇总表'!D17:D26)+SUMIF(项目类型,C1,'数据-汇总表'!H17:H27))</f>
        <v>7066.74</v>
      </c>
      <c r="M19" s="2425">
        <f>IF(C1="",'数据-汇总表'!D3,SUMIF(项目类型,C1,'数据-汇总表'!D17:D26))</f>
        <v>7066.74</v>
      </c>
    </row>
    <row r="20" spans="1:35" ht="15">
      <c r="A20" s="2434"/>
      <c r="B20" s="1246" t="s">
        <v>2147</v>
      </c>
      <c r="C20" s="145">
        <f ca="1">SUMIF(INDIRECT("'"&amp;C4&amp;"'"&amp;"!A:A"),结果表!B20,INDIRECT("'"&amp;C4&amp;"'"&amp;"!B:B"))</f>
        <v>5331</v>
      </c>
      <c r="D20" s="146">
        <f ca="1">SUMIF(INDIRECT("'"&amp;D4&amp;"'"&amp;"!A:A"),结果表!B20,INDIRECT("'"&amp;D4&amp;"'"&amp;"!B:B"))</f>
        <v>10687</v>
      </c>
      <c r="E20" s="2434"/>
      <c r="F20" s="1246" t="s">
        <v>2147</v>
      </c>
      <c r="G20" s="147">
        <f ca="1">ROUND(C20*$C$18+D20*$D$18,0)</f>
        <v>8009</v>
      </c>
      <c r="H20" s="979" t="s">
        <v>2148</v>
      </c>
      <c r="I20" s="137"/>
    </row>
    <row r="21" spans="1:35" ht="15" customHeight="1" thickBot="1">
      <c r="A21" s="999"/>
      <c r="B21" s="2435" t="s">
        <v>2149</v>
      </c>
      <c r="C21" s="788">
        <f ca="1">ROUND(C19*10000/L19,0)</f>
        <v>7046</v>
      </c>
      <c r="D21" s="789">
        <f ca="1">ROUND(D19*10000/L19,0)</f>
        <v>14124</v>
      </c>
      <c r="E21" s="999"/>
      <c r="F21" s="2435" t="s">
        <v>2149</v>
      </c>
      <c r="G21" s="148">
        <f ca="1">ROUND(G19*10000/L19,0)</f>
        <v>10585</v>
      </c>
      <c r="H21" s="2436" t="s">
        <v>2148</v>
      </c>
      <c r="I21" s="137"/>
    </row>
    <row r="22" spans="1:35" ht="15" thickBot="1">
      <c r="A22" s="2280" t="s">
        <v>2150</v>
      </c>
      <c r="B22" s="2437"/>
      <c r="C22" s="2438"/>
      <c r="D22" s="790">
        <f ca="1">IF(C19&lt;D19,D19/C19-1,C19/D19-1)</f>
        <v>1.0046194014862424</v>
      </c>
      <c r="E22" s="137"/>
      <c r="F22" s="137"/>
      <c r="G22" s="137"/>
      <c r="H22" s="137"/>
      <c r="I22" s="137"/>
    </row>
    <row r="23" spans="1:35" ht="13.5" thickBot="1">
      <c r="A23" s="2415"/>
      <c r="B23" s="2415"/>
      <c r="C23" s="2415"/>
      <c r="D23" s="2415"/>
      <c r="E23" s="137"/>
      <c r="F23" s="137"/>
      <c r="G23" s="137"/>
      <c r="H23" s="137"/>
      <c r="I23" s="137"/>
    </row>
    <row r="24" spans="1:35" ht="14.25">
      <c r="A24" s="3197" t="s">
        <v>2151</v>
      </c>
      <c r="B24" s="2432" t="s">
        <v>2143</v>
      </c>
      <c r="C24" s="144">
        <f>IF(B30=0,0,D30)</f>
        <v>0</v>
      </c>
      <c r="D24" s="2439"/>
      <c r="E24" s="137"/>
      <c r="F24" s="137"/>
      <c r="G24" s="137"/>
      <c r="H24" s="137"/>
      <c r="I24" s="137"/>
    </row>
    <row r="25" spans="1:35" ht="14.25">
      <c r="A25" s="3198"/>
      <c r="B25" s="1246"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2156</v>
      </c>
      <c r="B30" s="150"/>
      <c r="C30" s="150"/>
      <c r="D30" s="150"/>
      <c r="E30" s="2914" t="s">
        <v>3032</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2157</v>
      </c>
      <c r="B32" s="2445"/>
      <c r="C32" s="152">
        <f ca="1">IF(D32="总价",G19-C24,G20-C25)</f>
        <v>7480</v>
      </c>
      <c r="D32" s="2446" t="s">
        <v>2158</v>
      </c>
      <c r="E32" s="137"/>
      <c r="F32" s="137"/>
      <c r="G32" s="137"/>
      <c r="H32" s="137"/>
      <c r="I32" s="137"/>
    </row>
    <row r="33" spans="1:15" ht="15">
      <c r="A33" s="956" t="s">
        <v>2159</v>
      </c>
      <c r="B33" s="2447"/>
      <c r="C33" s="2448" t="s">
        <v>3182</v>
      </c>
      <c r="D33" s="2449" t="s">
        <v>3085</v>
      </c>
      <c r="E33" s="2450" t="s">
        <v>2160</v>
      </c>
      <c r="F33" s="2451" t="str">
        <f>IF(D32="楼面单价","取值（单价）","取值（总价）")</f>
        <v>取值（总价）</v>
      </c>
      <c r="G33" s="137"/>
      <c r="H33" s="137"/>
      <c r="I33" s="137"/>
    </row>
    <row r="34" spans="1:15" ht="15">
      <c r="A34" s="2452"/>
      <c r="B34" s="2453" t="s">
        <v>2161</v>
      </c>
      <c r="C34" s="156">
        <f ca="1">IF(C33="自定义",F34,C32-C35)</f>
        <v>3733</v>
      </c>
      <c r="D34" s="1054">
        <f ca="1">IF(C33="自定义",ROUND(C34/C32,3),IF(C33="收益比率",SUMIF(INDIRECT("'"&amp;D33&amp;"'"&amp;"!b:b"),"土地收益比率",INDIRECT("'"&amp;D33&amp;"'"&amp;"!c:c")),SUMIF(INDIRECT("'"&amp;D33&amp;"'"&amp;"!b:b"),"土地成本比率",INDIRECT("'"&amp;D33&amp;"'"&amp;"!c:c"))))</f>
        <v>0.499</v>
      </c>
      <c r="E34" s="2454" t="s">
        <v>2162</v>
      </c>
      <c r="F34" s="1735"/>
      <c r="G34" s="137"/>
      <c r="H34" s="137"/>
      <c r="I34" s="137"/>
    </row>
    <row r="35" spans="1:15" ht="15.75" thickBot="1">
      <c r="A35" s="2455"/>
      <c r="B35" s="2456" t="s">
        <v>2163</v>
      </c>
      <c r="C35" s="1440">
        <f ca="1">IF(C33="自定义",F35,ROUND(C32*D35,0))</f>
        <v>3747</v>
      </c>
      <c r="D35" s="1441">
        <f ca="1">IF(C33="自定义",ROUND(C35/C32,3),IF(C33="收益比率",SUMIF(INDIRECT("'"&amp;D33&amp;"'"&amp;"!b:b"),"建筑物收益比率",INDIRECT("'"&amp;D33&amp;"'"&amp;"!c:c")),SUMIF(INDIRECT("'"&amp;D33&amp;"'"&amp;"!b:b"),"建筑物成本比率",INDIRECT("'"&amp;D33&amp;"'"&amp;"!c:c"))))</f>
        <v>0.501</v>
      </c>
      <c r="E35" s="2457" t="s">
        <v>2164</v>
      </c>
      <c r="F35" s="162"/>
      <c r="G35" s="137"/>
      <c r="H35" s="137"/>
      <c r="I35" s="137"/>
    </row>
    <row r="36" spans="1:15" ht="15.75" thickBot="1">
      <c r="A36" s="3177" t="s">
        <v>2165</v>
      </c>
      <c r="B36" s="2458" t="s">
        <v>2166</v>
      </c>
      <c r="C36" s="153"/>
      <c r="D36" s="2459"/>
      <c r="E36" s="2460"/>
      <c r="F36" s="2461"/>
      <c r="G36" s="137"/>
      <c r="H36" s="137"/>
      <c r="I36" s="137"/>
    </row>
    <row r="37" spans="1:15" ht="15.75" thickBot="1">
      <c r="A37" s="3178"/>
      <c r="B37" s="2266" t="s">
        <v>2167</v>
      </c>
      <c r="C37" s="155"/>
      <c r="D37" s="1391"/>
      <c r="E37" s="1391"/>
      <c r="F37" s="2461"/>
      <c r="G37" s="137"/>
      <c r="H37" s="137"/>
      <c r="I37" s="137"/>
    </row>
    <row r="38" spans="1:15" ht="15.75" thickBot="1">
      <c r="A38" s="3179"/>
      <c r="B38" s="2462" t="s">
        <v>2168</v>
      </c>
      <c r="C38" s="726"/>
      <c r="D38" s="2463" t="s">
        <v>2169</v>
      </c>
      <c r="E38" s="1391"/>
      <c r="F38" s="2461"/>
      <c r="G38" s="137"/>
      <c r="H38" s="137"/>
      <c r="I38" s="137"/>
    </row>
    <row r="39" spans="1:15" ht="15">
      <c r="A39" s="2434" t="s">
        <v>2170</v>
      </c>
      <c r="B39" s="2464" t="s">
        <v>2171</v>
      </c>
      <c r="C39" s="2465" t="s">
        <v>2172</v>
      </c>
      <c r="D39" s="2465" t="s">
        <v>2173</v>
      </c>
      <c r="E39" s="2466" t="s">
        <v>2174</v>
      </c>
      <c r="F39" s="2461"/>
      <c r="G39" s="137"/>
      <c r="H39" s="137"/>
      <c r="I39" s="137"/>
    </row>
    <row r="40" spans="1:15" ht="14.25">
      <c r="A40" s="2467" t="s">
        <v>2175</v>
      </c>
      <c r="B40" s="157"/>
      <c r="C40" s="158"/>
      <c r="D40" s="158"/>
      <c r="E40" s="159"/>
      <c r="F40" s="2461"/>
      <c r="G40" s="137"/>
      <c r="H40" s="137"/>
      <c r="I40" s="137"/>
    </row>
    <row r="41" spans="1:15" ht="14.25">
      <c r="A41" s="2467" t="s">
        <v>2176</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4"/>
      <c r="B43" s="2164"/>
      <c r="C43" s="2164"/>
      <c r="D43" s="2164"/>
      <c r="E43" s="2164"/>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194" t="s">
        <v>2179</v>
      </c>
      <c r="B45" s="3195"/>
      <c r="C45" s="3196"/>
      <c r="D45" s="163">
        <f ca="1">ROUND(H101*F45,0)</f>
        <v>7480</v>
      </c>
      <c r="E45" s="164" t="s">
        <v>2180</v>
      </c>
      <c r="F45" s="165">
        <v>1</v>
      </c>
      <c r="G45" s="166" t="s">
        <v>2181</v>
      </c>
      <c r="H45" s="137"/>
      <c r="I45" s="137"/>
      <c r="J45" s="3113" t="s">
        <v>2182</v>
      </c>
      <c r="K45" s="3113"/>
      <c r="L45" s="3113"/>
      <c r="M45" s="3113"/>
      <c r="N45" s="3113"/>
      <c r="O45" s="3113"/>
    </row>
    <row r="46" spans="1:15" ht="14.25" customHeight="1">
      <c r="A46" s="3191" t="s">
        <v>2183</v>
      </c>
      <c r="B46" s="3192"/>
      <c r="C46" s="3192"/>
      <c r="D46" s="3192"/>
      <c r="E46" s="3192"/>
      <c r="F46" s="3192"/>
      <c r="G46" s="3193"/>
      <c r="H46" s="2477"/>
      <c r="I46" s="167"/>
      <c r="J46" s="1808">
        <v>1</v>
      </c>
      <c r="K46" s="3113" t="s">
        <v>2184</v>
      </c>
      <c r="L46" s="3113"/>
      <c r="M46" s="3114"/>
      <c r="N46" s="3114"/>
      <c r="O46" s="3114"/>
    </row>
    <row r="47" spans="1:15" ht="12" customHeight="1">
      <c r="A47" s="168" t="s">
        <v>2185</v>
      </c>
      <c r="B47" s="169"/>
      <c r="C47" s="170"/>
      <c r="D47" s="171" t="s">
        <v>2186</v>
      </c>
      <c r="E47" s="24" t="s">
        <v>2187</v>
      </c>
      <c r="F47" s="172" t="s">
        <v>2188</v>
      </c>
      <c r="G47" s="173" t="s">
        <v>2189</v>
      </c>
      <c r="H47" s="2477"/>
      <c r="I47" s="167"/>
      <c r="J47" s="1808">
        <v>2</v>
      </c>
      <c r="K47" s="3113" t="s">
        <v>2190</v>
      </c>
      <c r="L47" s="3113"/>
      <c r="M47" s="3115">
        <f>'数据-取费表'!B2</f>
        <v>43934</v>
      </c>
      <c r="N47" s="3115"/>
      <c r="O47" s="3115"/>
    </row>
    <row r="48" spans="1:15" ht="25.5">
      <c r="A48" s="3181" t="s">
        <v>2191</v>
      </c>
      <c r="B48" s="3182"/>
      <c r="C48" s="3182"/>
      <c r="D48" s="139">
        <f>IF(H48="情况1",0,IF(H48="情况2",D52,IF(H48="情况3",D53,IF(H48="情况4",D54))))</f>
        <v>0</v>
      </c>
      <c r="E48" s="1797" t="str">
        <f>IF(H48="情况4","(销售额-原购置价)×税（费）率","销售额×税（费）率")</f>
        <v>销售额×税（费）率</v>
      </c>
      <c r="F48" s="174" t="str">
        <f>IF(H48="情况1","免征",'数据-取费表'!B41)</f>
        <v>免征</v>
      </c>
      <c r="G48" s="2478" t="s">
        <v>2192</v>
      </c>
      <c r="H48" s="2479" t="s">
        <v>2193</v>
      </c>
      <c r="I48" s="2477"/>
      <c r="J48" s="1808">
        <v>3</v>
      </c>
      <c r="K48" s="3113" t="s">
        <v>2194</v>
      </c>
      <c r="L48" s="3113"/>
      <c r="M48" s="3116">
        <f ca="1">H101</f>
        <v>7480</v>
      </c>
      <c r="N48" s="3116"/>
      <c r="O48" s="3116"/>
    </row>
    <row r="49" spans="1:35" ht="25.5" customHeight="1">
      <c r="A49" s="175" t="s">
        <v>2195</v>
      </c>
      <c r="B49" s="3161" t="s">
        <v>2196</v>
      </c>
      <c r="C49" s="3161"/>
      <c r="D49" s="176">
        <v>0</v>
      </c>
      <c r="E49" s="23" t="s">
        <v>2197</v>
      </c>
      <c r="F49" s="28" t="s">
        <v>34</v>
      </c>
      <c r="G49" s="3142"/>
      <c r="H49" s="137"/>
      <c r="I49" s="2480"/>
      <c r="J49" s="1808">
        <v>4</v>
      </c>
      <c r="K49" s="3113" t="str">
        <f>IF(项目基本情况!E8="房地产抵押价值","房地产抵押价值","抵押担保权已注销时的房地产抵押价值")</f>
        <v>抵押担保权已注销时的房地产抵押价值</v>
      </c>
      <c r="L49" s="3113"/>
      <c r="M49" s="3116" t="str">
        <f>IF(项目基本情况!E8="房地产抵押价值",H107,H109)</f>
        <v>——</v>
      </c>
      <c r="N49" s="3116"/>
      <c r="O49" s="3116"/>
    </row>
    <row r="50" spans="1:35" ht="25.5" customHeight="1">
      <c r="A50" s="177"/>
      <c r="B50" s="3161" t="s">
        <v>2198</v>
      </c>
      <c r="C50" s="3161"/>
      <c r="D50" s="178"/>
      <c r="E50" s="31"/>
      <c r="F50" s="179"/>
      <c r="G50" s="3143"/>
      <c r="H50" s="137"/>
      <c r="I50" s="2480"/>
      <c r="J50" s="3113" t="s">
        <v>2199</v>
      </c>
      <c r="K50" s="3113"/>
      <c r="L50" s="3113"/>
      <c r="M50" s="3113"/>
      <c r="N50" s="3113"/>
      <c r="O50" s="3113"/>
    </row>
    <row r="51" spans="1:35" ht="12" customHeight="1">
      <c r="A51" s="180"/>
      <c r="B51" s="3161" t="s">
        <v>2200</v>
      </c>
      <c r="C51" s="3161"/>
      <c r="D51" s="181"/>
      <c r="E51" s="30"/>
      <c r="F51" s="179"/>
      <c r="G51" s="3144"/>
      <c r="H51" s="137"/>
      <c r="I51" s="2480"/>
      <c r="J51" s="2481" t="s">
        <v>2201</v>
      </c>
      <c r="K51" s="3113" t="s">
        <v>2202</v>
      </c>
      <c r="L51" s="3113"/>
      <c r="M51" s="2481" t="s">
        <v>2203</v>
      </c>
      <c r="N51" s="2481" t="s">
        <v>2204</v>
      </c>
      <c r="O51" s="2481" t="s">
        <v>2205</v>
      </c>
    </row>
    <row r="52" spans="1:35" ht="24" customHeight="1">
      <c r="A52" s="182" t="s">
        <v>2206</v>
      </c>
      <c r="B52" s="3161" t="s">
        <v>2207</v>
      </c>
      <c r="C52" s="3161"/>
      <c r="D52" s="181">
        <f ca="1">ROUND(D45*'数据-取费表'!B41/(1+'数据-取费表'!C42),0)</f>
        <v>392</v>
      </c>
      <c r="E52" s="11" t="s">
        <v>2208</v>
      </c>
      <c r="F52" s="183">
        <f>'数据-取费表'!B41</f>
        <v>5.5000000000000007E-2</v>
      </c>
      <c r="G52" s="2482"/>
      <c r="H52" s="137"/>
      <c r="I52" s="2480"/>
      <c r="J52" s="1808">
        <v>1</v>
      </c>
      <c r="K52" s="3136" t="s">
        <v>2209</v>
      </c>
      <c r="L52" s="3136"/>
      <c r="M52" s="1750">
        <f>D48</f>
        <v>0</v>
      </c>
      <c r="N52" s="1808" t="str">
        <f>E48</f>
        <v>销售额×税（费）率</v>
      </c>
      <c r="O52" s="1751" t="str">
        <f>F48</f>
        <v>免征</v>
      </c>
    </row>
    <row r="53" spans="1:35" ht="12" customHeight="1">
      <c r="A53" s="182" t="s">
        <v>2210</v>
      </c>
      <c r="B53" s="3162" t="s">
        <v>2211</v>
      </c>
      <c r="C53" s="3163"/>
      <c r="D53" s="181">
        <f ca="1">ROUND(D45*'数据-取费表'!B41/(1+'数据-取费表'!C42),0)</f>
        <v>392</v>
      </c>
      <c r="E53" s="11" t="s">
        <v>2208</v>
      </c>
      <c r="F53" s="183">
        <f>'数据-取费表'!B41</f>
        <v>5.5000000000000007E-2</v>
      </c>
      <c r="G53" s="2482"/>
      <c r="H53" s="137"/>
      <c r="I53" s="2480"/>
      <c r="J53" s="1808">
        <v>2</v>
      </c>
      <c r="K53" s="3136" t="s">
        <v>2212</v>
      </c>
      <c r="L53" s="3136"/>
      <c r="M53" s="1750">
        <f t="shared" ref="M53:O54" ca="1" si="0">D55</f>
        <v>4</v>
      </c>
      <c r="N53" s="1808" t="str">
        <f t="shared" si="0"/>
        <v>销售额×税（费）率</v>
      </c>
      <c r="O53" s="1751">
        <f t="shared" si="0"/>
        <v>5.0000000000000001E-4</v>
      </c>
    </row>
    <row r="54" spans="1:35" ht="12" customHeight="1">
      <c r="A54" s="182" t="s">
        <v>2213</v>
      </c>
      <c r="B54" s="3162" t="s">
        <v>2214</v>
      </c>
      <c r="C54" s="3163"/>
      <c r="D54" s="181">
        <f ca="1">C68</f>
        <v>392</v>
      </c>
      <c r="E54" s="30" t="s">
        <v>2215</v>
      </c>
      <c r="F54" s="183">
        <f>'数据-取费表'!B41</f>
        <v>5.5000000000000007E-2</v>
      </c>
      <c r="G54" s="2482"/>
      <c r="H54" s="2483"/>
      <c r="I54" s="2480"/>
      <c r="J54" s="1808">
        <v>3</v>
      </c>
      <c r="K54" s="3136" t="s">
        <v>2216</v>
      </c>
      <c r="L54" s="3136"/>
      <c r="M54" s="1750">
        <f t="shared" ca="1" si="0"/>
        <v>4240</v>
      </c>
      <c r="N54" s="1808" t="str">
        <f t="shared" si="0"/>
        <v>增值额×税（费）率</v>
      </c>
      <c r="O54" s="1752" t="str">
        <f t="shared" si="0"/>
        <v>——</v>
      </c>
    </row>
    <row r="55" spans="1:35" ht="24" customHeight="1">
      <c r="A55" s="3200" t="s">
        <v>2217</v>
      </c>
      <c r="B55" s="3182"/>
      <c r="C55" s="3182"/>
      <c r="D55" s="184">
        <f ca="1">IF(H55="个人住宅",0,ROUND(D45*I55,0))</f>
        <v>4</v>
      </c>
      <c r="E55" s="11" t="s">
        <v>2218</v>
      </c>
      <c r="F55" s="183">
        <f>IF(H55="正常",I55,"免征")</f>
        <v>5.0000000000000001E-4</v>
      </c>
      <c r="G55" s="2482"/>
      <c r="H55" s="2479" t="s">
        <v>2219</v>
      </c>
      <c r="I55" s="185">
        <f>'数据-取费表'!B49</f>
        <v>5.0000000000000001E-4</v>
      </c>
      <c r="J55" s="1808" t="str">
        <f>IF(H59="非个人房产","",4)</f>
        <v/>
      </c>
      <c r="K55" s="3136" t="str">
        <f>IF(H59="非个人房产","——","个人所得税")</f>
        <v>——</v>
      </c>
      <c r="L55" s="3136"/>
      <c r="M55" s="1753" t="str">
        <f>D59</f>
        <v>——</v>
      </c>
      <c r="N55" s="1806" t="str">
        <f>E59</f>
        <v>——</v>
      </c>
      <c r="O55" s="1754" t="str">
        <f>F59</f>
        <v>——</v>
      </c>
    </row>
    <row r="56" spans="1:35" ht="24.75">
      <c r="A56" s="3200" t="s">
        <v>2220</v>
      </c>
      <c r="B56" s="3182"/>
      <c r="C56" s="3182"/>
      <c r="D56" s="184">
        <f ca="1">IF(H56="个人住宅",D57,D58)</f>
        <v>4240</v>
      </c>
      <c r="E56" s="11" t="s">
        <v>2221</v>
      </c>
      <c r="F56" s="183" t="str">
        <f>IF(H56="正常",F58,"免征")</f>
        <v>——</v>
      </c>
      <c r="G56" s="2484" t="s">
        <v>2222</v>
      </c>
      <c r="H56" s="2485" t="s">
        <v>2219</v>
      </c>
      <c r="I56" s="2486"/>
      <c r="J56" s="1808" t="str">
        <f>IF(项目基本情况!K6="上海银行",IF(J55="",4,J55+1),"")</f>
        <v/>
      </c>
      <c r="K56" s="3119" t="str">
        <f>IF(项目基本情况!K6="上海银行","其他处置费用","")</f>
        <v/>
      </c>
      <c r="L56" s="3120"/>
      <c r="M56" s="1750" t="str">
        <f>IF(项目基本情况!K6="上海银行",M69,"")</f>
        <v/>
      </c>
      <c r="N56" s="3122" t="str">
        <f>IF(项目基本情况!K6="上海银行","包含处置中涉及的律师、诉讼、拍卖、评估等费用","")</f>
        <v/>
      </c>
      <c r="O56" s="3123"/>
    </row>
    <row r="57" spans="1:35" ht="12.75">
      <c r="A57" s="182" t="s">
        <v>2195</v>
      </c>
      <c r="B57" s="3167" t="s">
        <v>2223</v>
      </c>
      <c r="C57" s="3168"/>
      <c r="D57" s="186">
        <v>0</v>
      </c>
      <c r="E57" s="23" t="s">
        <v>2197</v>
      </c>
      <c r="F57" s="154"/>
      <c r="G57" s="2482"/>
      <c r="H57" s="2486"/>
      <c r="I57" s="2486"/>
      <c r="J57" s="3136">
        <f>IF(AND(J55="",J56=""),4,IF(项目基本情况!K6="上海银行",结果表!J56+1,结果表!J55+1))</f>
        <v>4</v>
      </c>
      <c r="K57" s="3136" t="s">
        <v>2224</v>
      </c>
      <c r="L57" s="2487" t="s">
        <v>2225</v>
      </c>
      <c r="M57" s="1755"/>
      <c r="N57" s="1756">
        <f ca="1">SUMIF(M52:M56,"&lt;9e307")</f>
        <v>4244</v>
      </c>
      <c r="O57" s="2488"/>
      <c r="P57" s="1749" t="e">
        <f ca="1">N57/M49</f>
        <v>#VALUE!</v>
      </c>
    </row>
    <row r="58" spans="1:35" ht="24.75">
      <c r="A58" s="182" t="s">
        <v>2206</v>
      </c>
      <c r="B58" s="3167" t="s">
        <v>2226</v>
      </c>
      <c r="C58" s="3180"/>
      <c r="D58" s="184">
        <f ca="1">IF(H58="转让取得",C81,C97)</f>
        <v>4240</v>
      </c>
      <c r="E58" s="11" t="s">
        <v>2221</v>
      </c>
      <c r="F58" s="24" t="s">
        <v>34</v>
      </c>
      <c r="G58" s="2482"/>
      <c r="H58" s="2485" t="s">
        <v>2227</v>
      </c>
      <c r="I58" s="2486"/>
      <c r="J58" s="3136"/>
      <c r="K58" s="3136"/>
      <c r="L58" s="2487" t="s">
        <v>2228</v>
      </c>
      <c r="M58" s="1757"/>
      <c r="N58" s="2489" t="str">
        <f ca="1">NUMBERSTRING(INT(N57*10000),2)&amp;"元整"</f>
        <v>肆仟贰佰肆拾肆万元整</v>
      </c>
      <c r="O58" s="2490"/>
    </row>
    <row r="59" spans="1:35" ht="24.75" thickBot="1">
      <c r="A59" s="3140" t="s">
        <v>2229</v>
      </c>
      <c r="B59" s="3141"/>
      <c r="C59" s="3141"/>
      <c r="D59" s="187" t="str">
        <f>IF(H59="非个人房产","——",IF(H59="个人住宅",0,ROUND(D45*I59,0)))</f>
        <v>——</v>
      </c>
      <c r="E59" s="188" t="str">
        <f>IF(H59="非个人房产","——","销售额×税（费）率")</f>
        <v>——</v>
      </c>
      <c r="F59" s="189" t="str">
        <f>IF(H59="非个人房产","——",IF(H59="个人住宅","免征",I59))</f>
        <v>——</v>
      </c>
      <c r="G59" s="2491" t="s">
        <v>2222</v>
      </c>
      <c r="H59" s="2485" t="s">
        <v>2230</v>
      </c>
      <c r="I59" s="190">
        <v>0.01</v>
      </c>
      <c r="J59" s="3138">
        <f>J57+1</f>
        <v>5</v>
      </c>
      <c r="K59" s="3136" t="s">
        <v>2231</v>
      </c>
      <c r="L59" s="1808" t="s">
        <v>2225</v>
      </c>
      <c r="M59" s="1758"/>
      <c r="N59" s="1759" t="e">
        <f ca="1">M49-N57</f>
        <v>#VALUE!</v>
      </c>
      <c r="O59" s="2492"/>
    </row>
    <row r="60" spans="1:35" ht="12" customHeight="1">
      <c r="A60" s="2493"/>
      <c r="B60" s="2415"/>
      <c r="C60" s="2415"/>
      <c r="D60" s="2415"/>
      <c r="E60" s="2165"/>
      <c r="F60" s="2486"/>
      <c r="G60" s="2486"/>
      <c r="H60" s="2494"/>
      <c r="I60" s="137"/>
      <c r="J60" s="3139"/>
      <c r="K60" s="3136"/>
      <c r="L60" s="2487" t="s">
        <v>2228</v>
      </c>
      <c r="M60" s="1757"/>
      <c r="N60" s="2489" t="e">
        <f ca="1">NUMBERSTRING(INT(N59*10000),2)&amp;"元整"</f>
        <v>#VALUE!</v>
      </c>
      <c r="O60" s="2490"/>
    </row>
    <row r="61" spans="1:35" ht="13.5" thickBot="1">
      <c r="A61" s="3199" t="s">
        <v>2232</v>
      </c>
      <c r="B61" s="3199"/>
      <c r="C61" s="3199"/>
      <c r="D61" s="3199"/>
      <c r="E61" s="3199"/>
      <c r="F61" s="2486"/>
      <c r="G61" s="2486"/>
      <c r="H61" s="2494"/>
      <c r="I61" s="137"/>
      <c r="J61" s="1808">
        <f>J59+1</f>
        <v>6</v>
      </c>
      <c r="K61" s="3136" t="s">
        <v>2233</v>
      </c>
      <c r="L61" s="3136"/>
      <c r="M61" s="1760"/>
      <c r="N61" s="1761" t="e">
        <f ca="1">ROUND(N59*10000/'数据-汇总表'!E3,0)</f>
        <v>#VALUE!</v>
      </c>
      <c r="O61" s="2495"/>
    </row>
    <row r="62" spans="1:35" ht="12.75">
      <c r="A62" s="3156" t="s">
        <v>2234</v>
      </c>
      <c r="B62" s="3157"/>
      <c r="C62" s="1800"/>
      <c r="D62" s="1800" t="s">
        <v>2235</v>
      </c>
      <c r="E62" s="191" t="s">
        <v>2236</v>
      </c>
      <c r="F62" s="2486"/>
      <c r="G62" s="2486"/>
      <c r="H62" s="2494"/>
      <c r="I62" s="137"/>
    </row>
    <row r="63" spans="1:35" ht="12.75">
      <c r="A63" s="202" t="s">
        <v>775</v>
      </c>
      <c r="B63" s="192" t="s">
        <v>2237</v>
      </c>
      <c r="C63" s="193">
        <f ca="1">ROUND((C64+C65)/(1+'数据-取费表'!C42),0)</f>
        <v>7124</v>
      </c>
      <c r="D63" s="194"/>
      <c r="E63" s="195"/>
      <c r="F63" s="2486"/>
      <c r="G63" s="2486"/>
      <c r="H63" s="2494"/>
      <c r="I63" s="137"/>
      <c r="J63" s="3121" t="s">
        <v>2238</v>
      </c>
      <c r="K63" s="2496" t="s">
        <v>2239</v>
      </c>
      <c r="L63" s="1748" t="e">
        <f>IF(M49&gt;10000,M49*0.5%,IF(AND(M49&gt;1000,M49&lt;=10000),M49*1%,IF(AND(M49&gt;100,M49&lt;=1000),M49*3%,IF(AND(M49&gt;10,M49&lt;=100),M49*5%,M49*8%))))</f>
        <v>#VALUE!</v>
      </c>
      <c r="M63" s="24" t="e">
        <f>ROUND(L63,1)</f>
        <v>#VALUE!</v>
      </c>
      <c r="Z63" s="2420"/>
      <c r="AI63" s="2421"/>
    </row>
    <row r="64" spans="1:35" ht="14.25" customHeight="1">
      <c r="A64" s="196" t="s">
        <v>770</v>
      </c>
      <c r="B64" s="197" t="s">
        <v>2240</v>
      </c>
      <c r="C64" s="198">
        <f ca="1">D45</f>
        <v>7480</v>
      </c>
      <c r="D64" s="199" t="s">
        <v>32</v>
      </c>
      <c r="E64" s="200"/>
      <c r="F64" s="2486"/>
      <c r="G64" s="2486"/>
      <c r="H64" s="2494"/>
      <c r="I64" s="137"/>
      <c r="J64" s="3121"/>
      <c r="K64" s="2496" t="s">
        <v>2241</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2242</v>
      </c>
      <c r="Z64" s="2420"/>
      <c r="AI64" s="2421"/>
    </row>
    <row r="65" spans="1:35" ht="14.25" customHeight="1">
      <c r="A65" s="196" t="s">
        <v>771</v>
      </c>
      <c r="B65" s="197" t="s">
        <v>2243</v>
      </c>
      <c r="C65" s="201"/>
      <c r="D65" s="199"/>
      <c r="E65" s="200"/>
      <c r="F65" s="2486"/>
      <c r="G65" s="2486"/>
      <c r="H65" s="2494"/>
      <c r="I65" s="137"/>
      <c r="J65" s="3121"/>
      <c r="K65" s="2496" t="s">
        <v>2244</v>
      </c>
      <c r="L65" s="1748" t="e">
        <f>IF(M49&gt;1000,M49*0.1%,IF(AND(M49&gt;500,M49&lt;=1000),M49*0.5%,IF(AND(M49&gt;50,M49&lt;=500),M49*1%,IF(AND(M49&gt;1,M49&lt;=50),M49*1.5%))))</f>
        <v>#VALUE!</v>
      </c>
      <c r="M65" s="24" t="e">
        <f t="shared" si="1"/>
        <v>#VALUE!</v>
      </c>
      <c r="N65" s="137" t="s">
        <v>2242</v>
      </c>
      <c r="Z65" s="2420"/>
      <c r="AI65" s="2421"/>
    </row>
    <row r="66" spans="1:35" ht="14.25" customHeight="1">
      <c r="A66" s="202" t="s">
        <v>772</v>
      </c>
      <c r="B66" s="203" t="s">
        <v>2245</v>
      </c>
      <c r="C66" s="204"/>
      <c r="D66" s="205" t="s">
        <v>32</v>
      </c>
      <c r="E66" s="1772" t="s">
        <v>1366</v>
      </c>
      <c r="F66" s="2486"/>
      <c r="G66" s="2486"/>
      <c r="H66" s="2494"/>
      <c r="I66" s="137"/>
      <c r="J66" s="3121"/>
      <c r="K66" s="2496" t="s">
        <v>2246</v>
      </c>
      <c r="L66" s="1748" t="e">
        <f>M49*0.5%</f>
        <v>#VALUE!</v>
      </c>
      <c r="M66" s="24" t="e">
        <f>IF(L66&gt;0.5,0.5,ROUND(L66,0))</f>
        <v>#VALUE!</v>
      </c>
      <c r="N66" s="137" t="s">
        <v>2247</v>
      </c>
      <c r="Z66" s="2420"/>
      <c r="AI66" s="2421"/>
    </row>
    <row r="67" spans="1:35" ht="14.25" customHeight="1">
      <c r="A67" s="202" t="s">
        <v>773</v>
      </c>
      <c r="B67" s="203" t="s">
        <v>2248</v>
      </c>
      <c r="C67" s="206">
        <f ca="1">C63-C66</f>
        <v>7124</v>
      </c>
      <c r="D67" s="199" t="s">
        <v>32</v>
      </c>
      <c r="E67" s="200"/>
      <c r="F67" s="2486"/>
      <c r="G67" s="2486"/>
      <c r="H67" s="2494"/>
      <c r="I67" s="137"/>
      <c r="J67" s="3121"/>
      <c r="K67" s="2496" t="s">
        <v>2249</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7" t="s">
        <v>774</v>
      </c>
      <c r="B68" s="208" t="s">
        <v>2250</v>
      </c>
      <c r="C68" s="209">
        <f ca="1">IF(C67&lt;=0,0,ROUND(C67*D68,0))</f>
        <v>392</v>
      </c>
      <c r="D68" s="210">
        <f>'数据-取费表'!B41</f>
        <v>5.5000000000000007E-2</v>
      </c>
      <c r="E68" s="211"/>
      <c r="F68" s="2486"/>
      <c r="G68" s="2486"/>
      <c r="H68" s="2494"/>
      <c r="I68" s="137"/>
      <c r="J68" s="3121"/>
      <c r="K68" s="2496" t="s">
        <v>2251</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5"/>
      <c r="G69" s="2165"/>
      <c r="H69" s="2164"/>
      <c r="I69" s="2415"/>
      <c r="J69" s="3121"/>
      <c r="K69" s="2496" t="s">
        <v>2252</v>
      </c>
      <c r="L69" s="2502"/>
      <c r="M69" s="24" t="e">
        <f>ROUND(SUM(M63:M68),0)</f>
        <v>#VALUE!</v>
      </c>
      <c r="N69" s="1749" t="e">
        <f>M69/M49</f>
        <v>#VALUE!</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65" t="s">
        <v>2253</v>
      </c>
      <c r="B70" s="3166"/>
      <c r="C70" s="3166"/>
      <c r="D70" s="3166"/>
      <c r="E70" s="3166"/>
      <c r="F70" s="3166"/>
      <c r="G70" s="3166"/>
      <c r="H70" s="316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6" t="s">
        <v>2234</v>
      </c>
      <c r="B71" s="3157"/>
      <c r="C71" s="1800"/>
      <c r="D71" s="1800" t="s">
        <v>2235</v>
      </c>
      <c r="E71" s="212" t="s">
        <v>2236</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2254</v>
      </c>
      <c r="C72" s="206">
        <f ca="1">ROUND(D45/(1+'数据-取费表'!C42),0)</f>
        <v>7124</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2255</v>
      </c>
      <c r="C73" s="206">
        <f ca="1">C74+C78</f>
        <v>36</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2256</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2257</v>
      </c>
      <c r="C75" s="217"/>
      <c r="D75" s="199" t="s">
        <v>32</v>
      </c>
      <c r="E75" s="218" t="s">
        <v>2258</v>
      </c>
      <c r="F75" s="2508" t="s">
        <v>2259</v>
      </c>
      <c r="G75" s="218" t="s">
        <v>2260</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2261</v>
      </c>
      <c r="C76" s="199">
        <f>IF(F75="购房发票",ROUND(C75*H75*D76,0),0)</f>
        <v>0</v>
      </c>
      <c r="D76" s="221">
        <v>0.05</v>
      </c>
      <c r="E76" s="3162" t="s">
        <v>2262</v>
      </c>
      <c r="F76" s="3161"/>
      <c r="G76" s="3161"/>
      <c r="H76" s="316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10" t="s">
        <v>2265</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2266</v>
      </c>
      <c r="C78" s="224">
        <f ca="1">ROUND(D45*D78/(1+'数据-取费表'!C42),0)</f>
        <v>36</v>
      </c>
      <c r="D78" s="225">
        <f>'数据-取费表'!B43</f>
        <v>5.000000000000001E-3</v>
      </c>
      <c r="E78" s="3153" t="s">
        <v>2267</v>
      </c>
      <c r="F78" s="3154"/>
      <c r="G78" s="3154"/>
      <c r="H78" s="315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2268</v>
      </c>
      <c r="C79" s="206">
        <f ca="1">C72-C73</f>
        <v>7088</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2269</v>
      </c>
      <c r="C80" s="226">
        <f ca="1">IF(C79&lt;=0,0,C79/C73)</f>
        <v>196.88888888888889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2270</v>
      </c>
      <c r="C81" s="227">
        <f ca="1">ROUND(IF(C79&lt;=0,0,IF(C80&gt;=200%,C79*60%-C73*35%,IF(C80&gt;=100%,C79*50%-C73*15%,IF(C80&gt;=50%,C79*40%-C73*5%,IF(C80&lt;50%,C79*30%,0))))),0)</f>
        <v>4240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5" t="s">
        <v>2271</v>
      </c>
      <c r="B83" s="3166"/>
      <c r="C83" s="3166"/>
      <c r="D83" s="3166"/>
      <c r="E83" s="3166"/>
      <c r="F83" s="3166"/>
      <c r="G83" s="3166"/>
      <c r="H83" s="316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6" t="s">
        <v>2234</v>
      </c>
      <c r="B84" s="3157"/>
      <c r="C84" s="1800"/>
      <c r="D84" s="1800" t="s">
        <v>2235</v>
      </c>
      <c r="E84" s="212" t="s">
        <v>2236</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2254</v>
      </c>
      <c r="C85" s="206">
        <f ca="1">ROUND(D45/(1+'数据-取费表'!C42),0)</f>
        <v>7124</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2255</v>
      </c>
      <c r="C86" s="206">
        <f ca="1">IF(H88="仅含出让金",C87+C90+C91+C92+C93+C94,C87+C91+C92+C93+C94)</f>
        <v>36</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2272</v>
      </c>
      <c r="C87" s="224">
        <f>C88+C89</f>
        <v>0</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2273</v>
      </c>
      <c r="C88" s="235"/>
      <c r="D88" s="225"/>
      <c r="E88" s="236" t="s">
        <v>2274</v>
      </c>
      <c r="F88" s="1796"/>
      <c r="G88" s="237"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2263</v>
      </c>
      <c r="C89" s="224">
        <f>ROUND(C88*D89,0)</f>
        <v>0</v>
      </c>
      <c r="D89" s="225">
        <f>'数据-取费表'!B48+'数据-取费表'!B49</f>
        <v>3.0499999999999999E-2</v>
      </c>
      <c r="E89" s="236" t="s">
        <v>2276</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2277</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2278</v>
      </c>
      <c r="B91" s="197" t="s">
        <v>2279</v>
      </c>
      <c r="C91" s="224">
        <f>IF(H91="——",成本法!C33,I91)</f>
        <v>0</v>
      </c>
      <c r="D91" s="225"/>
      <c r="E91" s="3153" t="s">
        <v>2280</v>
      </c>
      <c r="F91" s="3154"/>
      <c r="G91" s="3154"/>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2282</v>
      </c>
      <c r="B92" s="197" t="s">
        <v>2283</v>
      </c>
      <c r="C92" s="224">
        <f>ROUND((C87+C90+C91)*D92,0)</f>
        <v>0</v>
      </c>
      <c r="D92" s="225">
        <v>0.1</v>
      </c>
      <c r="E92" s="3153" t="s">
        <v>2284</v>
      </c>
      <c r="F92" s="3154"/>
      <c r="G92" s="3154"/>
      <c r="H92" s="315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2285</v>
      </c>
      <c r="B93" s="197" t="s">
        <v>2266</v>
      </c>
      <c r="C93" s="224">
        <f ca="1">ROUND(D45*D93/(1+'数据-取费表'!C42),0)</f>
        <v>36</v>
      </c>
      <c r="D93" s="225">
        <f>'数据-取费表'!B43</f>
        <v>5.000000000000001E-3</v>
      </c>
      <c r="E93" s="3153" t="s">
        <v>2267</v>
      </c>
      <c r="F93" s="3154"/>
      <c r="G93" s="3154"/>
      <c r="H93" s="315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2286</v>
      </c>
      <c r="B94" s="197" t="s">
        <v>2287</v>
      </c>
      <c r="C94" s="235">
        <f>ROUND((C87+C90+C91)*D94,0)</f>
        <v>0</v>
      </c>
      <c r="D94" s="225">
        <v>0.2</v>
      </c>
      <c r="E94" s="3201" t="s">
        <v>2288</v>
      </c>
      <c r="F94" s="3202"/>
      <c r="G94" s="3202"/>
      <c r="H94" s="320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2268</v>
      </c>
      <c r="C95" s="206">
        <f ca="1">ROUND(C85-C86,0)</f>
        <v>7088</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2269</v>
      </c>
      <c r="C96" s="226">
        <f ca="1">IF(C95&lt;=0,0,C95/C86)</f>
        <v>196.88888888888889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2270</v>
      </c>
      <c r="C97" s="227">
        <f ca="1">ROUND(IF(C95&lt;=0,0,IF(C96&gt;=200%,C95*60%-C86*35%,IF(C96&gt;=100%,C95*50%-C86*15%,IF(C96&gt;=50%,C95*40%-C86*5%,IF(C96&lt;50%,C95*30%,0))))),0)</f>
        <v>4240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05" t="s">
        <v>2290</v>
      </c>
      <c r="B100" s="3106"/>
      <c r="C100" s="3106"/>
      <c r="D100" s="3137"/>
      <c r="E100" s="3106" t="s">
        <v>2291</v>
      </c>
      <c r="F100" s="3106"/>
      <c r="G100" s="3106"/>
      <c r="H100" s="3137"/>
      <c r="I100" s="137"/>
    </row>
    <row r="101" spans="1:35" ht="18.75" customHeight="1">
      <c r="A101" s="3145" t="s">
        <v>2292</v>
      </c>
      <c r="B101" s="3146"/>
      <c r="C101" s="735" t="str">
        <f>C4</f>
        <v>成本法</v>
      </c>
      <c r="D101" s="736" t="str">
        <f>D4</f>
        <v>收益法（汇总）</v>
      </c>
      <c r="E101" s="3117" t="s">
        <v>2293</v>
      </c>
      <c r="F101" s="3118"/>
      <c r="G101" s="2517" t="s">
        <v>2294</v>
      </c>
      <c r="H101" s="1044">
        <f ca="1">H118</f>
        <v>7480</v>
      </c>
      <c r="I101" s="137"/>
    </row>
    <row r="102" spans="1:35" ht="18.75" customHeight="1">
      <c r="A102" s="3147" t="s">
        <v>2295</v>
      </c>
      <c r="B102" s="2517" t="s">
        <v>2294</v>
      </c>
      <c r="C102" s="735">
        <f ca="1">C19</f>
        <v>4979</v>
      </c>
      <c r="D102" s="736">
        <f ca="1">D19</f>
        <v>9981</v>
      </c>
      <c r="E102" s="3117"/>
      <c r="F102" s="3118"/>
      <c r="G102" s="2517" t="s">
        <v>2296</v>
      </c>
      <c r="H102" s="370">
        <f ca="1">I118</f>
        <v>8009</v>
      </c>
      <c r="I102" s="137"/>
    </row>
    <row r="103" spans="1:35" ht="42.75" customHeight="1">
      <c r="A103" s="3147"/>
      <c r="B103" s="2517" t="s">
        <v>2296</v>
      </c>
      <c r="C103" s="737">
        <f ca="1">C20</f>
        <v>5331</v>
      </c>
      <c r="D103" s="738">
        <f ca="1">D20</f>
        <v>10687</v>
      </c>
      <c r="E103" s="3111" t="s">
        <v>2297</v>
      </c>
      <c r="F103" s="3112"/>
      <c r="G103" s="2518" t="s">
        <v>2298</v>
      </c>
      <c r="H103" s="1044">
        <f>IF(D36="正常操作",H104+H105+H106,H105+H106)</f>
        <v>0</v>
      </c>
      <c r="I103" s="137"/>
    </row>
    <row r="104" spans="1:35" ht="18.75" customHeight="1">
      <c r="A104" s="3147" t="s">
        <v>2299</v>
      </c>
      <c r="B104" s="2519" t="s">
        <v>2294</v>
      </c>
      <c r="C104" s="739">
        <f ca="1">H118</f>
        <v>7480</v>
      </c>
      <c r="D104" s="740"/>
      <c r="E104" s="2266" t="s">
        <v>2300</v>
      </c>
      <c r="F104" s="2257"/>
      <c r="G104" s="2518" t="s">
        <v>2298</v>
      </c>
      <c r="H104" s="1045">
        <f>IF(D36="同一抵押权人同一抵押物续贷",C36&amp;"（未扣减，详见特别提示）",C36)</f>
        <v>0</v>
      </c>
      <c r="I104" s="137"/>
    </row>
    <row r="105" spans="1:35" ht="18.75" customHeight="1" thickBot="1">
      <c r="A105" s="3159"/>
      <c r="B105" s="2520" t="s">
        <v>2296</v>
      </c>
      <c r="C105" s="741">
        <f ca="1">I118</f>
        <v>8009</v>
      </c>
      <c r="D105" s="742"/>
      <c r="E105" s="2266" t="s">
        <v>2301</v>
      </c>
      <c r="F105" s="2257"/>
      <c r="G105" s="2518" t="s">
        <v>2298</v>
      </c>
      <c r="H105" s="1045">
        <f>C37</f>
        <v>0</v>
      </c>
      <c r="I105" s="137"/>
    </row>
    <row r="106" spans="1:35" ht="18.75" customHeight="1">
      <c r="A106" s="2415" t="s">
        <v>2302</v>
      </c>
      <c r="B106" s="2415"/>
      <c r="C106" s="2415"/>
      <c r="D106" s="2415"/>
      <c r="E106" s="2521" t="s">
        <v>2303</v>
      </c>
      <c r="F106" s="2257"/>
      <c r="G106" s="2518" t="s">
        <v>2298</v>
      </c>
      <c r="H106" s="1045">
        <f>C38</f>
        <v>0</v>
      </c>
      <c r="I106" s="137"/>
    </row>
    <row r="107" spans="1:35" ht="18.75" customHeight="1">
      <c r="A107" s="137"/>
      <c r="B107" s="137"/>
      <c r="C107" s="137"/>
      <c r="D107" s="137"/>
      <c r="E107" s="3148" t="str">
        <f>IF(项目基本情况!E8="已注销","——","3.房地产抵押价值")</f>
        <v>3.房地产抵押价值</v>
      </c>
      <c r="F107" s="3118"/>
      <c r="G107" s="2517" t="s">
        <v>2294</v>
      </c>
      <c r="H107" s="1044">
        <f ca="1">IF(E107="——","——",H101-H103)</f>
        <v>7480</v>
      </c>
      <c r="I107" s="137"/>
    </row>
    <row r="108" spans="1:35" ht="18.75" customHeight="1">
      <c r="A108" s="137"/>
      <c r="B108" s="137"/>
      <c r="C108" s="137"/>
      <c r="D108" s="137"/>
      <c r="E108" s="3148"/>
      <c r="F108" s="3118"/>
      <c r="G108" s="2517" t="s">
        <v>2296</v>
      </c>
      <c r="H108" s="370">
        <f ca="1">ROUND(H107*10000/'数据-汇总表'!E3,0)</f>
        <v>8009</v>
      </c>
      <c r="I108" s="137"/>
    </row>
    <row r="109" spans="1:35" ht="18.75" customHeight="1">
      <c r="A109" s="137"/>
      <c r="B109" s="137"/>
      <c r="C109" s="137"/>
      <c r="D109" s="137"/>
      <c r="E109" s="3148" t="str">
        <f>IF(项目基本情况!E8="已注销及未注销","4.抵押担保权已注销时的房地产抵押价值",IF(项目基本情况!E8="已注销","3.抵押担保权已注销时的房地产抵押价值","——"))</f>
        <v>——</v>
      </c>
      <c r="F109" s="3118"/>
      <c r="G109" s="2517" t="s">
        <v>2294</v>
      </c>
      <c r="H109" s="347" t="str">
        <f>IF(E109="——","——",H101-H105-H106)</f>
        <v>——</v>
      </c>
      <c r="I109" s="137"/>
    </row>
    <row r="110" spans="1:35" ht="18.75" customHeight="1">
      <c r="A110" s="137"/>
      <c r="B110" s="137"/>
      <c r="C110" s="137"/>
      <c r="D110" s="137"/>
      <c r="E110" s="3148"/>
      <c r="F110" s="3118"/>
      <c r="G110" s="2517" t="s">
        <v>2296</v>
      </c>
      <c r="H110" s="370" t="str">
        <f>IF(H109="——","——",ROUND(H109*10000/'数据-汇总表'!E3,0))</f>
        <v>——</v>
      </c>
      <c r="I110" s="137"/>
    </row>
    <row r="111" spans="1:35" ht="18.75" customHeight="1">
      <c r="A111" s="137"/>
      <c r="B111" s="137"/>
      <c r="C111" s="137"/>
      <c r="D111" s="137"/>
      <c r="E111" s="3149" t="str">
        <f>IF(项目基本情况!E9="抵押净值",IF(OR(项目基本情况!E8="已注销",项目基本情况!E8="房地产抵押价值"),"4.抵押净值","5.抵押净值"),"——")</f>
        <v>——</v>
      </c>
      <c r="F111" s="3150"/>
      <c r="G111" s="2517" t="s">
        <v>2294</v>
      </c>
      <c r="H111" s="1044" t="str">
        <f>IF(E111="——","——",N59)</f>
        <v>——</v>
      </c>
      <c r="I111" s="137"/>
    </row>
    <row r="112" spans="1:35" ht="18.75" customHeight="1" thickBot="1">
      <c r="A112" s="137"/>
      <c r="B112" s="137"/>
      <c r="C112" s="137"/>
      <c r="D112" s="137"/>
      <c r="E112" s="3151"/>
      <c r="F112" s="3152"/>
      <c r="G112" s="2522" t="s">
        <v>2296</v>
      </c>
      <c r="H112" s="789" t="str">
        <f>IF(E111="——","——",N61)</f>
        <v>——</v>
      </c>
      <c r="I112" s="137"/>
    </row>
    <row r="113" spans="1:11" ht="18.75" customHeight="1">
      <c r="A113" s="137"/>
      <c r="B113" s="137"/>
      <c r="C113" s="137"/>
      <c r="D113" s="137"/>
      <c r="E113" s="3160" t="s">
        <v>2302</v>
      </c>
      <c r="F113" s="3160"/>
      <c r="G113" s="3160"/>
      <c r="H113" s="3160"/>
      <c r="I113" s="137"/>
    </row>
    <row r="114" spans="1:11" ht="3.75" customHeight="1">
      <c r="A114" s="2415"/>
      <c r="B114" s="2415"/>
      <c r="C114" s="2415"/>
      <c r="D114" s="2415"/>
      <c r="E114" s="2493"/>
      <c r="F114" s="2493"/>
      <c r="G114" s="2493"/>
      <c r="H114" s="2493"/>
      <c r="I114" s="2415"/>
    </row>
    <row r="115" spans="1:11" ht="18.75" customHeight="1">
      <c r="A115" s="3173" t="s">
        <v>2304</v>
      </c>
      <c r="B115" s="3174"/>
      <c r="C115" s="3174"/>
      <c r="D115" s="3174"/>
      <c r="E115" s="3174"/>
      <c r="F115" s="3174"/>
      <c r="G115" s="3174"/>
      <c r="H115" s="3174"/>
      <c r="I115" s="3175"/>
    </row>
    <row r="116" spans="1:11" ht="27" customHeight="1">
      <c r="A116" s="3084" t="s">
        <v>2305</v>
      </c>
      <c r="B116" s="3127" t="s">
        <v>2306</v>
      </c>
      <c r="C116" s="3127" t="s">
        <v>2307</v>
      </c>
      <c r="D116" s="3133" t="s">
        <v>2308</v>
      </c>
      <c r="E116" s="3134"/>
      <c r="F116" s="3169" t="s">
        <v>2309</v>
      </c>
      <c r="G116" s="3169"/>
      <c r="H116" s="3084" t="s">
        <v>2310</v>
      </c>
      <c r="I116" s="3084"/>
    </row>
    <row r="117" spans="1:11" ht="18.75" customHeight="1">
      <c r="A117" s="3084"/>
      <c r="B117" s="3128"/>
      <c r="C117" s="3128"/>
      <c r="D117" s="1794" t="s">
        <v>2311</v>
      </c>
      <c r="E117" s="1794" t="s">
        <v>2312</v>
      </c>
      <c r="F117" s="1794" t="s">
        <v>2311</v>
      </c>
      <c r="G117" s="1794" t="s">
        <v>2313</v>
      </c>
      <c r="H117" s="1794" t="s">
        <v>2311</v>
      </c>
      <c r="I117" s="1794" t="s">
        <v>2313</v>
      </c>
    </row>
    <row r="118" spans="1:11" ht="24.75" customHeight="1">
      <c r="A118" s="2523" t="str">
        <f>项目基本情况!S2</f>
        <v>北京市出让国有建设用地使用权及在建建筑物房地产</v>
      </c>
      <c r="B118" s="1794">
        <f>M18</f>
        <v>9339.3000000000011</v>
      </c>
      <c r="C118" s="1794">
        <f>M19</f>
        <v>7066.74</v>
      </c>
      <c r="D118" s="1794">
        <f ca="1">ROUND(IF(D32="总价",C34,E118*B118/10000),0)</f>
        <v>3733</v>
      </c>
      <c r="E118" s="1794">
        <f ca="1">ROUND(IF(C33="自定义",IF(D32="楼面单价",C34,D118*10000/B118),I118-G118),0)</f>
        <v>3997</v>
      </c>
      <c r="F118" s="1794">
        <f ca="1">ROUND(IF(D32="总价",C35,G118*B118/10000),0)</f>
        <v>3747</v>
      </c>
      <c r="G118" s="1794">
        <f ca="1">ROUND(IF(D32="楼面单价",C35,F118*10000/B118),0)</f>
        <v>4012</v>
      </c>
      <c r="H118" s="1794">
        <f ca="1">ROUND(IF(D32="总价",C32,I118*B118/10000),0)</f>
        <v>7480</v>
      </c>
      <c r="I118" s="1794">
        <f ca="1">ROUND(IF(D32="楼面单价",C32,H118*10000/B118),0)</f>
        <v>8009</v>
      </c>
    </row>
    <row r="119" spans="1:11" ht="18.75" customHeight="1">
      <c r="A119" s="3084" t="s">
        <v>2314</v>
      </c>
      <c r="B119" s="3084"/>
      <c r="C119" s="3084"/>
      <c r="D119" s="3129" t="str">
        <f ca="1">NUMBERSTRING(INT(D118*10000),2)&amp;"元整"</f>
        <v>叁仟柒佰叁拾叁万元整</v>
      </c>
      <c r="E119" s="3130"/>
      <c r="F119" s="3129" t="str">
        <f ca="1">NUMBERSTRING(INT(F118*10000),2)&amp;"元整"</f>
        <v>叁仟柒佰肆拾柒万元整</v>
      </c>
      <c r="G119" s="3130"/>
      <c r="H119" s="3129" t="str">
        <f ca="1">NUMBERSTRING(INT(H118*10000),2)&amp;"元整"</f>
        <v>柒仟肆佰捌拾万元整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0" t="str">
        <f>IF(D120=0,"故，本次评估不存在"&amp;A120,"故，本次评估"&amp;A120&amp;"为人民币"&amp;D120&amp;"万元整。")</f>
        <v>故，本次评估不存在估价师知悉的法定优先受偿款</v>
      </c>
    </row>
    <row r="121" spans="1:11" ht="18.75" customHeight="1">
      <c r="A121" s="3170" t="s">
        <v>2314</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7480</v>
      </c>
      <c r="E122" s="3125"/>
      <c r="F122" s="3125"/>
      <c r="G122" s="3125"/>
      <c r="H122" s="3125"/>
      <c r="I122" s="3126"/>
    </row>
    <row r="123" spans="1:11" ht="18.75" customHeight="1">
      <c r="A123" s="3084" t="s">
        <v>2314</v>
      </c>
      <c r="B123" s="3084"/>
      <c r="C123" s="3084"/>
      <c r="D123" s="3129" t="str">
        <f ca="1">NUMBERSTRING(INT(D122*10000),2)&amp;"元整"</f>
        <v>柒仟肆佰捌拾万元整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4" t="s">
        <v>2314</v>
      </c>
      <c r="B125" s="3084"/>
      <c r="C125" s="3084"/>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4" t="s">
        <v>2314</v>
      </c>
      <c r="B127" s="3084"/>
      <c r="C127" s="3084"/>
      <c r="D127" s="3129" t="e">
        <f>NUMBERSTRING(INT(D126*10000),2)&amp;"元整"</f>
        <v>#VALUE!</v>
      </c>
      <c r="E127" s="3131"/>
      <c r="F127" s="3131"/>
      <c r="G127" s="3131"/>
      <c r="H127" s="3131"/>
      <c r="I127" s="3130"/>
    </row>
    <row r="128" spans="1:11" ht="21.75" customHeight="1">
      <c r="A128" s="3132" t="s">
        <v>2315</v>
      </c>
      <c r="B128" s="3132"/>
      <c r="C128" s="3132"/>
      <c r="D128" s="3132"/>
      <c r="E128" s="3132"/>
      <c r="F128" s="3132"/>
      <c r="G128" s="3132"/>
      <c r="H128" s="3132"/>
      <c r="I128" s="3132"/>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2318</v>
      </c>
      <c r="G135" s="2541"/>
      <c r="H135" s="2541"/>
      <c r="I135" s="2542" t="s">
        <v>2319</v>
      </c>
    </row>
    <row r="136" spans="1:35" ht="21.75" customHeight="1">
      <c r="A136" s="794"/>
      <c r="B136" s="2543"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2321</v>
      </c>
    </row>
    <row r="139" spans="1:35" ht="21.75" customHeight="1">
      <c r="A139" s="794"/>
      <c r="B139" s="2543" t="s">
        <v>2322</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2321</v>
      </c>
    </row>
    <row r="142" spans="1:35" ht="21.75" customHeight="1">
      <c r="A142" s="794"/>
      <c r="B142" s="2543"/>
      <c r="C142" s="2544"/>
      <c r="D142" s="2545"/>
      <c r="E142" s="2545"/>
      <c r="F142" s="2340"/>
      <c r="G142" s="794"/>
      <c r="H142" s="794"/>
      <c r="I142" s="794"/>
    </row>
    <row r="143" spans="1:35" s="138" customFormat="1" ht="21.75" customHeight="1">
      <c r="A143" s="794"/>
      <c r="B143" s="2543"/>
      <c r="C143" s="2544"/>
      <c r="D143" s="2545"/>
      <c r="E143" s="2545"/>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35"/>
      <c r="C1" s="2552" t="s">
        <v>2425</v>
      </c>
      <c r="D1" s="241"/>
      <c r="E1" s="241"/>
      <c r="F1" s="241"/>
      <c r="G1" s="1378">
        <f>MATCH(B1,'数据-取费表'!A6:A16,0)+5</f>
        <v>8</v>
      </c>
      <c r="H1" s="1281" t="str">
        <f>IF(ISERROR(FIND("住宅",B1)),"非住宅","住宅")</f>
        <v>非住宅</v>
      </c>
    </row>
    <row r="2" spans="1:8" s="243" customFormat="1" ht="18" customHeight="1">
      <c r="A2" s="244" t="s">
        <v>2324</v>
      </c>
      <c r="B2" s="245">
        <f ca="1">ROUND(IF(D2="——",C52/10000,C52/10000-E2),0)</f>
        <v>2935</v>
      </c>
      <c r="C2" s="242" t="s">
        <v>2325</v>
      </c>
      <c r="D2" s="2546" t="s">
        <v>70</v>
      </c>
      <c r="E2" s="1439" t="e">
        <f ca="1">SUMIF(INDIRECT("'"&amp;G2&amp;"'"&amp;"!A:A"),"承租人权益价值",INDIRECT("'"&amp;G2&amp;"'"&amp;"!c:c"))</f>
        <v>#REF!</v>
      </c>
      <c r="F2" s="2547" t="s">
        <v>2325</v>
      </c>
      <c r="G2" s="2548"/>
    </row>
    <row r="3" spans="1:8" s="243" customFormat="1" ht="18" customHeight="1" thickBot="1">
      <c r="A3" s="246" t="s">
        <v>2326</v>
      </c>
      <c r="B3" s="247">
        <f ca="1">ROUND(B2*10000/(IF(B1="",'数据-汇总表'!E3,INDIRECT("'数据-取费表'!k"&amp;$G$1))),0)</f>
        <v>3143</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1774467</v>
      </c>
      <c r="D5" s="254" t="s">
        <v>2331</v>
      </c>
      <c r="E5" s="255" t="s">
        <v>2332</v>
      </c>
      <c r="F5" s="255" t="s">
        <v>2333</v>
      </c>
      <c r="G5" s="256"/>
    </row>
    <row r="6" spans="1:8" s="257" customFormat="1" ht="13.5" customHeight="1">
      <c r="A6" s="948" t="s">
        <v>2334</v>
      </c>
      <c r="B6" s="258" t="s">
        <v>2335</v>
      </c>
      <c r="C6" s="259"/>
      <c r="D6" s="260"/>
      <c r="E6" s="261"/>
      <c r="F6" s="261"/>
      <c r="G6" s="262"/>
    </row>
    <row r="7" spans="1:8" s="257" customFormat="1" ht="13.5" customHeight="1">
      <c r="A7" s="948" t="s">
        <v>2336</v>
      </c>
      <c r="B7" s="258" t="s">
        <v>2337</v>
      </c>
      <c r="C7" s="263">
        <f>ROUND(C6*F7,0)</f>
        <v>0</v>
      </c>
      <c r="D7" s="263"/>
      <c r="E7" s="261"/>
      <c r="F7" s="264">
        <f>IF(项目基本情况!B8="出让",0,'数据-取费表'!B48+'数据-取费表'!B49)</f>
        <v>3.0499999999999999E-2</v>
      </c>
      <c r="G7" s="262"/>
    </row>
    <row r="8" spans="1:8" s="266" customFormat="1">
      <c r="A8" s="948" t="s">
        <v>2338</v>
      </c>
      <c r="B8" s="258" t="s">
        <v>2339</v>
      </c>
      <c r="C8" s="263">
        <f ca="1">IF(G8="已包含在土地购买价格中",0,C9+C10)</f>
        <v>1774467</v>
      </c>
      <c r="D8" s="265"/>
      <c r="E8" s="263"/>
      <c r="F8" s="264"/>
      <c r="G8" s="2549"/>
    </row>
    <row r="9" spans="1:8" s="257" customFormat="1" ht="13.5" customHeight="1">
      <c r="A9" s="949" t="s">
        <v>800</v>
      </c>
      <c r="B9" s="267" t="s">
        <v>2340</v>
      </c>
      <c r="C9" s="268">
        <f ca="1">ROUND(D9*E9,0)</f>
        <v>0</v>
      </c>
      <c r="D9" s="1031">
        <f ca="1">IF(B1="",'数据-汇总表'!E5,IF(INDIRECT("'数据-取费表'!c"&amp;$G$1)="住宅",INDIRECT("'数据-取费表'!k"&amp;$G$1),0))</f>
        <v>0</v>
      </c>
      <c r="E9" s="268">
        <f>'数据-取费表'!B27</f>
        <v>150</v>
      </c>
      <c r="F9" s="264"/>
      <c r="G9" s="269"/>
    </row>
    <row r="10" spans="1:8" s="257" customFormat="1" ht="13.5" customHeight="1">
      <c r="A10" s="949" t="s">
        <v>801</v>
      </c>
      <c r="B10" s="267" t="s">
        <v>2342</v>
      </c>
      <c r="C10" s="268">
        <f ca="1">ROUND(D10*E10,0)</f>
        <v>1774467</v>
      </c>
      <c r="D10" s="1031">
        <f ca="1">IF(B1="",'数据-汇总表'!E6,IF(INDIRECT("'数据-取费表'!c"&amp;$G$1)="住宅",INDIRECT("'数据-取费表'!s"&amp;$G$1),INDIRECT("'数据-取费表'!k"&amp;$G$1)+INDIRECT("'数据-取费表'!s"&amp;$G$1)))</f>
        <v>9339.3000000000011</v>
      </c>
      <c r="E10" s="268">
        <f>'数据-取费表'!B28</f>
        <v>190</v>
      </c>
      <c r="F10" s="264"/>
      <c r="G10" s="269"/>
    </row>
    <row r="11" spans="1:8" s="257" customFormat="1" ht="13.5" hidden="1" customHeight="1">
      <c r="A11" s="270" t="s">
        <v>7</v>
      </c>
      <c r="B11" s="258" t="s">
        <v>2343</v>
      </c>
      <c r="C11" s="254"/>
      <c r="D11" s="1033"/>
      <c r="E11" s="261"/>
      <c r="F11" s="261"/>
      <c r="G11" s="262"/>
    </row>
    <row r="12" spans="1:8" s="257" customFormat="1" ht="13.5" hidden="1" customHeight="1">
      <c r="A12" s="270" t="s">
        <v>8</v>
      </c>
      <c r="B12" s="258" t="s">
        <v>2426</v>
      </c>
      <c r="C12" s="254">
        <v>0</v>
      </c>
      <c r="D12" s="1033"/>
      <c r="E12" s="271"/>
      <c r="F12" s="264">
        <v>3.0499999999999999E-2</v>
      </c>
      <c r="G12" s="262"/>
    </row>
    <row r="13" spans="1:8" s="257" customFormat="1" ht="13.5" hidden="1" customHeight="1">
      <c r="A13" s="270" t="s">
        <v>9</v>
      </c>
      <c r="B13" s="258" t="s">
        <v>2427</v>
      </c>
      <c r="C13" s="254"/>
      <c r="D13" s="1033"/>
      <c r="E13" s="261"/>
      <c r="F13" s="261"/>
      <c r="G13" s="262"/>
    </row>
    <row r="14" spans="1:8" s="257" customFormat="1" ht="13.5" hidden="1" customHeight="1">
      <c r="A14" s="270" t="s">
        <v>10</v>
      </c>
      <c r="B14" s="258" t="s">
        <v>2339</v>
      </c>
      <c r="C14" s="254"/>
      <c r="D14" s="1033"/>
      <c r="E14" s="261"/>
      <c r="F14" s="261"/>
      <c r="G14" s="262" t="s">
        <v>2428</v>
      </c>
    </row>
    <row r="15" spans="1:8" s="257" customFormat="1" ht="13.5" hidden="1" customHeight="1">
      <c r="A15" s="270" t="s">
        <v>11</v>
      </c>
      <c r="B15" s="258" t="s">
        <v>2429</v>
      </c>
      <c r="C15" s="263"/>
      <c r="D15" s="1033"/>
      <c r="E15" s="261"/>
      <c r="F15" s="261"/>
      <c r="G15" s="262" t="s">
        <v>2430</v>
      </c>
    </row>
    <row r="16" spans="1:8" s="257" customFormat="1" ht="13.5" hidden="1" customHeight="1">
      <c r="A16" s="270" t="s">
        <v>12</v>
      </c>
      <c r="B16" s="258" t="s">
        <v>2339</v>
      </c>
      <c r="C16" s="263"/>
      <c r="D16" s="1033"/>
      <c r="E16" s="261"/>
      <c r="F16" s="261"/>
      <c r="G16" s="262"/>
    </row>
    <row r="17" spans="1:7" s="257" customFormat="1" ht="13.5" hidden="1" customHeight="1">
      <c r="A17" s="270" t="s">
        <v>13</v>
      </c>
      <c r="B17" s="258" t="s">
        <v>2431</v>
      </c>
      <c r="C17" s="272"/>
      <c r="D17" s="1034"/>
      <c r="E17" s="272"/>
      <c r="F17" s="272"/>
      <c r="G17" s="262" t="s">
        <v>2430</v>
      </c>
    </row>
    <row r="18" spans="1:7" s="257" customFormat="1" ht="13.5" hidden="1" customHeight="1">
      <c r="A18" s="270" t="s">
        <v>14</v>
      </c>
      <c r="B18" s="258" t="s">
        <v>2432</v>
      </c>
      <c r="C18" s="263">
        <v>0</v>
      </c>
      <c r="D18" s="1033"/>
      <c r="E18" s="261"/>
      <c r="F18" s="264">
        <v>3.0499999999999999E-2</v>
      </c>
      <c r="G18" s="262" t="s">
        <v>2433</v>
      </c>
    </row>
    <row r="19" spans="1:7" s="266" customFormat="1" ht="13.5" customHeight="1">
      <c r="A19" s="298" t="s">
        <v>2434</v>
      </c>
      <c r="B19" s="253" t="s">
        <v>2435</v>
      </c>
      <c r="C19" s="254">
        <f ca="1">IF(G19="已包含在土地取得成本中","0",ROUND(D19*E19,0))</f>
        <v>1867860</v>
      </c>
      <c r="D19" s="1035">
        <f ca="1">D9+D10</f>
        <v>9339.3000000000011</v>
      </c>
      <c r="E19" s="254">
        <f>'数据-取费表'!B31</f>
        <v>200</v>
      </c>
      <c r="F19" s="274"/>
      <c r="G19" s="2549"/>
    </row>
    <row r="20" spans="1:7" s="257" customFormat="1" ht="13.5" customHeight="1">
      <c r="A20" s="298" t="s">
        <v>2436</v>
      </c>
      <c r="B20" s="253" t="s">
        <v>2437</v>
      </c>
      <c r="C20" s="275">
        <f ca="1">ROUND((C5+C19)*F20,0)</f>
        <v>72847</v>
      </c>
      <c r="D20" s="275"/>
      <c r="E20" s="275"/>
      <c r="F20" s="276">
        <f>'数据-取费表'!B37</f>
        <v>0.02</v>
      </c>
      <c r="G20" s="277" t="s">
        <v>2438</v>
      </c>
    </row>
    <row r="21" spans="1:7" s="257" customFormat="1" ht="13.5" customHeight="1">
      <c r="A21" s="298" t="s">
        <v>2439</v>
      </c>
      <c r="B21" s="253" t="s">
        <v>2440</v>
      </c>
      <c r="C21" s="278">
        <f>F21</f>
        <v>0.02</v>
      </c>
      <c r="D21" s="279" t="s">
        <v>2441</v>
      </c>
      <c r="E21" s="275"/>
      <c r="F21" s="276">
        <f>'数据-取费表'!B38</f>
        <v>0.02</v>
      </c>
      <c r="G21" s="277" t="s">
        <v>2442</v>
      </c>
    </row>
    <row r="22" spans="1:7" s="257" customFormat="1" ht="13.5" customHeight="1">
      <c r="A22" s="298" t="s">
        <v>2443</v>
      </c>
      <c r="B22" s="253" t="s">
        <v>2444</v>
      </c>
      <c r="C22" s="1379">
        <f ca="1">ROUND(SUM(C23:C25),0)</f>
        <v>160025</v>
      </c>
      <c r="D22" s="278">
        <f ca="1">C26</f>
        <v>4.0000000000000002E-4</v>
      </c>
      <c r="E22" s="279" t="s">
        <v>2441</v>
      </c>
      <c r="F22" s="280">
        <f ca="1">'数据-取费表'!B40</f>
        <v>4.3499999999999997E-2</v>
      </c>
      <c r="G22" s="277" t="str">
        <f>IF('数据-取费表'!B22&lt;=1,"单利计息","复利计息")</f>
        <v>单利计息</v>
      </c>
    </row>
    <row r="23" spans="1:7" s="257" customFormat="1" ht="13.5" customHeight="1">
      <c r="A23" s="950" t="s">
        <v>2334</v>
      </c>
      <c r="B23" s="258" t="s">
        <v>2445</v>
      </c>
      <c r="C23" s="1380">
        <f ca="1">ROUND(IF('数据-取费表'!B22&lt;=1,C5*F22*'数据-取费表'!B22,C5*(POWER((1+F22),'数据-取费表'!B22)-1)),0)</f>
        <v>77189</v>
      </c>
      <c r="D23" s="281"/>
      <c r="E23" s="281"/>
      <c r="F23" s="282"/>
      <c r="G23" s="283" t="s">
        <v>2446</v>
      </c>
    </row>
    <row r="24" spans="1:7" s="257" customFormat="1" ht="13.5" customHeight="1">
      <c r="A24" s="950" t="s">
        <v>2336</v>
      </c>
      <c r="B24" s="258" t="s">
        <v>2447</v>
      </c>
      <c r="C24" s="1380">
        <f ca="1">ROUND(IF('数据-取费表'!B22&lt;=1,C19*F22*('数据-取费表'!B19/2+'数据-取费表'!B20),C19*(POWER((1+F22),('数据-取费表'!B19/2+'数据-取费表'!B20))-1)),0)</f>
        <v>81252</v>
      </c>
      <c r="D24" s="281"/>
      <c r="E24" s="281"/>
      <c r="F24" s="282"/>
      <c r="G24" s="283" t="s">
        <v>2448</v>
      </c>
    </row>
    <row r="25" spans="1:7" s="257" customFormat="1" ht="24">
      <c r="A25" s="950" t="s">
        <v>2338</v>
      </c>
      <c r="B25" s="258" t="s">
        <v>2449</v>
      </c>
      <c r="C25" s="1380">
        <f ca="1">ROUND(IF('数据-取费表'!B22&lt;=1,C20*F22*'数据-取费表'!B22/2,C20*(POWER((1+F22),'数据-取费表'!B22/2)-1)),0)</f>
        <v>1584</v>
      </c>
      <c r="D25" s="281"/>
      <c r="E25" s="284"/>
      <c r="F25" s="282"/>
      <c r="G25" s="285" t="s">
        <v>2450</v>
      </c>
    </row>
    <row r="26" spans="1:7" s="257" customFormat="1">
      <c r="A26" s="950" t="s">
        <v>795</v>
      </c>
      <c r="B26" s="258" t="s">
        <v>2373</v>
      </c>
      <c r="C26" s="281">
        <f ca="1">ROUND(IF('数据-取费表'!B22&lt;=1,F21*F22*'数据-取费表'!B22/2,F21*(POWER((1+F22),'数据-取费表'!B22/2)-1)),4)</f>
        <v>4.0000000000000002E-4</v>
      </c>
      <c r="D26" s="281"/>
      <c r="E26" s="284"/>
      <c r="F26" s="282"/>
      <c r="G26" s="286"/>
    </row>
    <row r="27" spans="1:7" s="257" customFormat="1" ht="24.75">
      <c r="A27" s="298" t="s">
        <v>2374</v>
      </c>
      <c r="B27" s="287" t="s">
        <v>2375</v>
      </c>
      <c r="C27" s="288">
        <f ca="1">C28</f>
        <v>185759</v>
      </c>
      <c r="D27" s="278">
        <f ca="1">C29</f>
        <v>1E-3</v>
      </c>
      <c r="E27" s="279" t="s">
        <v>2376</v>
      </c>
      <c r="F27" s="289">
        <f ca="1">IF(B1="",'数据-取费表'!Q16,INDIRECT("'数据-取费表'!q"&amp;$G$1))</f>
        <v>0.05</v>
      </c>
      <c r="G27" s="290" t="s">
        <v>2377</v>
      </c>
    </row>
    <row r="28" spans="1:7" s="257" customFormat="1" ht="13.5" customHeight="1">
      <c r="A28" s="950" t="s">
        <v>791</v>
      </c>
      <c r="B28" s="291" t="s">
        <v>2378</v>
      </c>
      <c r="C28" s="292">
        <f ca="1">ROUND((C5+C19+C20)*F27,0)</f>
        <v>185759</v>
      </c>
      <c r="D28" s="278"/>
      <c r="E28" s="279"/>
      <c r="F28" s="289"/>
      <c r="G28" s="290"/>
    </row>
    <row r="29" spans="1:7" s="257" customFormat="1" ht="13.5" customHeight="1">
      <c r="A29" s="950" t="s">
        <v>792</v>
      </c>
      <c r="B29" s="291" t="s">
        <v>2379</v>
      </c>
      <c r="C29" s="281">
        <f ca="1">ROUND(C21*F27,4)</f>
        <v>1E-3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4384537</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31146566</v>
      </c>
      <c r="D33" s="275"/>
      <c r="E33" s="255"/>
      <c r="F33" s="284"/>
      <c r="G33" s="277"/>
    </row>
    <row r="34" spans="1:7" s="301" customFormat="1" ht="13.5" customHeight="1">
      <c r="A34" s="950" t="s">
        <v>791</v>
      </c>
      <c r="B34" s="258" t="s">
        <v>2387</v>
      </c>
      <c r="C34" s="263">
        <f ca="1">ROUND(IF(B1="",SUMPRODUCT('数据-取费表'!K6:K14,'数据-取费表'!L6:L14),INDIRECT("'数据-取费表'!l"&amp;$G$1)*INDIRECT("'数据-取费表'!k"&amp;$G$1)+'数据-取费表'!L14*INDIRECT("'数据-取费表'!S"&amp;$G$1)),0)</f>
        <v>28017900</v>
      </c>
      <c r="D34" s="260"/>
      <c r="E34" s="263"/>
      <c r="F34" s="300"/>
      <c r="G34" s="262"/>
    </row>
    <row r="35" spans="1:7" ht="13.5" customHeight="1">
      <c r="A35" s="950" t="s">
        <v>796</v>
      </c>
      <c r="B35" s="258" t="s">
        <v>2389</v>
      </c>
      <c r="C35" s="263">
        <f ca="1">ROUND(C34*F35,0)</f>
        <v>840537</v>
      </c>
      <c r="D35" s="263"/>
      <c r="E35" s="263"/>
      <c r="F35" s="302">
        <f>'数据-取费表'!B33</f>
        <v>0.03</v>
      </c>
      <c r="G35" s="262" t="s">
        <v>2390</v>
      </c>
    </row>
    <row r="36" spans="1:7" ht="24">
      <c r="A36" s="950" t="s">
        <v>797</v>
      </c>
      <c r="B36" s="258" t="s">
        <v>2391</v>
      </c>
      <c r="C36" s="263">
        <f ca="1">ROUND(IF(B1="",SUM('数据-取费表'!AP6:AP13)*F36,IF(INDIRECT("'数据-取费表'!c"&amp;$G$1)="住宅",INDIRECT("'数据-取费表'!k"&amp;$G$1)*INDIRECT("'数据-取费表'!l"&amp;$G$1)*F36,0)),0)</f>
        <v>0</v>
      </c>
      <c r="D36" s="263"/>
      <c r="E36" s="263"/>
      <c r="F36" s="302">
        <f>'数据-取费表'!B34</f>
        <v>0</v>
      </c>
      <c r="G36" s="303" t="s">
        <v>2392</v>
      </c>
    </row>
    <row r="37" spans="1:7" s="301" customFormat="1" ht="13.5" customHeight="1">
      <c r="A37" s="950" t="s">
        <v>798</v>
      </c>
      <c r="B37" s="258" t="s">
        <v>2393</v>
      </c>
      <c r="C37" s="292">
        <f ca="1">ROUND(E37*D37,0)</f>
        <v>1867860</v>
      </c>
      <c r="D37" s="260">
        <f ca="1">D19</f>
        <v>9339.3000000000011</v>
      </c>
      <c r="E37" s="292">
        <f>'数据-取费表'!B35</f>
        <v>200</v>
      </c>
      <c r="F37" s="302"/>
      <c r="G37" s="304"/>
    </row>
    <row r="38" spans="1:7" ht="13.5" customHeight="1">
      <c r="A38" s="950" t="s">
        <v>799</v>
      </c>
      <c r="B38" s="258" t="s">
        <v>2395</v>
      </c>
      <c r="C38" s="263">
        <f ca="1">ROUND(C34*F38,0)</f>
        <v>420269</v>
      </c>
      <c r="D38" s="263"/>
      <c r="E38" s="263"/>
      <c r="F38" s="302">
        <f>'数据-取费表'!B36</f>
        <v>1.4999999999999999E-2</v>
      </c>
      <c r="G38" s="262" t="s">
        <v>2390</v>
      </c>
    </row>
    <row r="39" spans="1:7" s="257" customFormat="1" ht="13.5" customHeight="1">
      <c r="A39" s="298" t="s">
        <v>2396</v>
      </c>
      <c r="B39" s="253" t="s">
        <v>2397</v>
      </c>
      <c r="C39" s="275">
        <f ca="1">ROUND(C33*F20,0)</f>
        <v>622931</v>
      </c>
      <c r="D39" s="275"/>
      <c r="E39" s="275"/>
      <c r="F39" s="276"/>
      <c r="G39" s="277" t="s">
        <v>2398</v>
      </c>
    </row>
    <row r="40" spans="1:7" s="257" customFormat="1" ht="13.5" customHeight="1">
      <c r="A40" s="298" t="s">
        <v>2399</v>
      </c>
      <c r="B40" s="253" t="s">
        <v>2400</v>
      </c>
      <c r="C40" s="1727">
        <f>F21</f>
        <v>0.02</v>
      </c>
      <c r="D40" s="279" t="s">
        <v>2401</v>
      </c>
      <c r="E40" s="275"/>
      <c r="F40" s="276"/>
      <c r="G40" s="277" t="s">
        <v>2402</v>
      </c>
    </row>
    <row r="41" spans="1:7" s="257" customFormat="1" ht="13.5" customHeight="1">
      <c r="A41" s="298" t="s">
        <v>2403</v>
      </c>
      <c r="B41" s="253" t="s">
        <v>2404</v>
      </c>
      <c r="C41" s="275">
        <f ca="1">ROUND(SUM(C42:C43),0)</f>
        <v>690987</v>
      </c>
      <c r="D41" s="278">
        <f ca="1">C44</f>
        <v>4.0000000000000002E-4</v>
      </c>
      <c r="E41" s="279" t="s">
        <v>2401</v>
      </c>
      <c r="F41" s="280"/>
      <c r="G41" s="277" t="str">
        <f>IF('数据-取费表'!B22&lt;=1,"单利计息","复利计息")</f>
        <v>单利计息</v>
      </c>
    </row>
    <row r="42" spans="1:7" ht="13.5" customHeight="1">
      <c r="A42" s="950" t="s">
        <v>791</v>
      </c>
      <c r="B42" s="258" t="s">
        <v>2405</v>
      </c>
      <c r="C42" s="281">
        <f ca="1">ROUND(IF('数据-取费表'!B22&lt;=1,C33*F22*'数据-取费表'!B20/2,C33*(POWER((1+F22),'数据-取费表'!B20/2)-1)),0)</f>
        <v>677438</v>
      </c>
      <c r="D42" s="281"/>
      <c r="E42" s="281"/>
      <c r="F42" s="282"/>
      <c r="G42" s="3204" t="s">
        <v>2453</v>
      </c>
    </row>
    <row r="43" spans="1:7" ht="13.5" customHeight="1">
      <c r="A43" s="950" t="s">
        <v>792</v>
      </c>
      <c r="B43" s="258" t="s">
        <v>2407</v>
      </c>
      <c r="C43" s="281">
        <f ca="1">ROUND(IF('数据-取费表'!B22&lt;=1,C39*F22*'数据-取费表'!B20/2,C39*(POWER((1+F22),'数据-取费表'!B20/2)-1)),0)</f>
        <v>13549</v>
      </c>
      <c r="D43" s="281"/>
      <c r="E43" s="281"/>
      <c r="F43" s="282"/>
      <c r="G43" s="3205"/>
    </row>
    <row r="44" spans="1:7" ht="13.5" customHeight="1">
      <c r="A44" s="950" t="s">
        <v>793</v>
      </c>
      <c r="B44" s="258" t="s">
        <v>2408</v>
      </c>
      <c r="C44" s="281">
        <f ca="1">ROUND(IF('数据-取费表'!B22&lt;=1,C40*F22*'数据-取费表'!B20/2,C40*(POWER((1+F22),'数据-取费表'!B20/2)-1)),4)</f>
        <v>4.0000000000000002E-4</v>
      </c>
      <c r="D44" s="281"/>
      <c r="E44" s="281"/>
      <c r="F44" s="282"/>
      <c r="G44" s="3206"/>
    </row>
    <row r="45" spans="1:7" s="257" customFormat="1" ht="13.5" customHeight="1">
      <c r="A45" s="298" t="s">
        <v>2409</v>
      </c>
      <c r="B45" s="287" t="s">
        <v>2375</v>
      </c>
      <c r="C45" s="288">
        <f ca="1">C46</f>
        <v>1588475</v>
      </c>
      <c r="D45" s="278">
        <f ca="1">C47</f>
        <v>1E-3</v>
      </c>
      <c r="E45" s="279" t="s">
        <v>2401</v>
      </c>
      <c r="F45" s="289"/>
      <c r="G45" s="290" t="s">
        <v>2410</v>
      </c>
    </row>
    <row r="46" spans="1:7" s="257" customFormat="1" ht="13.5" customHeight="1">
      <c r="A46" s="950" t="s">
        <v>791</v>
      </c>
      <c r="B46" s="291" t="s">
        <v>2411</v>
      </c>
      <c r="C46" s="292">
        <f ca="1">ROUND((C33+C39)*F27,0)</f>
        <v>1588475</v>
      </c>
      <c r="D46" s="306"/>
      <c r="E46" s="279"/>
      <c r="F46" s="289"/>
      <c r="G46" s="290"/>
    </row>
    <row r="47" spans="1:7" s="257" customFormat="1" ht="13.5" customHeight="1">
      <c r="A47" s="950" t="s">
        <v>792</v>
      </c>
      <c r="B47" s="291" t="s">
        <v>2412</v>
      </c>
      <c r="C47" s="281">
        <f ca="1">ROUND(C40*F27,4)</f>
        <v>1E-3</v>
      </c>
      <c r="D47" s="306"/>
      <c r="E47" s="279"/>
      <c r="F47" s="289"/>
      <c r="G47" s="290"/>
    </row>
    <row r="48" spans="1:7" s="257" customFormat="1" ht="13.5" customHeight="1">
      <c r="A48" s="298" t="s">
        <v>2374</v>
      </c>
      <c r="B48" s="253" t="s">
        <v>2413</v>
      </c>
      <c r="C48" s="305">
        <f>ROUND(F30/(1+'数据-取费表'!C42),4)</f>
        <v>5.2400000000000002E-2</v>
      </c>
      <c r="D48" s="279" t="s">
        <v>2401</v>
      </c>
      <c r="E48" s="275"/>
      <c r="F48" s="280"/>
      <c r="G48" s="277" t="s">
        <v>2414</v>
      </c>
    </row>
    <row r="49" spans="1:7" ht="16.5" customHeight="1">
      <c r="A49" s="298" t="s">
        <v>2380</v>
      </c>
      <c r="B49" s="253" t="s">
        <v>2454</v>
      </c>
      <c r="C49" s="275">
        <f ca="1">ROUND((C33+C39+C41+C45)/(1-C40-D41-D45-C48),0)</f>
        <v>36761994</v>
      </c>
      <c r="D49" s="275"/>
      <c r="E49" s="275"/>
      <c r="F49" s="307"/>
      <c r="G49" s="277" t="s">
        <v>2416</v>
      </c>
    </row>
    <row r="50" spans="1:7" s="301" customFormat="1">
      <c r="A50" s="298" t="s">
        <v>2417</v>
      </c>
      <c r="B50" s="253" t="s">
        <v>2418</v>
      </c>
      <c r="C50" s="275"/>
      <c r="D50" s="275"/>
      <c r="E50" s="275"/>
      <c r="F50" s="307">
        <f>IF('数据-取费表'!B24=0,'数据-取费表'!N16,1)</f>
        <v>0.67900000000000005</v>
      </c>
      <c r="G50" s="290"/>
    </row>
    <row r="51" spans="1:7" ht="16.5" customHeight="1">
      <c r="A51" s="298" t="s">
        <v>2420</v>
      </c>
      <c r="B51" s="253" t="s">
        <v>2455</v>
      </c>
      <c r="C51" s="275">
        <f ca="1">ROUND(C49*F50,0)</f>
        <v>24961394</v>
      </c>
      <c r="D51" s="275"/>
      <c r="E51" s="275"/>
      <c r="F51" s="307"/>
      <c r="G51" s="277" t="s">
        <v>2422</v>
      </c>
    </row>
    <row r="52" spans="1:7" s="251" customFormat="1" ht="16.5" thickBot="1">
      <c r="A52" s="308" t="s">
        <v>2423</v>
      </c>
      <c r="B52" s="309"/>
      <c r="C52" s="310">
        <f ca="1">C31+C51</f>
        <v>29345931</v>
      </c>
      <c r="D52" s="309"/>
      <c r="E52" s="309"/>
      <c r="F52" s="309"/>
      <c r="G52" s="311"/>
    </row>
    <row r="55" spans="1:7" ht="15">
      <c r="B55" s="313" t="s">
        <v>2424</v>
      </c>
      <c r="C55" s="314"/>
    </row>
    <row r="56" spans="1:7">
      <c r="B56" s="316" t="s">
        <v>1507</v>
      </c>
      <c r="C56" s="318">
        <f ca="1">1-C57</f>
        <v>0.14900000000000002</v>
      </c>
    </row>
    <row r="57" spans="1:7">
      <c r="B57" s="316" t="s">
        <v>1508</v>
      </c>
      <c r="C57" s="317">
        <f ca="1">ROUND(C51/C52,3)</f>
        <v>0.85099999999999998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8" t="str">
        <f>项目基本情况!B1</f>
        <v>北京市出让国有建设用地使用权及在建建筑物预评估</v>
      </c>
      <c r="C37" s="3018"/>
      <c r="D37" s="3018"/>
      <c r="E37" s="3018"/>
      <c r="F37" s="3018"/>
      <c r="G37" s="3018"/>
      <c r="H37" s="3018"/>
      <c r="I37" s="3018"/>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2456</v>
      </c>
      <c r="B1" s="1580"/>
      <c r="C1" s="1581"/>
      <c r="D1" s="1579"/>
      <c r="E1" s="319"/>
      <c r="F1" s="319"/>
      <c r="G1" s="1580"/>
      <c r="H1" s="319"/>
      <c r="I1" s="319"/>
      <c r="J1" s="319"/>
      <c r="K1" s="319">
        <f>MATCH(C1,'数据-取费表'!A6:A16,0)+5</f>
        <v>8</v>
      </c>
    </row>
    <row r="2" spans="1:33" ht="18" customHeight="1">
      <c r="A2" s="244" t="s">
        <v>2324</v>
      </c>
      <c r="B2" s="247">
        <f ca="1">C32</f>
        <v>0</v>
      </c>
      <c r="C2" s="319" t="s">
        <v>2457</v>
      </c>
      <c r="D2" s="319"/>
      <c r="E2" s="319"/>
      <c r="F2" s="319"/>
      <c r="G2" s="319"/>
      <c r="H2" s="319"/>
      <c r="I2" s="319"/>
      <c r="J2" s="319"/>
      <c r="K2" s="319"/>
    </row>
    <row r="3" spans="1:33" ht="18" customHeight="1" thickBot="1">
      <c r="A3" s="246" t="s">
        <v>2326</v>
      </c>
      <c r="B3" s="247">
        <f ca="1">ROUND(B2*10000/IF(C1="",'数据-汇总表'!E3,INDIRECT("'数据-取费表'!K"&amp;$K$1)),0)</f>
        <v>0</v>
      </c>
      <c r="C3" s="319" t="s">
        <v>2458</v>
      </c>
      <c r="D3" s="319"/>
      <c r="E3" s="319"/>
      <c r="F3" s="319"/>
      <c r="G3" s="319"/>
      <c r="H3" s="319"/>
      <c r="I3" s="319"/>
      <c r="J3" s="319"/>
      <c r="K3" s="319"/>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53" t="s">
        <v>2462</v>
      </c>
      <c r="D5" s="2553" t="s">
        <v>2463</v>
      </c>
      <c r="E5" s="2553" t="s">
        <v>2464</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2468</v>
      </c>
      <c r="B8" s="176"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1329</v>
      </c>
      <c r="B11" s="971" t="s">
        <v>2477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2478</v>
      </c>
      <c r="C12" s="24">
        <f ca="1">ROUND(C11*F12,0)</f>
        <v>0</v>
      </c>
      <c r="D12" s="972"/>
      <c r="E12" s="374"/>
      <c r="F12" s="975">
        <f>'数据-取费表'!B33</f>
        <v>0.03</v>
      </c>
      <c r="G12" s="8" t="s">
        <v>2479</v>
      </c>
      <c r="H12" s="967"/>
      <c r="I12" s="967"/>
      <c r="J12" s="967"/>
      <c r="K12" s="968"/>
    </row>
    <row r="13" spans="1:33" s="974" customFormat="1" ht="13.5" customHeight="1">
      <c r="A13" s="970" t="s">
        <v>1331</v>
      </c>
      <c r="B13" s="971" t="s">
        <v>2480</v>
      </c>
      <c r="C13" s="24">
        <f ca="1">ROUND(IF(C1="",SUMIF('数据-取费表'!C:C,"住宅",'数据-取费表'!P:P)*F13,IF(INDIRECT("'数据-取费表'!c"&amp;$K$1)="住宅",INDIRECT("'数据-取费表'!P"&amp;$K$1)*F13,0)),0)</f>
        <v>0</v>
      </c>
      <c r="D13" s="1032"/>
      <c r="E13" s="374"/>
      <c r="F13" s="975">
        <f>'数据-取费表'!B34</f>
        <v>0</v>
      </c>
      <c r="G13" s="8" t="s">
        <v>2481</v>
      </c>
      <c r="H13" s="967"/>
      <c r="I13" s="967"/>
      <c r="J13" s="967"/>
      <c r="K13" s="968"/>
    </row>
    <row r="14" spans="1:33" s="976" customFormat="1" ht="13.5" customHeight="1">
      <c r="A14" s="970" t="s">
        <v>1332</v>
      </c>
      <c r="B14" s="971" t="s">
        <v>2482</v>
      </c>
      <c r="C14" s="24">
        <f ca="1">ROUND(D14*E14*F11/10000,0)</f>
        <v>0</v>
      </c>
      <c r="D14" s="1032">
        <f ca="1">IF(C1="",'数据-汇总表'!E3,INDIRECT("'数据-取费表'!K"&amp;$K$1)+INDIRECT("'数据-取费表'!S"&amp;$K$1))</f>
        <v>9339.3000000000011</v>
      </c>
      <c r="E14" s="24">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2484</v>
      </c>
      <c r="C15" s="982">
        <f ca="1">ROUND(C11*F15,0)</f>
        <v>0</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9339.3000000000011</v>
      </c>
      <c r="E17" s="24">
        <f>'数据-取费表'!B32</f>
        <v>0</v>
      </c>
      <c r="F17" s="977"/>
      <c r="G17" s="139"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2489</v>
      </c>
      <c r="C18" s="24">
        <f ca="1">C19+C20-IF(C1="",'数据-取费表'!B29,IF(G18="已全部缴纳",C19+C20,H18))</f>
        <v>0</v>
      </c>
      <c r="D18" s="1032"/>
      <c r="E18" s="24"/>
      <c r="F18" s="975"/>
      <c r="G18" s="2555"/>
      <c r="H18" s="1576"/>
      <c r="I18" s="2556"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2492</v>
      </c>
      <c r="C20" s="24">
        <f ca="1">ROUND(D20*E20/10000,0)</f>
        <v>177</v>
      </c>
      <c r="D20" s="1032">
        <f ca="1">IF(C1="",'数据-汇总表'!E6,IF(INDIRECT("'数据-取费表'!c"&amp;$K$1)="住宅",INDIRECT("'数据-取费表'!s"&amp;$K$1),INDIRECT("'数据-取费表'!k"&amp;$K$1)+INDIRECT("'数据-取费表'!s"&amp;$K$1)))</f>
        <v>9339.3000000000011</v>
      </c>
      <c r="E20" s="24">
        <f>'数据-取费表'!B28</f>
        <v>190</v>
      </c>
      <c r="F20" s="975"/>
      <c r="G20" s="15"/>
      <c r="H20" s="980"/>
      <c r="I20" s="980"/>
      <c r="J20" s="980"/>
      <c r="K20" s="981"/>
    </row>
    <row r="21" spans="1:33" s="974" customFormat="1" ht="13.5" customHeight="1">
      <c r="A21" s="960" t="s">
        <v>802</v>
      </c>
      <c r="B21" s="984" t="s">
        <v>2493</v>
      </c>
      <c r="C21" s="985">
        <f ca="1">C16+C17+C18</f>
        <v>0</v>
      </c>
      <c r="D21" s="986"/>
      <c r="E21" s="324"/>
      <c r="F21" s="324"/>
      <c r="G21" s="139" t="s">
        <v>2494</v>
      </c>
      <c r="H21" s="978"/>
      <c r="I21" s="978"/>
      <c r="J21" s="978"/>
      <c r="K21" s="979"/>
    </row>
    <row r="22" spans="1:33" s="974" customFormat="1" ht="13.5" customHeight="1">
      <c r="A22" s="960" t="s">
        <v>2466</v>
      </c>
      <c r="B22" s="984" t="s">
        <v>2495</v>
      </c>
      <c r="C22" s="985">
        <f ca="1">ROUND(C21*F22,0)</f>
        <v>0</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0</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7"/>
      <c r="E27" s="328"/>
      <c r="F27" s="329"/>
      <c r="G27" s="2557" t="str">
        <f>IF('数据-取费表'!B22&lt;=1,"（1）-（3）项×年利率×建设期÷2","（1）-（3）项×((1+年利率)^(建设期÷2)-1)")</f>
        <v>（1）-（3）项×年利率×建设期÷2</v>
      </c>
      <c r="H27" s="978"/>
      <c r="I27" s="978"/>
      <c r="J27" s="978"/>
      <c r="K27" s="979"/>
    </row>
    <row r="28" spans="1:33" s="332" customFormat="1" ht="13.5" customHeight="1">
      <c r="A28" s="960" t="s">
        <v>2506</v>
      </c>
      <c r="B28" s="2558" t="s">
        <v>2507</v>
      </c>
      <c r="C28" s="330">
        <f ca="1">C30</f>
        <v>0</v>
      </c>
      <c r="D28" s="323">
        <f ca="1">C29</f>
        <v>0</v>
      </c>
      <c r="E28" s="325" t="s">
        <v>15</v>
      </c>
      <c r="F28" s="331">
        <f ca="1">IF(C1="",'数据-取费表'!Q16,INDIRECT("'数据-取费表'!q"&amp;$K$1))</f>
        <v>0.05</v>
      </c>
      <c r="G28" s="988"/>
      <c r="H28" s="989"/>
      <c r="I28" s="989"/>
      <c r="J28" s="989"/>
      <c r="K28" s="990"/>
    </row>
    <row r="29" spans="1:33" s="334" customFormat="1" ht="13.5" customHeight="1">
      <c r="A29" s="970" t="s">
        <v>803</v>
      </c>
      <c r="B29" s="993" t="s">
        <v>2508</v>
      </c>
      <c r="C29" s="327">
        <f ca="1">ROUND((1+C24)*F28*'数据-取费表'!B24/'数据-取费表'!B20,4)</f>
        <v>0</v>
      </c>
      <c r="D29" s="327"/>
      <c r="E29" s="328"/>
      <c r="F29" s="333"/>
      <c r="G29" s="139" t="s">
        <v>2509</v>
      </c>
      <c r="H29" s="978"/>
      <c r="I29" s="978"/>
      <c r="J29" s="978"/>
      <c r="K29" s="979"/>
    </row>
    <row r="30" spans="1:33" s="334" customFormat="1" ht="13.5" customHeight="1">
      <c r="A30" s="970" t="s">
        <v>804</v>
      </c>
      <c r="B30" s="993" t="s">
        <v>2510</v>
      </c>
      <c r="C30" s="335">
        <f ca="1">ROUND((C21+C22+C23)*F28,0)</f>
        <v>0</v>
      </c>
      <c r="D30" s="327"/>
      <c r="E30" s="328"/>
      <c r="F30" s="333"/>
      <c r="G30" s="139"/>
      <c r="H30" s="978"/>
      <c r="I30" s="978"/>
      <c r="J30" s="978"/>
      <c r="K30" s="979"/>
    </row>
    <row r="31" spans="1:33" s="974" customFormat="1" ht="13.5" customHeight="1" thickBot="1">
      <c r="A31" s="2559" t="s">
        <v>2511</v>
      </c>
      <c r="B31" s="1004" t="s">
        <v>2512</v>
      </c>
      <c r="C31" s="1005">
        <f>ROUND(C4*F31/(1+'数据-取费表'!C42),0)</f>
        <v>0</v>
      </c>
      <c r="D31" s="1006"/>
      <c r="E31" s="1007"/>
      <c r="F31" s="1008">
        <f>'数据-取费表'!B41</f>
        <v>5.5000000000000007E-2</v>
      </c>
      <c r="G31" s="1009" t="s">
        <v>2513</v>
      </c>
      <c r="H31" s="1010"/>
      <c r="I31" s="1010"/>
      <c r="J31" s="1010"/>
      <c r="K31" s="1011"/>
    </row>
    <row r="32" spans="1:33" s="969" customFormat="1" ht="13.5" customHeight="1" thickBot="1">
      <c r="A32" s="999" t="s">
        <v>2514</v>
      </c>
      <c r="B32" s="1000"/>
      <c r="C32" s="1001">
        <f ca="1">ROUND((C4-C21-C22-C23-C25-C28-C31)/(1+C24+D25+D28),0)</f>
        <v>0</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L50" sqref="L5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27</v>
      </c>
      <c r="D1" s="1819" t="s">
        <v>70</v>
      </c>
      <c r="E1" s="1820" t="s">
        <v>1381</v>
      </c>
      <c r="F1" s="1282">
        <f ca="1">J53</f>
        <v>25</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3796</v>
      </c>
      <c r="C2" s="1844" t="s">
        <v>1510</v>
      </c>
      <c r="D2" s="1844"/>
      <c r="E2" s="1845"/>
      <c r="F2" s="1846"/>
      <c r="G2" s="1847"/>
      <c r="H2" s="1839"/>
      <c r="I2" s="1839"/>
      <c r="J2" s="1839"/>
      <c r="K2" s="1840"/>
      <c r="L2" s="1839"/>
      <c r="M2" s="1839"/>
    </row>
    <row r="3" spans="1:37" ht="18" customHeight="1" thickBot="1">
      <c r="A3" s="1848" t="s">
        <v>1511</v>
      </c>
      <c r="B3" s="1849">
        <f ca="1">IF(ISERROR(B2*10000/F43),0,ROUND(B2*10000/F43,0))</f>
        <v>10463</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358</v>
      </c>
      <c r="D5" s="1821" t="s">
        <v>1396</v>
      </c>
      <c r="E5" s="1292"/>
      <c r="F5" s="1293"/>
      <c r="G5" s="1850"/>
      <c r="H5" s="343">
        <v>1</v>
      </c>
      <c r="I5" s="344" t="s">
        <v>1395</v>
      </c>
      <c r="J5" s="1291">
        <f ca="1">J6+J10+J12</f>
        <v>0</v>
      </c>
      <c r="K5" s="1821" t="s">
        <v>1396</v>
      </c>
      <c r="L5" s="1292"/>
      <c r="M5" s="1293"/>
    </row>
    <row r="6" spans="1:37" ht="18" customHeight="1">
      <c r="A6" s="1290" t="s">
        <v>1031</v>
      </c>
      <c r="B6" s="3209" t="s">
        <v>1397</v>
      </c>
      <c r="C6" s="1295">
        <f ca="1">ROUND(F6*F8*F7*(1-F9)/10000,0)</f>
        <v>358</v>
      </c>
      <c r="D6" s="163" t="s">
        <v>3028</v>
      </c>
      <c r="E6" s="346" t="s">
        <v>1399</v>
      </c>
      <c r="F6" s="347">
        <f ca="1">INDIRECT("'数据-取费表'!u"&amp;$G$1)</f>
        <v>3</v>
      </c>
      <c r="G6" s="1850"/>
      <c r="H6" s="1290" t="s">
        <v>1031</v>
      </c>
      <c r="I6" s="3209" t="s">
        <v>1397</v>
      </c>
      <c r="J6" s="345">
        <f ca="1">ROUND(M6*M8*M7*(1-M9)/10000,0)</f>
        <v>0</v>
      </c>
      <c r="K6" s="163" t="s">
        <v>3027</v>
      </c>
      <c r="L6" s="346" t="s">
        <v>1399</v>
      </c>
      <c r="M6" s="347">
        <f ca="1">INDIRECT("'数据-取费表'!z"&amp;$G$1)</f>
        <v>0</v>
      </c>
    </row>
    <row r="7" spans="1:37" ht="18" customHeight="1">
      <c r="A7" s="1294"/>
      <c r="B7" s="3210"/>
      <c r="C7" s="1296"/>
      <c r="D7" s="351"/>
      <c r="E7" s="1297" t="s">
        <v>1400</v>
      </c>
      <c r="F7" s="347">
        <f ca="1">IF(INDIRECT("'数据-取费表'!ah"&amp;$G$1)="",INDIRECT("'数据-取费表'!k"&amp;$G$1),INDIRECT("'数据-取费表'!ah"&amp;$G$1))</f>
        <v>3627.92</v>
      </c>
      <c r="G7" s="1850"/>
      <c r="H7" s="348"/>
      <c r="I7" s="3210"/>
      <c r="J7" s="350"/>
      <c r="K7" s="351"/>
      <c r="L7" s="346" t="s">
        <v>1400</v>
      </c>
      <c r="M7" s="347">
        <f ca="1">F7</f>
        <v>3627.92</v>
      </c>
    </row>
    <row r="8" spans="1:37" ht="18" customHeight="1">
      <c r="A8" s="348"/>
      <c r="B8" s="3210"/>
      <c r="C8" s="350"/>
      <c r="D8" s="351"/>
      <c r="E8" s="346" t="s">
        <v>1401</v>
      </c>
      <c r="F8" s="347">
        <f ca="1">INDIRECT("'数据-取费表'!ai"&amp;$G$1)</f>
        <v>365</v>
      </c>
      <c r="G8" s="1850"/>
      <c r="H8" s="348"/>
      <c r="I8" s="3210"/>
      <c r="J8" s="350"/>
      <c r="K8" s="351"/>
      <c r="L8" s="346" t="s">
        <v>1401</v>
      </c>
      <c r="M8" s="347">
        <f ca="1">INDIRECT("'数据-取费表'!ai"&amp;$G$1)</f>
        <v>365</v>
      </c>
    </row>
    <row r="9" spans="1:37" ht="18" customHeight="1">
      <c r="A9" s="348"/>
      <c r="B9" s="3211"/>
      <c r="C9" s="350"/>
      <c r="D9" s="351"/>
      <c r="E9" s="346" t="s">
        <v>1402</v>
      </c>
      <c r="F9" s="356">
        <f ca="1">INDIRECT("'数据-取费表'!w"&amp;$G$1)</f>
        <v>0.1</v>
      </c>
      <c r="G9" s="1850"/>
      <c r="H9" s="348"/>
      <c r="I9" s="3211"/>
      <c r="J9" s="350"/>
      <c r="K9" s="351"/>
      <c r="L9" s="357" t="s">
        <v>1402</v>
      </c>
      <c r="M9" s="358">
        <f ca="1">INDIRECT("'数据-取费表'!ab"&amp;$G$1)</f>
        <v>0</v>
      </c>
    </row>
    <row r="10" spans="1:37" ht="18" customHeight="1">
      <c r="A10" s="1290" t="s">
        <v>1035</v>
      </c>
      <c r="B10" s="1822" t="s">
        <v>1403</v>
      </c>
      <c r="C10" s="3361">
        <f ca="1">ROUND(IF(F10="押一",C6/12*F11,IF(F10="押二",C6/12*2*F11,IF(F10="押三",C6/12*3*F11,C11*F11))),0)</f>
        <v>0</v>
      </c>
      <c r="D10" s="1823" t="s">
        <v>3037</v>
      </c>
      <c r="E10" s="357" t="s">
        <v>1404</v>
      </c>
      <c r="F10" s="1365" t="s">
        <v>3081</v>
      </c>
      <c r="G10" s="1850"/>
      <c r="H10" s="1290" t="s">
        <v>1035</v>
      </c>
      <c r="I10" s="1822" t="s">
        <v>1403</v>
      </c>
      <c r="J10" s="345">
        <f ca="1">ROUND(IF(M10="押一",J6/12*M11,IF(M10="押二",J6/12*2*M11,IF(M10="押三",J6/12*3*M11,J11*M11))),0)</f>
        <v>0</v>
      </c>
      <c r="K10" s="1823" t="s">
        <v>3036</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935</v>
      </c>
      <c r="D13" s="1330" t="s">
        <v>1409</v>
      </c>
      <c r="E13" s="1330" t="s">
        <v>1410</v>
      </c>
      <c r="F13" s="1331">
        <f ca="1">INDIRECT("'数据-取费表'!y"&amp;$G$1)</f>
        <v>0.65500000000000003</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1088</v>
      </c>
      <c r="D14" s="1799" t="s">
        <v>1412</v>
      </c>
      <c r="E14" s="1793"/>
      <c r="F14" s="363"/>
      <c r="G14" s="1850"/>
      <c r="H14" s="1200" t="s">
        <v>1031</v>
      </c>
      <c r="I14" s="346" t="s">
        <v>1413</v>
      </c>
      <c r="J14" s="24">
        <f ca="1">C29</f>
        <v>1428</v>
      </c>
      <c r="K14" s="15"/>
      <c r="L14" s="978"/>
      <c r="M14" s="979"/>
    </row>
    <row r="15" spans="1:37" s="1857" customFormat="1" ht="18" customHeight="1" thickBot="1">
      <c r="A15" s="1200" t="s">
        <v>1032</v>
      </c>
      <c r="B15" s="346" t="s">
        <v>1414</v>
      </c>
      <c r="C15" s="24">
        <f ca="1">ROUND(C14*F15,0)</f>
        <v>33</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27</v>
      </c>
      <c r="K16" s="1336" t="s">
        <v>1419</v>
      </c>
      <c r="L16" s="1337"/>
      <c r="M16" s="1293"/>
    </row>
    <row r="17" spans="1:37" s="1857" customFormat="1" ht="18" customHeight="1">
      <c r="A17" s="1200" t="s">
        <v>1384</v>
      </c>
      <c r="B17" s="346" t="s">
        <v>1420</v>
      </c>
      <c r="C17" s="24">
        <f ca="1">ROUND(F17*(F43+INDIRECT("'数据-取费表'!S"&amp;$G$1))/10000,0)</f>
        <v>73</v>
      </c>
      <c r="D17" s="346" t="s">
        <v>1421</v>
      </c>
      <c r="E17" s="346" t="s">
        <v>1422</v>
      </c>
      <c r="F17" s="26">
        <f>'数据-取费表'!B35</f>
        <v>200</v>
      </c>
      <c r="G17" s="1853"/>
      <c r="H17" s="1200" t="s">
        <v>1031</v>
      </c>
      <c r="I17" s="346" t="s">
        <v>1423</v>
      </c>
      <c r="J17" s="24">
        <f ca="1">ROUND(IF(项目基本情况!B11="自然人",J6*M17/(1+'数据-取费表'!C42),J18+J19+J20),1)</f>
        <v>12.4</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16</v>
      </c>
      <c r="D18" s="346" t="s">
        <v>1415</v>
      </c>
      <c r="E18" s="346" t="s">
        <v>1416</v>
      </c>
      <c r="F18" s="366">
        <f>'数据-取费表'!B36</f>
        <v>1.4999999999999999E-2</v>
      </c>
      <c r="G18" s="1853"/>
      <c r="H18" s="1200" t="s">
        <v>1030</v>
      </c>
      <c r="I18" s="346" t="s">
        <v>1427</v>
      </c>
      <c r="J18" s="24">
        <f ca="1">ROUND(J6*M18/(1+'数据-取费表'!C42),2)</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1210</v>
      </c>
      <c r="D19" s="139" t="s">
        <v>1430</v>
      </c>
      <c r="E19" s="1817"/>
      <c r="F19" s="26"/>
      <c r="G19" s="1850"/>
      <c r="H19" s="1200" t="s">
        <v>1032</v>
      </c>
      <c r="I19" s="346" t="s">
        <v>1431</v>
      </c>
      <c r="J19" s="24">
        <f ca="1">IF(K19="按租金收入计税",ROUND(J6*M19/(1+'数据-取费表'!C42),2),ROUND(C29*M19*0.7,2))</f>
        <v>12</v>
      </c>
      <c r="K19" s="1827" t="s">
        <v>1432</v>
      </c>
      <c r="L19" s="346" t="s">
        <v>1416</v>
      </c>
      <c r="M19" s="366">
        <f>IF(K19="按租金收入计税",'数据-取费表'!B51,'数据-取费表'!B50)</f>
        <v>1.2E-2</v>
      </c>
    </row>
    <row r="20" spans="1:37" s="1857" customFormat="1" ht="18" customHeight="1">
      <c r="A20" s="1200" t="s">
        <v>1035</v>
      </c>
      <c r="B20" s="346" t="s">
        <v>1433</v>
      </c>
      <c r="C20" s="24">
        <f ca="1">ROUND(C19*F20,0)</f>
        <v>24</v>
      </c>
      <c r="D20" s="368" t="s">
        <v>1434</v>
      </c>
      <c r="E20" s="346" t="s">
        <v>1416</v>
      </c>
      <c r="F20" s="366">
        <f>'数据-取费表'!B37</f>
        <v>0.02</v>
      </c>
      <c r="G20" s="1853"/>
      <c r="H20" s="1200" t="s">
        <v>1383</v>
      </c>
      <c r="I20" s="163" t="s">
        <v>1435</v>
      </c>
      <c r="J20" s="25">
        <f ca="1">ROUND(M20*M21/10000,2)</f>
        <v>0.41</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18</v>
      </c>
      <c r="D21" s="368" t="s">
        <v>1439</v>
      </c>
      <c r="E21" s="346" t="s">
        <v>1440</v>
      </c>
      <c r="F21" s="366">
        <f>'数据-取费表'!B38</f>
        <v>0.02</v>
      </c>
      <c r="G21" s="1853"/>
      <c r="H21" s="371"/>
      <c r="I21" s="355"/>
      <c r="J21" s="29"/>
      <c r="K21" s="372"/>
      <c r="L21" s="346" t="s">
        <v>1441</v>
      </c>
      <c r="M21" s="347">
        <f ca="1">INDIRECT("'数据-取费表'!r"&amp;$G$1)</f>
        <v>2745.13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单利计息。建造成本、管理费用、销售费用产生的利息。</v>
      </c>
      <c r="E22" s="1817"/>
      <c r="F22" s="26"/>
      <c r="G22" s="1850"/>
      <c r="H22" s="1200" t="s">
        <v>1035</v>
      </c>
      <c r="I22" s="346" t="s">
        <v>1443</v>
      </c>
      <c r="J22" s="24">
        <f ca="1">ROUND(J14*M22,1)</f>
        <v>14.3</v>
      </c>
      <c r="K22" s="1797" t="s">
        <v>1444</v>
      </c>
      <c r="L22" s="346" t="s">
        <v>1416</v>
      </c>
      <c r="M22" s="373">
        <f ca="1">INDIRECT("'数据-取费表'!Ak"&amp;$G$1)</f>
        <v>0.01</v>
      </c>
    </row>
    <row r="23" spans="1:37" s="1857" customFormat="1" ht="18" customHeight="1">
      <c r="A23" s="1200" t="s">
        <v>1030</v>
      </c>
      <c r="B23" s="346" t="s">
        <v>1445</v>
      </c>
      <c r="C23" s="24">
        <f ca="1">IF('数据-取费表'!B22&lt;=1,ROUND(C19*F24*F23/2,0)+ROUND(C20*F24*F23/2,0),ROUND(C19*(POWER((1+F24),F23/2)-1),0)+ROUND(C20*(POWER((1+F24),F23/2)-1),0))</f>
        <v>27</v>
      </c>
      <c r="D23" s="374" t="str">
        <f>IF(F23&lt;=1,"(建造成本+管理费用)×利率×(建设周期÷2)","(建造成本+管理费用)×((1+利率)^(建设周期÷2)-1)")</f>
        <v>(建造成本+管理费用)×利率×(建设周期÷2)</v>
      </c>
      <c r="E23" s="346" t="s">
        <v>1446</v>
      </c>
      <c r="F23" s="370">
        <f>'数据-取费表'!B20</f>
        <v>1</v>
      </c>
      <c r="G23" s="1853"/>
      <c r="H23" s="1200" t="s">
        <v>1071</v>
      </c>
      <c r="I23" s="346" t="s">
        <v>1447</v>
      </c>
      <c r="J23" s="24">
        <f ca="1">ROUND(J13*M23,1)</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4.0000000000000002E-4</v>
      </c>
      <c r="D24" s="374" t="str">
        <f>IF(F23&lt;=1,"销售费用×利率×(建设周期÷2)","销售费用×((1+利率)^(建设周期÷2)-1)")</f>
        <v>销售费用×利率×(建设周期÷2)</v>
      </c>
      <c r="E24" s="346" t="s">
        <v>1452</v>
      </c>
      <c r="F24" s="376">
        <f ca="1">'数据-取费表'!B40</f>
        <v>4.3499999999999997E-2</v>
      </c>
      <c r="G24" s="1853"/>
      <c r="H24" s="1338" t="s">
        <v>1387</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1027</v>
      </c>
      <c r="I25" s="1343" t="s">
        <v>1457</v>
      </c>
      <c r="J25" s="354">
        <f ca="1">J5-J16</f>
        <v>-27</v>
      </c>
      <c r="K25" s="1344" t="s">
        <v>1458</v>
      </c>
      <c r="L25" s="1345"/>
      <c r="M25" s="1346"/>
    </row>
    <row r="26" spans="1:37">
      <c r="A26" s="1200" t="s">
        <v>1030</v>
      </c>
      <c r="B26" s="346" t="s">
        <v>1459</v>
      </c>
      <c r="C26" s="24">
        <f ca="1">ROUND((C19+C20)*F26,0)</f>
        <v>62</v>
      </c>
      <c r="D26" s="368" t="s">
        <v>1460</v>
      </c>
      <c r="E26" s="357" t="s">
        <v>1461</v>
      </c>
      <c r="F26" s="356">
        <f ca="1">INDIRECT("'数据-取费表'!q"&amp;$G$1)</f>
        <v>0.05</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1428</v>
      </c>
      <c r="D29" s="1341"/>
      <c r="E29" s="1339"/>
      <c r="F29" s="1342"/>
      <c r="G29" s="1853"/>
      <c r="H29" s="379" t="s">
        <v>1029</v>
      </c>
      <c r="I29" s="380" t="s">
        <v>1473</v>
      </c>
      <c r="J29" s="381">
        <f ca="1">ROUND(J26/(1+F40)^F41,0)</f>
        <v>0</v>
      </c>
      <c r="K29" s="382" t="s">
        <v>1474</v>
      </c>
      <c r="L29" s="383"/>
      <c r="M29" s="384">
        <f ca="1">INDIRECT("'数据-取费表'!k"&amp;$G$1)</f>
        <v>3627.92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79</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ROUND(IF(项目基本情况!B11="自然人",C6*F31/(1+'数据-取费表'!C42),C32+C33+C34),1)</f>
        <v>60.1</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IF(项目基本情况!B11="自然人","——",ROUND(C6*F32/(1+'数据-取费表'!C42),2))</f>
        <v>18.75</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40.909999999999997</v>
      </c>
      <c r="D33" s="1827" t="s">
        <v>3082</v>
      </c>
      <c r="E33" s="346" t="s">
        <v>1416</v>
      </c>
      <c r="F33" s="366">
        <f>IF(D33="按票据","——",IF(D33="按租金收入计税",'数据-取费表'!B51,'数据-取费表'!B50))</f>
        <v>0.12</v>
      </c>
      <c r="G33" s="1850"/>
      <c r="H33" s="1858"/>
      <c r="I33" s="1859"/>
      <c r="J33" s="1860"/>
      <c r="K33" s="1861"/>
      <c r="L33" s="1858"/>
      <c r="M33" s="1858"/>
    </row>
    <row r="34" spans="1:18" ht="18" customHeight="1">
      <c r="A34" s="1290" t="s">
        <v>1383</v>
      </c>
      <c r="B34" s="163" t="s">
        <v>1435</v>
      </c>
      <c r="C34" s="25">
        <f ca="1">IF(项目基本情况!B11="自然人","——",ROUND(F34*F35/10000,2))</f>
        <v>0.41</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2745.13</v>
      </c>
      <c r="G35" s="1850"/>
      <c r="H35" s="744"/>
      <c r="I35" s="1859"/>
      <c r="J35" s="1860"/>
      <c r="K35" s="1861"/>
      <c r="L35" s="1858"/>
      <c r="M35" s="1858"/>
    </row>
    <row r="36" spans="1:18" ht="18" customHeight="1">
      <c r="A36" s="1351" t="s">
        <v>1035</v>
      </c>
      <c r="B36" s="346" t="s">
        <v>1443</v>
      </c>
      <c r="C36" s="24">
        <f ca="1">ROUND(C29*F36,1)</f>
        <v>14.3</v>
      </c>
      <c r="D36" s="1797" t="s">
        <v>1476</v>
      </c>
      <c r="E36" s="346" t="s">
        <v>1416</v>
      </c>
      <c r="F36" s="373">
        <f ca="1">INDIRECT("'数据-取费表'!Ak"&amp;$G$1)</f>
        <v>0.01</v>
      </c>
      <c r="G36" s="1850"/>
      <c r="H36" s="1858"/>
      <c r="I36" s="1859"/>
      <c r="J36" s="1860"/>
      <c r="K36" s="750"/>
      <c r="L36" s="1858"/>
      <c r="M36" s="1858"/>
    </row>
    <row r="37" spans="1:18" ht="18" customHeight="1">
      <c r="A37" s="1200" t="s">
        <v>1071</v>
      </c>
      <c r="B37" s="346" t="s">
        <v>1447</v>
      </c>
      <c r="C37" s="24">
        <f ca="1">ROUND(C13*F37,1)</f>
        <v>1.4</v>
      </c>
      <c r="D37" s="1797" t="s">
        <v>1448</v>
      </c>
      <c r="E37" s="346" t="s">
        <v>1449</v>
      </c>
      <c r="F37" s="375">
        <f ca="1">INDIRECT("'数据-取费表'!Al"&amp;$G$1)</f>
        <v>1.5E-3</v>
      </c>
      <c r="G37" s="1850"/>
      <c r="H37" s="1858"/>
      <c r="I37" s="1859"/>
      <c r="J37" s="1860"/>
      <c r="K37" s="750"/>
      <c r="L37" s="1858"/>
      <c r="M37" s="1858"/>
    </row>
    <row r="38" spans="1:18" ht="18" customHeight="1" thickBot="1">
      <c r="A38" s="1338" t="s">
        <v>1387</v>
      </c>
      <c r="B38" s="1339" t="s">
        <v>1433</v>
      </c>
      <c r="C38" s="1340">
        <f ca="1">ROUND(C5*F38,1)</f>
        <v>3.6</v>
      </c>
      <c r="D38" s="1341" t="s">
        <v>1453</v>
      </c>
      <c r="E38" s="1339" t="s">
        <v>1449</v>
      </c>
      <c r="F38" s="1335">
        <f ca="1">INDIRECT("'数据-取费表'!Am"&amp;$G$1)</f>
        <v>0.01</v>
      </c>
      <c r="G38" s="1850"/>
      <c r="H38" s="1858"/>
      <c r="I38" s="1859"/>
      <c r="J38" s="1860"/>
      <c r="K38" s="1864"/>
      <c r="L38" s="1858"/>
      <c r="M38" s="1858"/>
    </row>
    <row r="39" spans="1:18" ht="24.6" customHeight="1" thickTop="1">
      <c r="A39" s="1328" t="s">
        <v>1027</v>
      </c>
      <c r="B39" s="1343" t="s">
        <v>1477</v>
      </c>
      <c r="C39" s="354">
        <f ca="1">C5-C30</f>
        <v>279</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3742</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25</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f ca="1">ROUND(C40*10000/F43,0)</f>
        <v>10314</v>
      </c>
      <c r="D43" s="382" t="s">
        <v>1482</v>
      </c>
      <c r="E43" s="383" t="s">
        <v>1483</v>
      </c>
      <c r="F43" s="384">
        <f ca="1">INDIRECT("'数据-取费表'!k"&amp;$G$1)</f>
        <v>3627.92</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-5566</v>
      </c>
      <c r="D46" s="1871" t="str">
        <f>C2</f>
        <v>万元</v>
      </c>
      <c r="E46" s="1865"/>
      <c r="F46" s="1865"/>
      <c r="I46" s="1872" t="s">
        <v>1515</v>
      </c>
      <c r="J46" s="1873"/>
      <c r="K46" s="1874"/>
      <c r="L46" s="1875">
        <f ca="1">IF(M47="住宅",0,IF(L48&gt;J51,L60,J60))</f>
        <v>54</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t="s">
        <v>3083</v>
      </c>
      <c r="K47" s="1881" t="s">
        <v>1521</v>
      </c>
      <c r="L47" s="1882">
        <f ca="1">INDIRECT("'数据-取费表'!d"&amp;$G$1)</f>
        <v>50</v>
      </c>
      <c r="M47" s="1837" t="str">
        <f>IF(ISNUMBER(FIND("住宅",C1)),"住宅","非住宅")</f>
        <v>非住宅</v>
      </c>
      <c r="O47" s="1883" t="s">
        <v>1036</v>
      </c>
      <c r="P47" s="1884" t="s">
        <v>1522</v>
      </c>
      <c r="Q47" s="1885">
        <f ca="1">C40+J29</f>
        <v>3742</v>
      </c>
      <c r="R47" s="1885" t="s">
        <v>1523</v>
      </c>
    </row>
    <row r="48" spans="1:18" s="1841" customFormat="1" ht="28.5" thickBot="1">
      <c r="A48" s="1359" t="s">
        <v>1131</v>
      </c>
      <c r="B48" s="344" t="s">
        <v>1395</v>
      </c>
      <c r="C48" s="1816">
        <f ca="1">C49+C53+C55</f>
        <v>0</v>
      </c>
      <c r="D48" s="1361"/>
      <c r="E48" s="1362"/>
      <c r="F48" s="1180"/>
      <c r="G48" s="791"/>
      <c r="H48" s="792"/>
      <c r="I48" s="1886" t="s">
        <v>1524</v>
      </c>
      <c r="J48" s="1887" t="s">
        <v>3084</v>
      </c>
      <c r="K48" s="1888" t="s">
        <v>1525</v>
      </c>
      <c r="L48" s="1889">
        <f ca="1">INDIRECT("'数据-取费表'!f"&amp;$G$1)</f>
        <v>28.92</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3029</v>
      </c>
      <c r="E49" s="1829" t="s">
        <v>1485</v>
      </c>
      <c r="F49" s="1280"/>
      <c r="G49" s="1890"/>
      <c r="H49" s="792"/>
      <c r="I49" s="1886" t="s">
        <v>1528</v>
      </c>
      <c r="J49" s="1891">
        <v>1995</v>
      </c>
      <c r="K49" s="1888" t="s">
        <v>1529</v>
      </c>
      <c r="L49" s="1892"/>
      <c r="O49" s="1893" t="s">
        <v>1038</v>
      </c>
      <c r="P49" s="1884" t="s">
        <v>1530</v>
      </c>
      <c r="Q49" s="1885">
        <f ca="1">C29</f>
        <v>1428</v>
      </c>
      <c r="R49" s="1885" t="s">
        <v>1523</v>
      </c>
    </row>
    <row r="50" spans="1:18" s="1841" customFormat="1" ht="13.5" thickBot="1">
      <c r="A50" s="1194"/>
      <c r="B50" s="1197"/>
      <c r="C50" s="1367"/>
      <c r="D50" s="1171"/>
      <c r="E50" s="1276" t="s">
        <v>1400</v>
      </c>
      <c r="F50" s="1277">
        <f ca="1">F7</f>
        <v>3627.92</v>
      </c>
      <c r="H50" s="792"/>
      <c r="I50" s="1886" t="s">
        <v>1531</v>
      </c>
      <c r="J50" s="1894">
        <f>SUMPRODUCT((I63:I65=J47)*(J62:L62=J48)*(J63:L65))</f>
        <v>50</v>
      </c>
      <c r="K50" s="1888" t="s">
        <v>1532</v>
      </c>
      <c r="L50" s="1892">
        <f ca="1">ROUND(基准地价修正!C29*收益法!F43/10000,0)</f>
        <v>718</v>
      </c>
      <c r="M50" s="1895"/>
      <c r="O50" s="1893" t="s">
        <v>1039</v>
      </c>
      <c r="P50" s="1884" t="s">
        <v>1533</v>
      </c>
      <c r="Q50" s="1896" t="e">
        <f ca="1">J58</f>
        <v>#VALUE!</v>
      </c>
      <c r="R50" s="1885"/>
    </row>
    <row r="51" spans="1:18" s="1841" customFormat="1" ht="13.5" thickBot="1">
      <c r="A51" s="1195"/>
      <c r="B51" s="1197"/>
      <c r="C51" s="1198"/>
      <c r="D51" s="1171"/>
      <c r="E51" s="1199" t="s">
        <v>1401</v>
      </c>
      <c r="F51" s="347">
        <f ca="1">F8</f>
        <v>365</v>
      </c>
      <c r="I51" s="1897" t="s">
        <v>1534</v>
      </c>
      <c r="J51" s="1898">
        <f>IF(J49="",J50,J49+J50-YEAR('数据-取费表'!B2))</f>
        <v>25</v>
      </c>
      <c r="K51" s="1899" t="s">
        <v>1535</v>
      </c>
      <c r="L51" s="1900">
        <f ca="1">ROUND(-PV(INDIRECT("'数据-取费表'!h"&amp;$G$1),L48,(C39-C13*C76),0),0)</f>
        <v>3085</v>
      </c>
      <c r="M51" s="1901"/>
      <c r="O51" s="1893" t="s">
        <v>1040</v>
      </c>
      <c r="P51" s="1884" t="s">
        <v>1536</v>
      </c>
      <c r="Q51" s="1896">
        <f>J52</f>
        <v>0.09</v>
      </c>
      <c r="R51" s="1885"/>
    </row>
    <row r="52" spans="1:18" s="1841" customFormat="1" ht="13.5" thickBot="1">
      <c r="A52" s="1195"/>
      <c r="B52" s="1197"/>
      <c r="C52" s="1198"/>
      <c r="D52" s="1171"/>
      <c r="E52" s="1199" t="s">
        <v>1402</v>
      </c>
      <c r="F52" s="1274"/>
      <c r="I52" s="1902" t="s">
        <v>1537</v>
      </c>
      <c r="J52" s="1903">
        <v>0.09</v>
      </c>
      <c r="K52" s="1902" t="s">
        <v>1538</v>
      </c>
      <c r="L52" s="1903">
        <f ca="1">基准地价修正!P28</f>
        <v>4.8000000000000001E-2</v>
      </c>
      <c r="O52" s="1893" t="s">
        <v>1041</v>
      </c>
      <c r="P52" s="1884" t="s">
        <v>1539</v>
      </c>
      <c r="Q52" s="1885">
        <f ca="1">J53</f>
        <v>25</v>
      </c>
      <c r="R52" s="1885" t="s">
        <v>1540</v>
      </c>
    </row>
    <row r="53" spans="1:18" s="1841" customFormat="1" ht="24.75" thickBot="1">
      <c r="A53" s="1404" t="s">
        <v>1133</v>
      </c>
      <c r="B53" s="1830" t="s">
        <v>1403</v>
      </c>
      <c r="C53" s="360">
        <f ca="1">ROUND(IF(F53="押一",C49/12*F11,IF(F53="押二",C49/12*2*F11,IF(F53="押三",C49/12*3*F11,C54*F11))),0)</f>
        <v>0</v>
      </c>
      <c r="D53" s="1823" t="s">
        <v>3036</v>
      </c>
      <c r="E53" s="357" t="s">
        <v>1404</v>
      </c>
      <c r="F53" s="1365"/>
      <c r="I53" s="1904" t="s">
        <v>1541</v>
      </c>
      <c r="J53" s="2949">
        <f ca="1">IF(M47="住宅",IF(D1="——",MAX(J51,L48),MAX(J51,L48-'数据-取费表'!B24)),IF(D1="——",MIN(J51,L48),MIN(J51,L48-'数据-取费表'!B24)))</f>
        <v>25</v>
      </c>
      <c r="K53" s="3207" t="s">
        <v>1542</v>
      </c>
      <c r="L53" s="3208"/>
      <c r="O53" s="1883" t="s">
        <v>1042</v>
      </c>
      <c r="P53" s="1884" t="s">
        <v>1543</v>
      </c>
      <c r="Q53" s="1885">
        <f ca="1">Q47+Q48</f>
        <v>3742</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3180</v>
      </c>
      <c r="O55" s="1876" t="s">
        <v>1516</v>
      </c>
      <c r="P55" s="1877" t="s">
        <v>1517</v>
      </c>
      <c r="Q55" s="1878" t="s">
        <v>1518</v>
      </c>
      <c r="R55" s="1878" t="s">
        <v>1519</v>
      </c>
    </row>
    <row r="56" spans="1:18" s="1841" customFormat="1" ht="25.5" thickTop="1" thickBot="1">
      <c r="A56" s="1175">
        <v>2</v>
      </c>
      <c r="B56" s="1176" t="s">
        <v>1408</v>
      </c>
      <c r="C56" s="275">
        <f ca="1">C13</f>
        <v>935</v>
      </c>
      <c r="D56" s="1912"/>
      <c r="E56" s="1913"/>
      <c r="F56" s="1905"/>
      <c r="I56" s="1914" t="s">
        <v>1548</v>
      </c>
      <c r="J56" s="1915" t="s">
        <v>3062</v>
      </c>
      <c r="K56" s="1886" t="s">
        <v>1549</v>
      </c>
      <c r="L56" s="1889">
        <f ca="1">IF(L48&lt;J51,"——",L48-J53)</f>
        <v>3.9200000000000017</v>
      </c>
      <c r="O56" s="1883" t="s">
        <v>1036</v>
      </c>
      <c r="P56" s="1884" t="s">
        <v>1522</v>
      </c>
      <c r="Q56" s="1885">
        <f ca="1">C40+J29</f>
        <v>3742</v>
      </c>
      <c r="R56" s="1885" t="s">
        <v>1523</v>
      </c>
    </row>
    <row r="57" spans="1:18" s="1841" customFormat="1" ht="24.75" thickBot="1">
      <c r="A57" s="1916"/>
      <c r="B57" s="1168" t="s">
        <v>1472</v>
      </c>
      <c r="C57" s="281">
        <f ca="1">C29</f>
        <v>1428</v>
      </c>
      <c r="D57" s="1917"/>
      <c r="E57" s="1918"/>
      <c r="F57" s="1919"/>
      <c r="I57" s="1920" t="s">
        <v>1550</v>
      </c>
      <c r="J57" s="1921" t="str">
        <f ca="1">IF(OR(M47="住宅",J51&lt;L48,J56="是"),"——",J51-L48)</f>
        <v>——</v>
      </c>
      <c r="K57" s="1886" t="s">
        <v>1551</v>
      </c>
      <c r="L57" s="1889">
        <f ca="1">IF(L48&lt;J51,"——",IF(L55="比较法",L49,IF(L55="基准地价",L50,L51)))</f>
        <v>718</v>
      </c>
      <c r="O57" s="1883" t="s">
        <v>1037</v>
      </c>
      <c r="P57" s="1884" t="s">
        <v>1552</v>
      </c>
      <c r="Q57" s="1885">
        <f ca="1">L60</f>
        <v>54</v>
      </c>
      <c r="R57" s="1885" t="s">
        <v>1553</v>
      </c>
    </row>
    <row r="58" spans="1:18" s="1841" customFormat="1" ht="24.75" thickBot="1">
      <c r="A58" s="359" t="s">
        <v>1026</v>
      </c>
      <c r="B58" s="1176" t="s">
        <v>1418</v>
      </c>
      <c r="C58" s="360">
        <f ca="1">ROUND(C59+C64+C65+C66,0)</f>
        <v>136</v>
      </c>
      <c r="D58" s="1178" t="s">
        <v>1419</v>
      </c>
      <c r="E58" s="1179"/>
      <c r="F58" s="1180"/>
      <c r="I58" s="1920" t="s">
        <v>1554</v>
      </c>
      <c r="J58" s="1922" t="e">
        <f ca="1">IF(J55&lt;0.4,0.4,J55)</f>
        <v>#VALUE!</v>
      </c>
      <c r="K58" s="1899" t="s">
        <v>1555</v>
      </c>
      <c r="L58" s="1889">
        <f ca="1">ROUND(POWER(1+L52,L47-L48)*(POWER(1+L52,L48)-1)/(POWER(1+L52,L47)-1),4)</f>
        <v>0.82099999999999995</v>
      </c>
      <c r="O58" s="1893" t="s">
        <v>1038</v>
      </c>
      <c r="P58" s="1884" t="s">
        <v>1556</v>
      </c>
      <c r="Q58" s="1885">
        <f ca="1">IF(L55="比较法",L49,IF(L55="基准地价",L50,0))</f>
        <v>718</v>
      </c>
      <c r="R58" s="1885" t="s">
        <v>1523</v>
      </c>
    </row>
    <row r="59" spans="1:18" s="1841" customFormat="1" ht="24.75" thickBot="1">
      <c r="A59" s="1200" t="s">
        <v>1031</v>
      </c>
      <c r="B59" s="1168" t="s">
        <v>1423</v>
      </c>
      <c r="C59" s="24">
        <f ca="1">ROUND(IF(项目基本情况!B11="自然人",C48*F59,C60+C61+C62),1)</f>
        <v>120.4</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0.76349999999999996</v>
      </c>
      <c r="M59" s="1837">
        <f ca="1">ROUND(POWER(1+L52,L47-(J51+'数据-取费表'!B24))*(POWER(1+L52,(J51+'数据-取费表'!B24))-1)/(POWER(1+L52,L47)-1),4)</f>
        <v>0.76349999999999996</v>
      </c>
      <c r="N59" s="1837">
        <f ca="1">ROUND(POWER(1+L52,L47-(J51+'数据-取费表'!B20))*(POWER(1+L52,(J51+'数据-取费表'!B20))-1)/(POWER(1+L52,L47)-1),4)</f>
        <v>0.7792</v>
      </c>
      <c r="O59" s="1893" t="s">
        <v>1039</v>
      </c>
      <c r="P59" s="1884" t="s">
        <v>1558</v>
      </c>
      <c r="Q59" s="1896">
        <f ca="1">L52</f>
        <v>4.8000000000000001E-2</v>
      </c>
      <c r="R59" s="1885"/>
    </row>
    <row r="60" spans="1:18" s="1841"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23" t="s">
        <v>1559</v>
      </c>
      <c r="J60" s="1924" t="str">
        <f ca="1">IF(OR(M47="住宅",J51&lt;L48,J56="是"),"0",ROUND(J59/(1+J52)^J53,0))</f>
        <v>0</v>
      </c>
      <c r="K60" s="1925" t="s">
        <v>1560</v>
      </c>
      <c r="L60" s="1924">
        <f ca="1">IF(OR(M47="住宅",L48&lt;J51),0,ROUND(L57*(L58/L59-1),0))</f>
        <v>54</v>
      </c>
      <c r="O60" s="1893" t="s">
        <v>1040</v>
      </c>
      <c r="P60" s="1884" t="s">
        <v>1561</v>
      </c>
      <c r="Q60" s="1885">
        <f ca="1">L58</f>
        <v>0.82099999999999995</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119.95</v>
      </c>
      <c r="D61" s="1827" t="s">
        <v>1432</v>
      </c>
      <c r="E61" s="1168" t="s">
        <v>1488</v>
      </c>
      <c r="F61" s="366">
        <f t="shared" si="0"/>
        <v>0.12</v>
      </c>
      <c r="I61" s="1926"/>
      <c r="J61" s="1926"/>
      <c r="K61" s="1926"/>
      <c r="L61" s="1926"/>
      <c r="O61" s="1893" t="s">
        <v>1041</v>
      </c>
      <c r="P61" s="1884" t="str">
        <f>K59</f>
        <v>建筑物剩余耐用年限下的土地年期修正系数Kn</v>
      </c>
      <c r="Q61" s="1885">
        <f ca="1">L59</f>
        <v>0.76349999999999996</v>
      </c>
      <c r="R61" s="1885" t="s">
        <v>1563</v>
      </c>
    </row>
    <row r="62" spans="1:18" s="1841" customFormat="1" ht="13.5" thickBot="1">
      <c r="A62" s="1200" t="s">
        <v>1489</v>
      </c>
      <c r="B62" s="1167" t="s">
        <v>1490</v>
      </c>
      <c r="C62" s="25">
        <f ca="1">IF(项目基本情况!B11="自然人","——",ROUND(F62*F63/10000,2))</f>
        <v>0.41</v>
      </c>
      <c r="D62" s="1183" t="s">
        <v>1491</v>
      </c>
      <c r="E62" s="1168" t="s">
        <v>1492</v>
      </c>
      <c r="F62" s="370">
        <f t="shared" si="0"/>
        <v>1.5</v>
      </c>
      <c r="I62" s="1927" t="s">
        <v>1564</v>
      </c>
      <c r="J62" s="1928" t="s">
        <v>1565</v>
      </c>
      <c r="K62" s="1928" t="s">
        <v>1566</v>
      </c>
      <c r="L62" s="1928" t="s">
        <v>1567</v>
      </c>
      <c r="M62" s="1929" t="s">
        <v>1568</v>
      </c>
      <c r="O62" s="1883" t="s">
        <v>1042</v>
      </c>
      <c r="P62" s="1884" t="s">
        <v>1569</v>
      </c>
      <c r="Q62" s="1885">
        <f ca="1">Q56+Q57</f>
        <v>3796</v>
      </c>
      <c r="R62" s="1885" t="s">
        <v>1043</v>
      </c>
    </row>
    <row r="63" spans="1:18" s="1841" customFormat="1" ht="13.5" thickBot="1">
      <c r="A63" s="371"/>
      <c r="B63" s="1174"/>
      <c r="C63" s="29"/>
      <c r="D63" s="1184"/>
      <c r="E63" s="1168" t="s">
        <v>1493</v>
      </c>
      <c r="F63" s="347">
        <f t="shared" ca="1" si="0"/>
        <v>2745.13</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14.3</v>
      </c>
      <c r="D64" s="1182" t="s">
        <v>1496</v>
      </c>
      <c r="E64" s="1168" t="s">
        <v>1488</v>
      </c>
      <c r="F64" s="373">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1.4</v>
      </c>
      <c r="D65" s="1182" t="s">
        <v>1448</v>
      </c>
      <c r="E65" s="1168" t="s">
        <v>1449</v>
      </c>
      <c r="F65" s="375">
        <f t="shared" ca="1" si="0"/>
        <v>1.5E-3</v>
      </c>
      <c r="I65" s="1927" t="s">
        <v>1573</v>
      </c>
      <c r="J65" s="1928">
        <v>40</v>
      </c>
      <c r="K65" s="1928">
        <v>30</v>
      </c>
      <c r="L65" s="1928">
        <v>50</v>
      </c>
      <c r="M65" s="1930">
        <v>0.02</v>
      </c>
      <c r="O65" s="1883" t="s">
        <v>1036</v>
      </c>
      <c r="P65" s="1884" t="s">
        <v>1574</v>
      </c>
      <c r="Q65" s="1885">
        <f ca="1">C40+J29</f>
        <v>3742</v>
      </c>
      <c r="R65" s="1885" t="s">
        <v>1523</v>
      </c>
    </row>
    <row r="66" spans="1:18" s="1841" customFormat="1" ht="16.5" thickBot="1">
      <c r="A66" s="1200" t="s">
        <v>1498</v>
      </c>
      <c r="B66" s="1168" t="s">
        <v>1433</v>
      </c>
      <c r="C66" s="24">
        <f ca="1">ROUND(C48*F66,1)</f>
        <v>0</v>
      </c>
      <c r="D66" s="1182" t="s">
        <v>1499</v>
      </c>
      <c r="E66" s="1168" t="s">
        <v>1416</v>
      </c>
      <c r="F66" s="356">
        <f t="shared" ca="1" si="0"/>
        <v>0.01</v>
      </c>
      <c r="O66" s="1883" t="s">
        <v>1037</v>
      </c>
      <c r="P66" s="1884" t="s">
        <v>1552</v>
      </c>
      <c r="Q66" s="1885">
        <f ca="1">L60</f>
        <v>54</v>
      </c>
      <c r="R66" s="1885" t="s">
        <v>1575</v>
      </c>
    </row>
    <row r="67" spans="1:18" s="1841" customFormat="1" ht="16.5" thickBot="1">
      <c r="A67" s="1175" t="s">
        <v>1027</v>
      </c>
      <c r="B67" s="1185" t="s">
        <v>1457</v>
      </c>
      <c r="C67" s="360">
        <f ca="1">C48-C58</f>
        <v>-136</v>
      </c>
      <c r="D67" s="1181" t="s">
        <v>1458</v>
      </c>
      <c r="E67" s="1186"/>
      <c r="F67" s="1187"/>
      <c r="O67" s="1893" t="s">
        <v>1038</v>
      </c>
      <c r="P67" s="1884" t="s">
        <v>1556</v>
      </c>
      <c r="Q67" s="1931">
        <f ca="1">L51</f>
        <v>3085</v>
      </c>
      <c r="R67" s="1885" t="s">
        <v>1576</v>
      </c>
    </row>
    <row r="68" spans="1:18" s="1841" customFormat="1" ht="16.5" thickBot="1">
      <c r="A68" s="1165" t="s">
        <v>1028</v>
      </c>
      <c r="B68" s="1166" t="s">
        <v>1479</v>
      </c>
      <c r="C68" s="345">
        <f ca="1">ROUND(C67*(1-((1+F70)/(1+F68))^F69)/(F68-F70),0)</f>
        <v>-1824</v>
      </c>
      <c r="D68" s="1183" t="s">
        <v>1463</v>
      </c>
      <c r="E68" s="1168" t="s">
        <v>1464</v>
      </c>
      <c r="F68" s="356">
        <f ca="1">F40</f>
        <v>5.5E-2</v>
      </c>
      <c r="O68" s="1893" t="s">
        <v>1039</v>
      </c>
      <c r="P68" s="1932" t="s">
        <v>1577</v>
      </c>
      <c r="Q68" s="1885">
        <f ca="1">ROUND(Q69-Q70*Q71,0)</f>
        <v>200</v>
      </c>
      <c r="R68" s="1885" t="s">
        <v>1047</v>
      </c>
    </row>
    <row r="69" spans="1:18" s="1841" customFormat="1" ht="13.5" thickBot="1">
      <c r="A69" s="1169"/>
      <c r="B69" s="1170"/>
      <c r="C69" s="350"/>
      <c r="D69" s="1188" t="s">
        <v>1467</v>
      </c>
      <c r="E69" s="1168" t="s">
        <v>1468</v>
      </c>
      <c r="F69" s="378">
        <f ca="1">F41</f>
        <v>25</v>
      </c>
      <c r="O69" s="1893" t="s">
        <v>1044</v>
      </c>
      <c r="P69" s="1932" t="s">
        <v>1578</v>
      </c>
      <c r="Q69" s="1885">
        <f ca="1">C39</f>
        <v>279</v>
      </c>
      <c r="R69" s="1885" t="s">
        <v>1523</v>
      </c>
    </row>
    <row r="70" spans="1:18" s="1841" customFormat="1" ht="13.5" thickBot="1">
      <c r="A70" s="1172"/>
      <c r="B70" s="1173"/>
      <c r="C70" s="354"/>
      <c r="D70" s="1184"/>
      <c r="E70" s="1168" t="s">
        <v>1471</v>
      </c>
      <c r="F70" s="1274"/>
      <c r="O70" s="1893" t="s">
        <v>1045</v>
      </c>
      <c r="P70" s="1932" t="s">
        <v>1579</v>
      </c>
      <c r="Q70" s="1885">
        <f ca="1">C13</f>
        <v>935</v>
      </c>
      <c r="R70" s="1885" t="s">
        <v>1523</v>
      </c>
    </row>
    <row r="71" spans="1:18" s="1841" customFormat="1" ht="13.5" thickBot="1">
      <c r="A71" s="1189" t="s">
        <v>1029</v>
      </c>
      <c r="B71" s="1190" t="s">
        <v>1481</v>
      </c>
      <c r="C71" s="381">
        <f ca="1">ROUND(C68*10000/F71,0)</f>
        <v>-5028</v>
      </c>
      <c r="D71" s="1191" t="s">
        <v>1482</v>
      </c>
      <c r="E71" s="1192" t="s">
        <v>1483</v>
      </c>
      <c r="F71" s="384">
        <f ca="1">F43</f>
        <v>3627.92</v>
      </c>
      <c r="O71" s="1893" t="s">
        <v>1046</v>
      </c>
      <c r="P71" s="1932" t="s">
        <v>1580</v>
      </c>
      <c r="Q71" s="1896">
        <f ca="1">C76</f>
        <v>8.5000000000000006E-2</v>
      </c>
      <c r="R71" s="1885"/>
    </row>
    <row r="72" spans="1:18" s="1841" customFormat="1" ht="13.5" thickBot="1">
      <c r="B72" s="795"/>
      <c r="C72" s="795"/>
      <c r="O72" s="1893" t="s">
        <v>1040</v>
      </c>
      <c r="P72" s="1884" t="s">
        <v>1558</v>
      </c>
      <c r="Q72" s="1896">
        <f ca="1">L52</f>
        <v>4.8000000000000001E-2</v>
      </c>
      <c r="R72" s="1885"/>
    </row>
    <row r="73" spans="1:18" ht="16.5" thickBot="1">
      <c r="A73" s="1841"/>
      <c r="B73" s="795"/>
      <c r="C73" s="795"/>
      <c r="D73" s="1841"/>
      <c r="E73" s="1841"/>
      <c r="F73" s="1841"/>
      <c r="O73" s="1893" t="s">
        <v>1041</v>
      </c>
      <c r="P73" s="1884" t="s">
        <v>1561</v>
      </c>
      <c r="Q73" s="1885">
        <f ca="1">L58</f>
        <v>0.82099999999999995</v>
      </c>
      <c r="R73" s="1885" t="s">
        <v>1562</v>
      </c>
    </row>
    <row r="74" spans="1:18" ht="13.5" thickBot="1">
      <c r="A74" s="1841"/>
      <c r="B74" s="316" t="s">
        <v>1581</v>
      </c>
      <c r="C74" s="1934"/>
      <c r="D74" s="1841"/>
      <c r="E74" s="1841"/>
      <c r="F74" s="1841"/>
      <c r="O74" s="1893" t="s">
        <v>1048</v>
      </c>
      <c r="P74" s="1884" t="str">
        <f>K59</f>
        <v>建筑物剩余耐用年限下的土地年期修正系数Kn</v>
      </c>
      <c r="Q74" s="1885">
        <f ca="1">L59</f>
        <v>0.76349999999999996</v>
      </c>
      <c r="R74" s="1885" t="s">
        <v>1563</v>
      </c>
    </row>
    <row r="75" spans="1:18" ht="13.5" thickBot="1">
      <c r="A75" s="1841"/>
      <c r="B75" s="385" t="s">
        <v>1500</v>
      </c>
      <c r="C75" s="386">
        <f ca="1">ROUND(C13*C76,0)</f>
        <v>79</v>
      </c>
      <c r="D75" s="1841"/>
      <c r="E75" s="1841"/>
      <c r="F75" s="1841"/>
      <c r="K75" s="1867"/>
      <c r="L75" s="1841"/>
      <c r="O75" s="1883" t="s">
        <v>1042</v>
      </c>
      <c r="P75" s="1884" t="s">
        <v>1543</v>
      </c>
      <c r="Q75" s="1885">
        <f ca="1">Q65+Q66</f>
        <v>3796</v>
      </c>
      <c r="R75" s="1885" t="s">
        <v>1043</v>
      </c>
    </row>
    <row r="76" spans="1:18">
      <c r="B76" s="387" t="s">
        <v>1501</v>
      </c>
      <c r="C76" s="388">
        <f ca="1">INDIRECT("'数据-取费表'!j"&amp;$G$1)</f>
        <v>8.5000000000000006E-2</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0.71700000000000008</v>
      </c>
    </row>
    <row r="80" spans="1:18">
      <c r="B80" s="385" t="s">
        <v>1505</v>
      </c>
      <c r="C80" s="317">
        <f ca="1">ROUND(C75/C39,3)</f>
        <v>0.28299999999999997</v>
      </c>
    </row>
    <row r="81" spans="2:3">
      <c r="B81" s="313" t="s">
        <v>1506</v>
      </c>
      <c r="C81" s="281"/>
    </row>
    <row r="82" spans="2:3">
      <c r="B82" s="316" t="s">
        <v>1507</v>
      </c>
      <c r="C82" s="318">
        <f ca="1">1-C83</f>
        <v>0.75</v>
      </c>
    </row>
    <row r="83" spans="2:3">
      <c r="B83" s="316" t="s">
        <v>1508</v>
      </c>
      <c r="C83" s="317">
        <f ca="1">ROUND(C13/C40,3)</f>
        <v>0.25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7" zoomScale="70" zoomScaleNormal="70" zoomScaleSheetLayoutView="90" workbookViewId="0">
      <selection activeCell="J52" sqref="J5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3059</v>
      </c>
      <c r="D1" s="1819" t="s">
        <v>70</v>
      </c>
      <c r="E1" s="1820" t="s">
        <v>1381</v>
      </c>
      <c r="F1" s="1282">
        <f ca="1">J53</f>
        <v>28.92</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6185</v>
      </c>
      <c r="C2" s="1844" t="s">
        <v>1510</v>
      </c>
      <c r="D2" s="1844"/>
      <c r="E2" s="1845"/>
      <c r="F2" s="1846"/>
      <c r="G2" s="1847"/>
      <c r="H2" s="1839"/>
      <c r="I2" s="1839"/>
      <c r="J2" s="1839"/>
      <c r="K2" s="1840"/>
      <c r="L2" s="1839"/>
      <c r="M2" s="1839"/>
    </row>
    <row r="3" spans="1:37" ht="18" customHeight="1" thickBot="1">
      <c r="A3" s="1848" t="s">
        <v>1511</v>
      </c>
      <c r="B3" s="1849">
        <f ca="1">IF(ISERROR(B2*10000/F43),0,ROUND(B2*10000/F43,0))</f>
        <v>10998</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555</v>
      </c>
      <c r="D5" s="1821" t="s">
        <v>1396</v>
      </c>
      <c r="E5" s="1292"/>
      <c r="F5" s="1293"/>
      <c r="G5" s="1850"/>
      <c r="H5" s="343">
        <v>1</v>
      </c>
      <c r="I5" s="344" t="s">
        <v>1395</v>
      </c>
      <c r="J5" s="1291">
        <f ca="1">J6+J10+J12</f>
        <v>0</v>
      </c>
      <c r="K5" s="1821" t="s">
        <v>1396</v>
      </c>
      <c r="L5" s="1292"/>
      <c r="M5" s="1293"/>
    </row>
    <row r="6" spans="1:37" ht="18" customHeight="1">
      <c r="A6" s="1290" t="s">
        <v>1031</v>
      </c>
      <c r="B6" s="3209" t="s">
        <v>1397</v>
      </c>
      <c r="C6" s="1295">
        <f ca="1">ROUND(F6*F8*F7*(1-F9)/10000,0)</f>
        <v>554</v>
      </c>
      <c r="D6" s="163" t="s">
        <v>3028</v>
      </c>
      <c r="E6" s="346" t="s">
        <v>1399</v>
      </c>
      <c r="F6" s="347">
        <f ca="1">INDIRECT("'数据-取费表'!u"&amp;$G$1)</f>
        <v>3</v>
      </c>
      <c r="G6" s="1850"/>
      <c r="H6" s="1290" t="s">
        <v>1031</v>
      </c>
      <c r="I6" s="3209" t="s">
        <v>1397</v>
      </c>
      <c r="J6" s="345">
        <f ca="1">ROUND(M6*M8*M7*(1-M9)/10000,0)</f>
        <v>0</v>
      </c>
      <c r="K6" s="163" t="s">
        <v>3027</v>
      </c>
      <c r="L6" s="346" t="s">
        <v>1399</v>
      </c>
      <c r="M6" s="347">
        <f ca="1">INDIRECT("'数据-取费表'!z"&amp;$G$1)</f>
        <v>0</v>
      </c>
    </row>
    <row r="7" spans="1:37" ht="18" customHeight="1">
      <c r="A7" s="1294"/>
      <c r="B7" s="3210"/>
      <c r="C7" s="1296"/>
      <c r="D7" s="351"/>
      <c r="E7" s="2956" t="s">
        <v>1400</v>
      </c>
      <c r="F7" s="347">
        <f ca="1">IF(INDIRECT("'数据-取费表'!ah"&amp;$G$1)="",INDIRECT("'数据-取费表'!k"&amp;$G$1),INDIRECT("'数据-取费表'!ah"&amp;$G$1))</f>
        <v>5623.62</v>
      </c>
      <c r="G7" s="1850"/>
      <c r="H7" s="348"/>
      <c r="I7" s="3210"/>
      <c r="J7" s="350"/>
      <c r="K7" s="351"/>
      <c r="L7" s="346" t="s">
        <v>1400</v>
      </c>
      <c r="M7" s="347">
        <f ca="1">F7</f>
        <v>5623.62</v>
      </c>
    </row>
    <row r="8" spans="1:37" ht="18" customHeight="1">
      <c r="A8" s="348"/>
      <c r="B8" s="3210"/>
      <c r="C8" s="350"/>
      <c r="D8" s="351"/>
      <c r="E8" s="346" t="s">
        <v>1401</v>
      </c>
      <c r="F8" s="347">
        <f ca="1">INDIRECT("'数据-取费表'!ai"&amp;$G$1)</f>
        <v>365</v>
      </c>
      <c r="G8" s="1850"/>
      <c r="H8" s="348"/>
      <c r="I8" s="3210"/>
      <c r="J8" s="350"/>
      <c r="K8" s="351"/>
      <c r="L8" s="346" t="s">
        <v>1401</v>
      </c>
      <c r="M8" s="347">
        <f ca="1">INDIRECT("'数据-取费表'!ai"&amp;$G$1)</f>
        <v>365</v>
      </c>
    </row>
    <row r="9" spans="1:37" ht="18" customHeight="1">
      <c r="A9" s="348"/>
      <c r="B9" s="3211"/>
      <c r="C9" s="350"/>
      <c r="D9" s="351"/>
      <c r="E9" s="346" t="s">
        <v>1402</v>
      </c>
      <c r="F9" s="356">
        <f ca="1">INDIRECT("'数据-取费表'!w"&amp;$G$1)</f>
        <v>0.1</v>
      </c>
      <c r="G9" s="1850"/>
      <c r="H9" s="348"/>
      <c r="I9" s="3211"/>
      <c r="J9" s="350"/>
      <c r="K9" s="351"/>
      <c r="L9" s="357" t="s">
        <v>1402</v>
      </c>
      <c r="M9" s="358">
        <f ca="1">INDIRECT("'数据-取费表'!ab"&amp;$G$1)</f>
        <v>0</v>
      </c>
    </row>
    <row r="10" spans="1:37" ht="18" customHeight="1">
      <c r="A10" s="1290" t="s">
        <v>1035</v>
      </c>
      <c r="B10" s="1822" t="s">
        <v>1403</v>
      </c>
      <c r="C10" s="360">
        <f ca="1">ROUND(IF(F10="押一",C6/12*F11,IF(F10="押二",C6/12*2*F11,IF(F10="押三",C6/12*3*F11,C11*F11))),0)</f>
        <v>1</v>
      </c>
      <c r="D10" s="1823" t="s">
        <v>3036</v>
      </c>
      <c r="E10" s="357" t="s">
        <v>1404</v>
      </c>
      <c r="F10" s="1365" t="s">
        <v>3081</v>
      </c>
      <c r="G10" s="1850"/>
      <c r="H10" s="1290" t="s">
        <v>1035</v>
      </c>
      <c r="I10" s="1822" t="s">
        <v>1403</v>
      </c>
      <c r="J10" s="345">
        <f ca="1">ROUND(IF(M10="押一",J6/12*M11,IF(M10="押二",J6/12*2*M11,IF(M10="押三",J6/12*3*M11,J11*M11))),0)</f>
        <v>0</v>
      </c>
      <c r="K10" s="1823" t="s">
        <v>3036</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1559</v>
      </c>
      <c r="D13" s="1330" t="s">
        <v>1409</v>
      </c>
      <c r="E13" s="1330" t="s">
        <v>1410</v>
      </c>
      <c r="F13" s="1331">
        <f ca="1">INDIRECT("'数据-取费表'!y"&amp;$G$1)</f>
        <v>0.69399999999999995</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1713</v>
      </c>
      <c r="D14" s="2959" t="s">
        <v>1412</v>
      </c>
      <c r="E14" s="2958"/>
      <c r="F14" s="363"/>
      <c r="G14" s="1850"/>
      <c r="H14" s="1200" t="s">
        <v>1031</v>
      </c>
      <c r="I14" s="346" t="s">
        <v>1413</v>
      </c>
      <c r="J14" s="24">
        <f ca="1">C29</f>
        <v>2247</v>
      </c>
      <c r="K14" s="2955"/>
      <c r="L14" s="978"/>
      <c r="M14" s="979"/>
    </row>
    <row r="15" spans="1:37" s="1857" customFormat="1" ht="18" customHeight="1" thickBot="1">
      <c r="A15" s="1200" t="s">
        <v>1032</v>
      </c>
      <c r="B15" s="346" t="s">
        <v>1414</v>
      </c>
      <c r="C15" s="24">
        <f ca="1">ROUND(C14*F15,0)</f>
        <v>51</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42</v>
      </c>
      <c r="K16" s="1336" t="s">
        <v>1419</v>
      </c>
      <c r="L16" s="2961"/>
      <c r="M16" s="1293"/>
    </row>
    <row r="17" spans="1:37" s="1857" customFormat="1" ht="18" customHeight="1">
      <c r="A17" s="1200" t="s">
        <v>1384</v>
      </c>
      <c r="B17" s="346" t="s">
        <v>1420</v>
      </c>
      <c r="C17" s="24">
        <f ca="1">ROUND(F17*(F43+INDIRECT("'数据-取费表'!S"&amp;$G$1))/10000,0)</f>
        <v>114</v>
      </c>
      <c r="D17" s="346" t="s">
        <v>1421</v>
      </c>
      <c r="E17" s="346" t="s">
        <v>1422</v>
      </c>
      <c r="F17" s="26">
        <f>'数据-取费表'!B35</f>
        <v>200</v>
      </c>
      <c r="G17" s="1853"/>
      <c r="H17" s="1200" t="s">
        <v>1031</v>
      </c>
      <c r="I17" s="346" t="s">
        <v>1423</v>
      </c>
      <c r="J17" s="24">
        <f ca="1">ROUND(IF(项目基本情况!B11="自然人",J6*M17/(1+'数据-取费表'!C42),J18+J19+J20),1)</f>
        <v>19.5</v>
      </c>
      <c r="K17" s="2959" t="s">
        <v>1424</v>
      </c>
      <c r="L17" s="2960"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26</v>
      </c>
      <c r="D18" s="346" t="s">
        <v>1415</v>
      </c>
      <c r="E18" s="346" t="s">
        <v>1416</v>
      </c>
      <c r="F18" s="366">
        <f>'数据-取费表'!B36</f>
        <v>1.4999999999999999E-2</v>
      </c>
      <c r="G18" s="1853"/>
      <c r="H18" s="1200" t="s">
        <v>1030</v>
      </c>
      <c r="I18" s="346" t="s">
        <v>1427</v>
      </c>
      <c r="J18" s="24">
        <f ca="1">ROUND(J6*M18/(1+'数据-取费表'!C42),2)</f>
        <v>0</v>
      </c>
      <c r="K18" s="2960"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1904</v>
      </c>
      <c r="D19" s="139" t="s">
        <v>1430</v>
      </c>
      <c r="E19" s="2954"/>
      <c r="F19" s="26"/>
      <c r="G19" s="1850"/>
      <c r="H19" s="1200" t="s">
        <v>1032</v>
      </c>
      <c r="I19" s="346" t="s">
        <v>1431</v>
      </c>
      <c r="J19" s="24">
        <f ca="1">IF(K19="按租金收入计税",ROUND(J6*M19/(1+'数据-取费表'!C42),2),ROUND(C29*M19*0.7,2))</f>
        <v>18.87</v>
      </c>
      <c r="K19" s="1827" t="s">
        <v>1432</v>
      </c>
      <c r="L19" s="346" t="s">
        <v>1416</v>
      </c>
      <c r="M19" s="366">
        <f>IF(K19="按租金收入计税",'数据-取费表'!B51,'数据-取费表'!B50)</f>
        <v>1.2E-2</v>
      </c>
    </row>
    <row r="20" spans="1:37" s="1857" customFormat="1" ht="18" customHeight="1">
      <c r="A20" s="1200" t="s">
        <v>1035</v>
      </c>
      <c r="B20" s="346" t="s">
        <v>1433</v>
      </c>
      <c r="C20" s="24">
        <f ca="1">ROUND(C19*F20,0)</f>
        <v>38</v>
      </c>
      <c r="D20" s="368" t="s">
        <v>1434</v>
      </c>
      <c r="E20" s="346" t="s">
        <v>1416</v>
      </c>
      <c r="F20" s="366">
        <f>'数据-取费表'!B37</f>
        <v>0.02</v>
      </c>
      <c r="G20" s="1853"/>
      <c r="H20" s="1200" t="s">
        <v>1383</v>
      </c>
      <c r="I20" s="163" t="s">
        <v>1435</v>
      </c>
      <c r="J20" s="25">
        <f ca="1">ROUND(M20*M21/10000,2)</f>
        <v>0.65</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4321.62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单利计息。建造成本、管理费用、销售费用产生的利息。</v>
      </c>
      <c r="E22" s="2954"/>
      <c r="F22" s="26"/>
      <c r="G22" s="1850"/>
      <c r="H22" s="1200" t="s">
        <v>1035</v>
      </c>
      <c r="I22" s="346" t="s">
        <v>1443</v>
      </c>
      <c r="J22" s="24">
        <f ca="1">ROUND(J14*M22,1)</f>
        <v>22.5</v>
      </c>
      <c r="K22" s="2960" t="s">
        <v>1444</v>
      </c>
      <c r="L22" s="346" t="s">
        <v>1416</v>
      </c>
      <c r="M22" s="373">
        <f ca="1">INDIRECT("'数据-取费表'!Ak"&amp;$G$1)</f>
        <v>0.01</v>
      </c>
    </row>
    <row r="23" spans="1:37" s="1857" customFormat="1" ht="18" customHeight="1">
      <c r="A23" s="1200" t="s">
        <v>1030</v>
      </c>
      <c r="B23" s="346" t="s">
        <v>1445</v>
      </c>
      <c r="C23" s="24">
        <f ca="1">IF('数据-取费表'!B22&lt;=1,ROUND(C19*F24*F23/2,0)+ROUND(C20*F24*F23/2,0),ROUND(C19*(POWER((1+F24),F23/2)-1),0)+ROUND(C20*(POWER((1+F24),F23/2)-1),0))</f>
        <v>42</v>
      </c>
      <c r="D23" s="374" t="str">
        <f>IF(F23&lt;=1,"(建造成本+管理费用)×利率×(建设周期÷2)","(建造成本+管理费用)×((1+利率)^(建设周期÷2)-1)")</f>
        <v>(建造成本+管理费用)×利率×(建设周期÷2)</v>
      </c>
      <c r="E23" s="346" t="s">
        <v>1446</v>
      </c>
      <c r="F23" s="370">
        <f>'数据-取费表'!B20</f>
        <v>1</v>
      </c>
      <c r="G23" s="1853"/>
      <c r="H23" s="1200" t="s">
        <v>1071</v>
      </c>
      <c r="I23" s="346" t="s">
        <v>1447</v>
      </c>
      <c r="J23" s="24">
        <f ca="1">ROUND(J13*M23,1)</f>
        <v>0</v>
      </c>
      <c r="K23" s="2960"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1032</v>
      </c>
      <c r="B24" s="346" t="s">
        <v>1451</v>
      </c>
      <c r="C24" s="24">
        <f ca="1">ROUND(IF('数据-取费表'!B22&lt;=1,F21*F24*F23/2,F21*(POWER((1+F24),F23/2)-1)),4)</f>
        <v>4.0000000000000002E-4</v>
      </c>
      <c r="D24" s="374" t="str">
        <f>IF(F23&lt;=1,"销售费用×利率×(建设周期÷2)","销售费用×((1+利率)^(建设周期÷2)-1)")</f>
        <v>销售费用×利率×(建设周期÷2)</v>
      </c>
      <c r="E24" s="346" t="s">
        <v>1452</v>
      </c>
      <c r="F24" s="376">
        <f ca="1">'数据-取费表'!B40</f>
        <v>4.3499999999999997E-2</v>
      </c>
      <c r="G24" s="1853"/>
      <c r="H24" s="1338" t="s">
        <v>1386</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2954"/>
      <c r="F25" s="26"/>
      <c r="G25" s="1850"/>
      <c r="H25" s="1328" t="s">
        <v>1027</v>
      </c>
      <c r="I25" s="1343" t="s">
        <v>1457</v>
      </c>
      <c r="J25" s="354">
        <f ca="1">J5-J16</f>
        <v>-42</v>
      </c>
      <c r="K25" s="1344" t="s">
        <v>1458</v>
      </c>
      <c r="L25" s="1345"/>
      <c r="M25" s="1346"/>
    </row>
    <row r="26" spans="1:37">
      <c r="A26" s="1200" t="s">
        <v>1030</v>
      </c>
      <c r="B26" s="346" t="s">
        <v>1459</v>
      </c>
      <c r="C26" s="24">
        <f ca="1">ROUND((C19+C20)*F26,0)</f>
        <v>97</v>
      </c>
      <c r="D26" s="368" t="s">
        <v>1460</v>
      </c>
      <c r="E26" s="357" t="s">
        <v>1461</v>
      </c>
      <c r="F26" s="356">
        <f ca="1">INDIRECT("'数据-取费表'!q"&amp;$G$1)</f>
        <v>0.05</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2247</v>
      </c>
      <c r="D29" s="1341"/>
      <c r="E29" s="1339"/>
      <c r="F29" s="1342"/>
      <c r="G29" s="1853"/>
      <c r="H29" s="379" t="s">
        <v>1029</v>
      </c>
      <c r="I29" s="380" t="s">
        <v>1473</v>
      </c>
      <c r="J29" s="381">
        <f ca="1">ROUND(J26/(1+F40)^F41,0)</f>
        <v>0</v>
      </c>
      <c r="K29" s="382" t="s">
        <v>1474</v>
      </c>
      <c r="L29" s="383"/>
      <c r="M29" s="384">
        <f ca="1">INDIRECT("'数据-取费表'!k"&amp;$G$1)</f>
        <v>5623.62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123</v>
      </c>
      <c r="D30" s="1336" t="s">
        <v>1419</v>
      </c>
      <c r="E30" s="2961"/>
      <c r="F30" s="1293"/>
      <c r="G30" s="1850"/>
      <c r="H30" s="744"/>
      <c r="I30" s="745"/>
      <c r="J30" s="746"/>
      <c r="K30" s="747"/>
      <c r="L30" s="748"/>
      <c r="M30" s="749"/>
    </row>
    <row r="31" spans="1:37" ht="18" customHeight="1">
      <c r="A31" s="1200" t="s">
        <v>1031</v>
      </c>
      <c r="B31" s="346" t="s">
        <v>1423</v>
      </c>
      <c r="C31" s="24">
        <f ca="1">ROUND(IF(项目基本情况!B11="自然人",C6*F31/(1+'数据-取费表'!C42),C32+C33+C34),1)</f>
        <v>93</v>
      </c>
      <c r="D31" s="2959" t="s">
        <v>1424</v>
      </c>
      <c r="E31" s="2960"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IF(项目基本情况!B11="自然人","——",ROUND(C6*F32/(1+'数据-取费表'!C42),2))</f>
        <v>29.02</v>
      </c>
      <c r="D32" s="2960" t="s">
        <v>1428</v>
      </c>
      <c r="E32" s="346" t="s">
        <v>1416</v>
      </c>
      <c r="F32" s="376">
        <f>'数据-取费表'!B41</f>
        <v>5.5000000000000007E-2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63.31</v>
      </c>
      <c r="D33" s="1827" t="s">
        <v>3082</v>
      </c>
      <c r="E33" s="346" t="s">
        <v>1416</v>
      </c>
      <c r="F33" s="366">
        <f>IF(D33="按票据","——",IF(D33="按租金收入计税",'数据-取费表'!B51,'数据-取费表'!B50))</f>
        <v>0.12</v>
      </c>
      <c r="G33" s="1850"/>
      <c r="H33" s="1858"/>
      <c r="I33" s="1859"/>
      <c r="J33" s="1860"/>
      <c r="K33" s="1861"/>
      <c r="L33" s="1858"/>
      <c r="M33" s="1858"/>
    </row>
    <row r="34" spans="1:18" ht="18" customHeight="1">
      <c r="A34" s="1290" t="s">
        <v>1383</v>
      </c>
      <c r="B34" s="163" t="s">
        <v>1435</v>
      </c>
      <c r="C34" s="25">
        <f ca="1">IF(项目基本情况!B11="自然人","——",ROUND(F34*F35/10000,2))</f>
        <v>0.65</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4321.62</v>
      </c>
      <c r="G35" s="1850"/>
      <c r="H35" s="744"/>
      <c r="I35" s="1859"/>
      <c r="J35" s="1860"/>
      <c r="K35" s="1861"/>
      <c r="L35" s="1858"/>
      <c r="M35" s="1858"/>
    </row>
    <row r="36" spans="1:18" ht="18" customHeight="1">
      <c r="A36" s="1351" t="s">
        <v>1035</v>
      </c>
      <c r="B36" s="346" t="s">
        <v>1443</v>
      </c>
      <c r="C36" s="24">
        <f ca="1">ROUND(C29*F36,1)</f>
        <v>22.5</v>
      </c>
      <c r="D36" s="2960" t="s">
        <v>1476</v>
      </c>
      <c r="E36" s="346" t="s">
        <v>1416</v>
      </c>
      <c r="F36" s="373">
        <f ca="1">INDIRECT("'数据-取费表'!Ak"&amp;$G$1)</f>
        <v>0.01</v>
      </c>
      <c r="G36" s="1850"/>
      <c r="H36" s="1858"/>
      <c r="I36" s="1859"/>
      <c r="J36" s="1860"/>
      <c r="K36" s="750"/>
      <c r="L36" s="1858"/>
      <c r="M36" s="1858"/>
    </row>
    <row r="37" spans="1:18" ht="18" customHeight="1">
      <c r="A37" s="1200" t="s">
        <v>1071</v>
      </c>
      <c r="B37" s="346" t="s">
        <v>1447</v>
      </c>
      <c r="C37" s="24">
        <f ca="1">ROUND(C13*F37,1)</f>
        <v>2.2999999999999998</v>
      </c>
      <c r="D37" s="2960" t="s">
        <v>1448</v>
      </c>
      <c r="E37" s="346" t="s">
        <v>1449</v>
      </c>
      <c r="F37" s="375">
        <f ca="1">INDIRECT("'数据-取费表'!Al"&amp;$G$1)</f>
        <v>1.5E-3</v>
      </c>
      <c r="G37" s="1850"/>
      <c r="H37" s="1858"/>
      <c r="I37" s="1859"/>
      <c r="J37" s="1860"/>
      <c r="K37" s="750"/>
      <c r="L37" s="1858"/>
      <c r="M37" s="1858"/>
    </row>
    <row r="38" spans="1:18" ht="18" customHeight="1" thickBot="1">
      <c r="A38" s="1338" t="s">
        <v>1386</v>
      </c>
      <c r="B38" s="1339" t="s">
        <v>1433</v>
      </c>
      <c r="C38" s="1340">
        <f ca="1">ROUND(C5*F38,1)</f>
        <v>5.6</v>
      </c>
      <c r="D38" s="1341" t="s">
        <v>1453</v>
      </c>
      <c r="E38" s="1339" t="s">
        <v>1449</v>
      </c>
      <c r="F38" s="1335">
        <f ca="1">INDIRECT("'数据-取费表'!Am"&amp;$G$1)</f>
        <v>0.01</v>
      </c>
      <c r="G38" s="1850"/>
      <c r="H38" s="1858"/>
      <c r="I38" s="1859"/>
      <c r="J38" s="1860"/>
      <c r="K38" s="1864"/>
      <c r="L38" s="1858"/>
      <c r="M38" s="1858"/>
    </row>
    <row r="39" spans="1:18" ht="24.6" customHeight="1" thickTop="1">
      <c r="A39" s="1328" t="s">
        <v>1027</v>
      </c>
      <c r="B39" s="1343" t="s">
        <v>1477</v>
      </c>
      <c r="C39" s="354">
        <f ca="1">C5-C30</f>
        <v>432</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6185</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28.92</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f ca="1">ROUND(C40*10000/F43,0)</f>
        <v>10998</v>
      </c>
      <c r="D43" s="382" t="s">
        <v>1482</v>
      </c>
      <c r="E43" s="383" t="s">
        <v>1483</v>
      </c>
      <c r="F43" s="384">
        <f ca="1">INDIRECT("'数据-取费表'!k"&amp;$G$1)</f>
        <v>5623.62</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-9249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t="s">
        <v>3083</v>
      </c>
      <c r="K47" s="1881" t="s">
        <v>1521</v>
      </c>
      <c r="L47" s="1882">
        <f ca="1">INDIRECT("'数据-取费表'!d"&amp;$G$1)</f>
        <v>50</v>
      </c>
      <c r="M47" s="1837" t="str">
        <f>IF(ISNUMBER(FIND("住宅",C1)),"住宅","非住宅")</f>
        <v>非住宅</v>
      </c>
      <c r="O47" s="1883" t="s">
        <v>1036</v>
      </c>
      <c r="P47" s="1884" t="s">
        <v>1522</v>
      </c>
      <c r="Q47" s="1885">
        <f ca="1">C40+J29</f>
        <v>6185</v>
      </c>
      <c r="R47" s="1885" t="s">
        <v>1523</v>
      </c>
    </row>
    <row r="48" spans="1:18" s="1841" customFormat="1" ht="28.5" thickBot="1">
      <c r="A48" s="1359" t="s">
        <v>1131</v>
      </c>
      <c r="B48" s="344" t="s">
        <v>1395</v>
      </c>
      <c r="C48" s="2953">
        <f ca="1">C49+C53+C55</f>
        <v>0</v>
      </c>
      <c r="D48" s="1361"/>
      <c r="E48" s="1362"/>
      <c r="F48" s="1180"/>
      <c r="G48" s="791"/>
      <c r="H48" s="792"/>
      <c r="I48" s="1886" t="s">
        <v>1524</v>
      </c>
      <c r="J48" s="1887" t="s">
        <v>3084</v>
      </c>
      <c r="K48" s="1888" t="s">
        <v>1525</v>
      </c>
      <c r="L48" s="1889">
        <f ca="1">INDIRECT("'数据-取费表'!f"&amp;$G$1)</f>
        <v>28.92</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3027</v>
      </c>
      <c r="E49" s="1829" t="s">
        <v>1485</v>
      </c>
      <c r="F49" s="1280"/>
      <c r="G49" s="1890"/>
      <c r="H49" s="792"/>
      <c r="I49" s="1886" t="s">
        <v>1528</v>
      </c>
      <c r="J49" s="1891">
        <v>1999</v>
      </c>
      <c r="K49" s="1888" t="s">
        <v>1529</v>
      </c>
      <c r="L49" s="1892"/>
      <c r="O49" s="1893" t="s">
        <v>1038</v>
      </c>
      <c r="P49" s="1884" t="s">
        <v>1530</v>
      </c>
      <c r="Q49" s="1885">
        <f ca="1">C29</f>
        <v>2247</v>
      </c>
      <c r="R49" s="1885" t="s">
        <v>1523</v>
      </c>
    </row>
    <row r="50" spans="1:18" s="1841" customFormat="1" ht="13.5" thickBot="1">
      <c r="A50" s="1194"/>
      <c r="B50" s="1197"/>
      <c r="C50" s="1367"/>
      <c r="D50" s="1171"/>
      <c r="E50" s="1276" t="s">
        <v>1400</v>
      </c>
      <c r="F50" s="1277">
        <f ca="1">F7</f>
        <v>5623.62</v>
      </c>
      <c r="H50" s="792"/>
      <c r="I50" s="1886" t="s">
        <v>1531</v>
      </c>
      <c r="J50" s="1894">
        <f>SUMPRODUCT((I63:I65=J47)*(J62:L62=J48)*(J63:L65))</f>
        <v>50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365</v>
      </c>
      <c r="I51" s="1897" t="s">
        <v>1534</v>
      </c>
      <c r="J51" s="1898">
        <f>IF(J49="",J50,J49+J50-YEAR('数据-取费表'!B2))</f>
        <v>29</v>
      </c>
      <c r="K51" s="1899" t="s">
        <v>1535</v>
      </c>
      <c r="L51" s="1900">
        <f ca="1">ROUND(-PV(INDIRECT("'数据-取费表'!h"&amp;$G$1),L48,(C39-C13*C76),0),0)</f>
        <v>4631</v>
      </c>
      <c r="M51" s="1901"/>
      <c r="O51" s="1893" t="s">
        <v>1040</v>
      </c>
      <c r="P51" s="1884" t="s">
        <v>1536</v>
      </c>
      <c r="Q51" s="1896">
        <f>J52</f>
        <v>0.09</v>
      </c>
      <c r="R51" s="1885"/>
    </row>
    <row r="52" spans="1:18" s="1841" customFormat="1" ht="13.5" thickBot="1">
      <c r="A52" s="1195"/>
      <c r="B52" s="1197"/>
      <c r="C52" s="1198"/>
      <c r="D52" s="1171"/>
      <c r="E52" s="1199" t="s">
        <v>1402</v>
      </c>
      <c r="F52" s="1274"/>
      <c r="I52" s="1902" t="s">
        <v>1537</v>
      </c>
      <c r="J52" s="3017">
        <v>0.09</v>
      </c>
      <c r="K52" s="1902" t="s">
        <v>1538</v>
      </c>
      <c r="L52" s="1903"/>
      <c r="O52" s="1893" t="s">
        <v>1041</v>
      </c>
      <c r="P52" s="1884" t="s">
        <v>1539</v>
      </c>
      <c r="Q52" s="1885">
        <f ca="1">J53</f>
        <v>28.92</v>
      </c>
      <c r="R52" s="1885" t="s">
        <v>1540</v>
      </c>
    </row>
    <row r="53" spans="1:18" s="1841" customFormat="1" ht="24.75" thickBot="1">
      <c r="A53" s="1404" t="s">
        <v>1133</v>
      </c>
      <c r="B53" s="1830" t="s">
        <v>1403</v>
      </c>
      <c r="C53" s="360">
        <f ca="1">ROUND(IF(F53="押一",C49/12*F11,IF(F53="押二",C49/12*2*F11,IF(F53="押三",C49/12*3*F11,C54*F11))),0)</f>
        <v>0</v>
      </c>
      <c r="D53" s="1823" t="s">
        <v>3036</v>
      </c>
      <c r="E53" s="357" t="s">
        <v>1404</v>
      </c>
      <c r="F53" s="1365"/>
      <c r="I53" s="1904" t="s">
        <v>1541</v>
      </c>
      <c r="J53" s="2949">
        <f ca="1">IF(M47="住宅",IF(D1="——",MAX(J51,L48),MAX(J51,L48-'数据-取费表'!B24)),IF(D1="——",MIN(J51,L48),MIN(J51,L48-'数据-取费表'!B24)))</f>
        <v>28.92</v>
      </c>
      <c r="K53" s="3207" t="s">
        <v>1542</v>
      </c>
      <c r="L53" s="3208"/>
      <c r="O53" s="1883" t="s">
        <v>1042</v>
      </c>
      <c r="P53" s="1884" t="s">
        <v>1543</v>
      </c>
      <c r="Q53" s="1885">
        <f ca="1">Q47+Q48</f>
        <v>6185</v>
      </c>
      <c r="R53" s="1885" t="s">
        <v>1043</v>
      </c>
    </row>
    <row r="54" spans="1:18" s="1841" customFormat="1" ht="13.5" thickBot="1">
      <c r="A54" s="1405"/>
      <c r="B54" s="1824" t="s">
        <v>1382</v>
      </c>
      <c r="C54" s="1177"/>
      <c r="D54" s="1823"/>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295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1559</v>
      </c>
      <c r="D56" s="1912"/>
      <c r="E56" s="1913"/>
      <c r="F56" s="1905"/>
      <c r="I56" s="1914" t="s">
        <v>1548</v>
      </c>
      <c r="J56" s="1915" t="s">
        <v>3062</v>
      </c>
      <c r="K56" s="1886" t="s">
        <v>1549</v>
      </c>
      <c r="L56" s="1889" t="str">
        <f ca="1">IF(L48&lt;J51,"——",L48-J53)</f>
        <v>——</v>
      </c>
      <c r="O56" s="1883" t="s">
        <v>1036</v>
      </c>
      <c r="P56" s="1884" t="s">
        <v>1522</v>
      </c>
      <c r="Q56" s="1885">
        <f ca="1">C40+J29</f>
        <v>6185</v>
      </c>
      <c r="R56" s="1885" t="s">
        <v>1523</v>
      </c>
    </row>
    <row r="57" spans="1:18" s="1841" customFormat="1" ht="24.75" thickBot="1">
      <c r="A57" s="1916"/>
      <c r="B57" s="1168" t="s">
        <v>1472</v>
      </c>
      <c r="C57" s="281">
        <f ca="1">C29</f>
        <v>2247</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59" t="s">
        <v>1026</v>
      </c>
      <c r="B58" s="1176" t="s">
        <v>1418</v>
      </c>
      <c r="C58" s="360">
        <f ca="1">ROUND(C59+C64+C65+C66,0)</f>
        <v>214</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189.4</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1431</v>
      </c>
      <c r="C61" s="24">
        <f ca="1">IF(项目基本情况!B11="自然人","——",IF(D61="按租金收入计税",ROUND(C48*F61,2),IF(D61="按房产原值计税",ROUND(C57*F61*0.7,2),INDIRECT("'数据-取费表'!Aj"&amp;$G$1))))</f>
        <v>188.75</v>
      </c>
      <c r="D61" s="1827" t="s">
        <v>1432</v>
      </c>
      <c r="E61" s="1168" t="s">
        <v>1488</v>
      </c>
      <c r="F61" s="366">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1435</v>
      </c>
      <c r="C62" s="25">
        <f ca="1">IF(项目基本情况!B11="自然人","——",ROUND(F62*F63/10000,2))</f>
        <v>0.65</v>
      </c>
      <c r="D62" s="1183" t="s">
        <v>1491</v>
      </c>
      <c r="E62" s="1168" t="s">
        <v>1437</v>
      </c>
      <c r="F62" s="370">
        <f t="shared" si="0"/>
        <v>1.5</v>
      </c>
      <c r="I62" s="1927" t="s">
        <v>1564</v>
      </c>
      <c r="J62" s="1928" t="s">
        <v>1565</v>
      </c>
      <c r="K62" s="1928" t="s">
        <v>1566</v>
      </c>
      <c r="L62" s="1928" t="s">
        <v>1567</v>
      </c>
      <c r="M62" s="1929" t="s">
        <v>1568</v>
      </c>
      <c r="O62" s="1883" t="s">
        <v>1042</v>
      </c>
      <c r="P62" s="1884" t="s">
        <v>1543</v>
      </c>
      <c r="Q62" s="1885">
        <f ca="1">Q56+Q57</f>
        <v>6185</v>
      </c>
      <c r="R62" s="1885" t="s">
        <v>1043</v>
      </c>
    </row>
    <row r="63" spans="1:18" s="1841" customFormat="1" ht="13.5" thickBot="1">
      <c r="A63" s="371"/>
      <c r="B63" s="1174"/>
      <c r="C63" s="29"/>
      <c r="D63" s="1184"/>
      <c r="E63" s="1168" t="s">
        <v>1493</v>
      </c>
      <c r="F63" s="347">
        <f t="shared" ca="1" si="0"/>
        <v>4321.62</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22.5</v>
      </c>
      <c r="D64" s="1182" t="s">
        <v>1496</v>
      </c>
      <c r="E64" s="1168" t="s">
        <v>1488</v>
      </c>
      <c r="F64" s="373">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2.2999999999999998</v>
      </c>
      <c r="D65" s="1182" t="s">
        <v>1448</v>
      </c>
      <c r="E65" s="1168" t="s">
        <v>1449</v>
      </c>
      <c r="F65" s="375">
        <f t="shared" ca="1" si="0"/>
        <v>1.5E-3</v>
      </c>
      <c r="I65" s="1927" t="s">
        <v>1573</v>
      </c>
      <c r="J65" s="1928">
        <v>40</v>
      </c>
      <c r="K65" s="1928">
        <v>30</v>
      </c>
      <c r="L65" s="1928">
        <v>50</v>
      </c>
      <c r="M65" s="1930">
        <v>0.02</v>
      </c>
      <c r="O65" s="1883" t="s">
        <v>1036</v>
      </c>
      <c r="P65" s="1884" t="s">
        <v>1522</v>
      </c>
      <c r="Q65" s="1885">
        <f ca="1">C40+J29</f>
        <v>6185</v>
      </c>
      <c r="R65" s="1885" t="s">
        <v>1523</v>
      </c>
    </row>
    <row r="66" spans="1:18" s="1841" customFormat="1" ht="16.5" thickBot="1">
      <c r="A66" s="1200" t="s">
        <v>1498</v>
      </c>
      <c r="B66" s="1168" t="s">
        <v>1433</v>
      </c>
      <c r="C66" s="24">
        <f ca="1">ROUND(C48*F66,1)</f>
        <v>0</v>
      </c>
      <c r="D66" s="1182" t="s">
        <v>1453</v>
      </c>
      <c r="E66" s="1168" t="s">
        <v>1416</v>
      </c>
      <c r="F66" s="356">
        <f t="shared" ca="1" si="0"/>
        <v>0.01</v>
      </c>
      <c r="O66" s="1883" t="s">
        <v>1037</v>
      </c>
      <c r="P66" s="1884" t="s">
        <v>1552</v>
      </c>
      <c r="Q66" s="1885">
        <f ca="1">L60</f>
        <v>0</v>
      </c>
      <c r="R66" s="1885" t="s">
        <v>1575</v>
      </c>
    </row>
    <row r="67" spans="1:18" s="1841" customFormat="1" ht="16.5" thickBot="1">
      <c r="A67" s="1175" t="s">
        <v>1027</v>
      </c>
      <c r="B67" s="1185" t="s">
        <v>1457</v>
      </c>
      <c r="C67" s="360">
        <f ca="1">C48-C58</f>
        <v>-214</v>
      </c>
      <c r="D67" s="1181" t="s">
        <v>1458</v>
      </c>
      <c r="E67" s="1186"/>
      <c r="F67" s="1187"/>
      <c r="O67" s="1893" t="s">
        <v>1038</v>
      </c>
      <c r="P67" s="1884" t="s">
        <v>1556</v>
      </c>
      <c r="Q67" s="1931">
        <f ca="1">L51</f>
        <v>4631</v>
      </c>
      <c r="R67" s="1885" t="s">
        <v>1576</v>
      </c>
    </row>
    <row r="68" spans="1:18" s="1841" customFormat="1" ht="16.5" thickBot="1">
      <c r="A68" s="1165" t="s">
        <v>1028</v>
      </c>
      <c r="B68" s="1166" t="s">
        <v>1479</v>
      </c>
      <c r="C68" s="345">
        <f ca="1">ROUND(C67*(1-((1+F70)/(1+F68))^F69)/(F68-F70),0)</f>
        <v>-3064</v>
      </c>
      <c r="D68" s="1183" t="s">
        <v>1463</v>
      </c>
      <c r="E68" s="1168" t="s">
        <v>1464</v>
      </c>
      <c r="F68" s="356">
        <f ca="1">F40</f>
        <v>5.5E-2</v>
      </c>
      <c r="O68" s="1893" t="s">
        <v>1039</v>
      </c>
      <c r="P68" s="1932" t="s">
        <v>1577</v>
      </c>
      <c r="Q68" s="1885">
        <f ca="1">ROUND(Q69-Q70*Q71,0)</f>
        <v>299</v>
      </c>
      <c r="R68" s="1885" t="s">
        <v>1047</v>
      </c>
    </row>
    <row r="69" spans="1:18" s="1841" customFormat="1" ht="13.5" thickBot="1">
      <c r="A69" s="1169"/>
      <c r="B69" s="1170"/>
      <c r="C69" s="350"/>
      <c r="D69" s="1188" t="s">
        <v>1467</v>
      </c>
      <c r="E69" s="1168" t="s">
        <v>1468</v>
      </c>
      <c r="F69" s="378">
        <f ca="1">F41</f>
        <v>28.92</v>
      </c>
      <c r="O69" s="1893" t="s">
        <v>1044</v>
      </c>
      <c r="P69" s="1932" t="s">
        <v>1578</v>
      </c>
      <c r="Q69" s="1885">
        <f ca="1">C39</f>
        <v>432</v>
      </c>
      <c r="R69" s="1885" t="s">
        <v>1523</v>
      </c>
    </row>
    <row r="70" spans="1:18" s="1841" customFormat="1" ht="13.5" thickBot="1">
      <c r="A70" s="1172"/>
      <c r="B70" s="1173"/>
      <c r="C70" s="354"/>
      <c r="D70" s="1184"/>
      <c r="E70" s="1168" t="s">
        <v>1471</v>
      </c>
      <c r="F70" s="1274"/>
      <c r="O70" s="1893" t="s">
        <v>1045</v>
      </c>
      <c r="P70" s="1932" t="s">
        <v>1579</v>
      </c>
      <c r="Q70" s="1885">
        <f ca="1">C13</f>
        <v>1559</v>
      </c>
      <c r="R70" s="1885" t="s">
        <v>1523</v>
      </c>
    </row>
    <row r="71" spans="1:18" s="1841" customFormat="1" ht="13.5" thickBot="1">
      <c r="A71" s="1189" t="s">
        <v>1029</v>
      </c>
      <c r="B71" s="1190" t="s">
        <v>1481</v>
      </c>
      <c r="C71" s="381">
        <f ca="1">ROUND(C68*10000/F71,0)</f>
        <v>-5448</v>
      </c>
      <c r="D71" s="1191" t="s">
        <v>1482</v>
      </c>
      <c r="E71" s="1192" t="s">
        <v>1483</v>
      </c>
      <c r="F71" s="384">
        <f ca="1">F43</f>
        <v>5623.62</v>
      </c>
      <c r="O71" s="1893" t="s">
        <v>1046</v>
      </c>
      <c r="P71" s="1932" t="s">
        <v>1580</v>
      </c>
      <c r="Q71" s="1896">
        <f ca="1">C76</f>
        <v>8.5000000000000006E-2</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5" t="s">
        <v>1500</v>
      </c>
      <c r="C75" s="386">
        <f ca="1">ROUND(C13*C76,0)</f>
        <v>133</v>
      </c>
      <c r="D75" s="1841"/>
      <c r="E75" s="1841"/>
      <c r="F75" s="1841"/>
      <c r="K75" s="1867"/>
      <c r="L75" s="1841"/>
      <c r="O75" s="1883" t="s">
        <v>1042</v>
      </c>
      <c r="P75" s="1884" t="s">
        <v>1543</v>
      </c>
      <c r="Q75" s="1885">
        <f ca="1">Q65+Q66</f>
        <v>6185</v>
      </c>
      <c r="R75" s="1885" t="s">
        <v>1043</v>
      </c>
    </row>
    <row r="76" spans="1:18">
      <c r="B76" s="387" t="s">
        <v>1501</v>
      </c>
      <c r="C76" s="388">
        <f ca="1">INDIRECT("'数据-取费表'!j"&amp;$G$1)</f>
        <v>8.5000000000000006E-2</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0.69199999999999995</v>
      </c>
    </row>
    <row r="80" spans="1:18">
      <c r="B80" s="385" t="s">
        <v>1505</v>
      </c>
      <c r="C80" s="317">
        <f ca="1">ROUND(C75/C39,3)</f>
        <v>0.308</v>
      </c>
    </row>
    <row r="81" spans="2:3">
      <c r="B81" s="313" t="s">
        <v>1506</v>
      </c>
      <c r="C81" s="281"/>
    </row>
    <row r="82" spans="2:3">
      <c r="B82" s="316" t="s">
        <v>1507</v>
      </c>
      <c r="C82" s="318">
        <f ca="1">1-C83</f>
        <v>0.748</v>
      </c>
    </row>
    <row r="83" spans="2:3">
      <c r="B83" s="316" t="s">
        <v>1508</v>
      </c>
      <c r="C83" s="317">
        <f ca="1">ROUND(C13/C40,3)</f>
        <v>0.252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5">
      <formula>$L$48&gt;$J$51</formula>
    </cfRule>
  </conditionalFormatting>
  <conditionalFormatting sqref="I55 I60">
    <cfRule type="expression" dxfId="131" priority="4">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1031</v>
      </c>
      <c r="B6" s="3209" t="s">
        <v>1397</v>
      </c>
      <c r="C6" s="1295">
        <f ca="1">ROUND(F6*F8*F7*(1-F9),0)</f>
        <v>0</v>
      </c>
      <c r="D6" s="163" t="s">
        <v>3025</v>
      </c>
      <c r="E6" s="346" t="s">
        <v>1399</v>
      </c>
      <c r="F6" s="347">
        <f ca="1">INDIRECT("'数据-取费表'!u"&amp;$G$1)</f>
        <v>0</v>
      </c>
      <c r="G6" s="1850"/>
      <c r="H6" s="1290" t="s">
        <v>1031</v>
      </c>
      <c r="I6" s="3209" t="s">
        <v>1397</v>
      </c>
      <c r="J6" s="345">
        <f ca="1">ROUND(M6*M8*M7*(1-M9),0)</f>
        <v>0</v>
      </c>
      <c r="K6" s="1833" t="s">
        <v>3026</v>
      </c>
      <c r="L6" s="346" t="s">
        <v>1399</v>
      </c>
      <c r="M6" s="347">
        <f ca="1">INDIRECT("'数据-取费表'!z"&amp;$G$1)</f>
        <v>0</v>
      </c>
    </row>
    <row r="7" spans="1:37" ht="18" customHeight="1">
      <c r="A7" s="1294"/>
      <c r="B7" s="3210"/>
      <c r="C7" s="1296"/>
      <c r="D7" s="351"/>
      <c r="E7" s="1297" t="s">
        <v>1400</v>
      </c>
      <c r="F7" s="347">
        <f ca="1">IF(INDIRECT("'数据-取费表'!ah"&amp;$G$1)="",INDIRECT("'数据-取费表'!k"&amp;$G$1),INDIRECT("'数据-取费表'!ah"&amp;$G$1))</f>
        <v>0</v>
      </c>
      <c r="G7" s="1850"/>
      <c r="H7" s="348"/>
      <c r="I7" s="3210"/>
      <c r="J7" s="350"/>
      <c r="K7" s="351"/>
      <c r="L7" s="346" t="s">
        <v>1400</v>
      </c>
      <c r="M7" s="347">
        <f ca="1">F7</f>
        <v>0</v>
      </c>
    </row>
    <row r="8" spans="1:37" ht="18" customHeight="1">
      <c r="A8" s="348"/>
      <c r="B8" s="3210"/>
      <c r="C8" s="350"/>
      <c r="D8" s="351"/>
      <c r="E8" s="346" t="s">
        <v>1401</v>
      </c>
      <c r="F8" s="347">
        <f ca="1">INDIRECT("'数据-取费表'!ai"&amp;$G$1)</f>
        <v>0</v>
      </c>
      <c r="G8" s="1850"/>
      <c r="H8" s="348"/>
      <c r="I8" s="3210"/>
      <c r="J8" s="350"/>
      <c r="K8" s="351"/>
      <c r="L8" s="346" t="s">
        <v>1401</v>
      </c>
      <c r="M8" s="347">
        <f ca="1">INDIRECT("'数据-取费表'!ai"&amp;$G$1)</f>
        <v>0</v>
      </c>
    </row>
    <row r="9" spans="1:37" ht="18" customHeight="1">
      <c r="A9" s="348"/>
      <c r="B9" s="3211"/>
      <c r="C9" s="350"/>
      <c r="D9" s="351"/>
      <c r="E9" s="346" t="s">
        <v>1402</v>
      </c>
      <c r="F9" s="356">
        <f ca="1">INDIRECT("'数据-取费表'!w"&amp;$G$1)</f>
        <v>0</v>
      </c>
      <c r="G9" s="1850"/>
      <c r="H9" s="348"/>
      <c r="I9" s="3211"/>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3036</v>
      </c>
      <c r="E10" s="357" t="s">
        <v>1404</v>
      </c>
      <c r="F10" s="1365"/>
      <c r="G10" s="1850"/>
      <c r="H10" s="1290" t="s">
        <v>1035</v>
      </c>
      <c r="I10" s="1822" t="s">
        <v>1403</v>
      </c>
      <c r="J10" s="345">
        <f ca="1">ROUND(IF(M10="押一",J6/12*M11,IF(M10="押二",J6/12*2*M11,IF(M10="押三",J6/12*3*M11,J11*M11))),0)</f>
        <v>0</v>
      </c>
      <c r="K10" s="1834" t="s">
        <v>3038</v>
      </c>
      <c r="L10" s="357" t="s">
        <v>1404</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ROUND(INDIRECT("'数据-取费表'!l"&amp;$G$1)*F43+'数据-取费表'!L14*INDIRECT("'数据-取费表'!S"&amp;$G$1),0)</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ROUND(F17*(F43+INDIRECT("'数据-取费表'!S"&amp;$G$1)),0)</f>
        <v>0</v>
      </c>
      <c r="D17" s="346" t="s">
        <v>1421</v>
      </c>
      <c r="E17" s="346" t="s">
        <v>1422</v>
      </c>
      <c r="F17" s="26">
        <f>'数据-取费表'!B35</f>
        <v>200</v>
      </c>
      <c r="G17" s="1853"/>
      <c r="H17" s="1200" t="s">
        <v>1031</v>
      </c>
      <c r="I17" s="346" t="s">
        <v>1423</v>
      </c>
      <c r="J17" s="24">
        <f ca="1">ROUND(IF(项目基本情况!B11="自然人",J6*M17/(1+'数据-取费表'!C42),J18+J19+J20),0)</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ROUND(J6*M18/(1+'数据-取费表'!C42),0)</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ROUND(M20*M21,0)</f>
        <v>0</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单利计息。建造成本、管理费用、销售费用产生的利息。</v>
      </c>
      <c r="E22" s="1817"/>
      <c r="F22" s="26"/>
      <c r="G22" s="1850"/>
      <c r="H22" s="1200" t="s">
        <v>1035</v>
      </c>
      <c r="I22" s="346" t="s">
        <v>1443</v>
      </c>
      <c r="J22" s="24">
        <f ca="1">ROUND(J14*M22,0)</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1446</v>
      </c>
      <c r="F23" s="370">
        <f>'数据-取费表'!B20</f>
        <v>1</v>
      </c>
      <c r="G23" s="1853"/>
      <c r="H23" s="1200" t="s">
        <v>1071</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4.0000000000000002E-4</v>
      </c>
      <c r="D24" s="374" t="str">
        <f>IF(F23&lt;=1,"销售费用×利率×(建设周期÷2)","销售费用×((1+利率)^(建设周期÷2)-1)")</f>
        <v>销售费用×利率×(建设周期÷2)</v>
      </c>
      <c r="E24" s="346" t="s">
        <v>1452</v>
      </c>
      <c r="F24" s="376">
        <f ca="1">'数据-取费表'!B40</f>
        <v>4.3499999999999997E-2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50"/>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ROUND(IF(项目基本情况!B11="自然人",C6*F31/(1+'数据-取费表'!C42),C32+C33+C34),0)</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IF(项目基本情况!B11="自然人","——",ROUND(C6*F32/(1+'数据-取费表'!C42),0))</f>
        <v>0</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f ca="1">IF(项目基本情况!B11="自然人","——",ROUND(F34*F35,))</f>
        <v>0</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8" t="s">
        <v>1403</v>
      </c>
      <c r="C53" s="360">
        <f ca="1">ROUND(IF(F53="押一",C49/12*F11,IF(F53="押二",C49/12*2*F11,IF(F53="押三",C49/12*3*F11,C54*F11))),0)</f>
        <v>0</v>
      </c>
      <c r="D53" s="1823" t="s">
        <v>3039</v>
      </c>
      <c r="E53" s="357" t="s">
        <v>1404</v>
      </c>
      <c r="F53" s="1365"/>
      <c r="I53" s="1904" t="s">
        <v>1541</v>
      </c>
      <c r="J53" s="2949">
        <f ca="1">IF(M47="住宅",IF(D1="——",MAX(J51,L48),MAX(J51,L48-'数据-取费表'!B24)),IF(D1="——",MIN(J51,L48),MIN(J51,L48-'数据-取费表'!B24)))</f>
        <v>0</v>
      </c>
      <c r="K53" s="3207" t="s">
        <v>1542</v>
      </c>
      <c r="L53" s="3208"/>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59" t="s">
        <v>1026</v>
      </c>
      <c r="B58" s="1176" t="s">
        <v>1418</v>
      </c>
      <c r="C58" s="360">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6">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t="e">
        <f ca="1">ROUND(C67*(1-((1+F70)/(1+F68))^F69)/(F68-F70),0)</f>
        <v>#DIV/0!</v>
      </c>
      <c r="D68" s="1183" t="s">
        <v>1463</v>
      </c>
      <c r="E68" s="1168" t="s">
        <v>1464</v>
      </c>
      <c r="F68" s="356">
        <f ca="1">F40</f>
        <v>0</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1" t="e">
        <f ca="1">ROUND(C68/F71,0)</f>
        <v>#DIV/0!</v>
      </c>
      <c r="D71" s="1191" t="s">
        <v>1482</v>
      </c>
      <c r="E71" s="1192" t="s">
        <v>1483</v>
      </c>
      <c r="F71" s="384">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2523</v>
      </c>
      <c r="B1" s="2561"/>
      <c r="C1" s="2561"/>
      <c r="D1" s="2561"/>
      <c r="E1" s="2562"/>
    </row>
    <row r="2" spans="1:6" ht="15.75">
      <c r="A2" s="2563" t="s">
        <v>2324</v>
      </c>
      <c r="B2" s="2564">
        <f ca="1">SUMIF(B6:B13,"&lt;&gt;#ref!",B6:B13)</f>
        <v>9981</v>
      </c>
      <c r="C2" s="2565" t="s">
        <v>2516</v>
      </c>
      <c r="D2" s="2566" t="s">
        <v>2517</v>
      </c>
      <c r="E2" s="2567">
        <f>SUM(E6:E13)</f>
        <v>9339.2999999999993</v>
      </c>
    </row>
    <row r="3" spans="1:6" ht="15.75">
      <c r="A3" s="2563" t="s">
        <v>1389</v>
      </c>
      <c r="B3" s="2564">
        <f ca="1">ROUND(B2*10000/E2,0)</f>
        <v>10687</v>
      </c>
      <c r="C3" s="2565" t="s">
        <v>2524</v>
      </c>
      <c r="D3" s="2568"/>
      <c r="E3" s="2569"/>
    </row>
    <row r="4" spans="1:6" ht="15.75">
      <c r="A4" s="2570"/>
      <c r="B4" s="2568"/>
      <c r="C4" s="2568"/>
      <c r="D4" s="2568"/>
      <c r="E4" s="2569"/>
    </row>
    <row r="5" spans="1:6" ht="15">
      <c r="A5" s="2571" t="s">
        <v>2518</v>
      </c>
      <c r="B5" s="3212" t="s">
        <v>2519</v>
      </c>
      <c r="C5" s="3212"/>
      <c r="D5" s="2572"/>
      <c r="E5" s="2573" t="s">
        <v>2520</v>
      </c>
      <c r="F5" s="2574" t="s">
        <v>2521</v>
      </c>
    </row>
    <row r="6" spans="1:6">
      <c r="A6" s="2575" t="str">
        <f>'数据-取费表'!AN6</f>
        <v>收益法</v>
      </c>
      <c r="B6" s="2574">
        <f ca="1">IF(F6="是",'数据-取费表'!AO6,0)</f>
        <v>3796</v>
      </c>
      <c r="C6" s="2565" t="s">
        <v>2516</v>
      </c>
      <c r="D6" s="2568"/>
      <c r="E6" s="2576">
        <f>IF(OR(A6=0,F6="否"),0,'数据-取费表'!K6+'数据-取费表'!S6)</f>
        <v>3627.92</v>
      </c>
      <c r="F6" s="2577" t="s">
        <v>2522</v>
      </c>
    </row>
    <row r="7" spans="1:6">
      <c r="A7" s="2575" t="str">
        <f>'数据-取费表'!AN7</f>
        <v>收益法 (2)</v>
      </c>
      <c r="B7" s="2574">
        <f ca="1">IF(F7="是",'数据-取费表'!AO7,0)</f>
        <v>6185</v>
      </c>
      <c r="C7" s="2565" t="s">
        <v>2516</v>
      </c>
      <c r="D7" s="2568"/>
      <c r="E7" s="2576">
        <f>IF(OR(A7=0,F7="否"),0,'数据-取费表'!K7+'数据-取费表'!S7)</f>
        <v>5711.38</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1072</v>
      </c>
      <c r="B1" s="3214"/>
      <c r="C1" s="3215"/>
      <c r="D1" s="3216">
        <f>SUM(I10,I15,I20,I21,I23)</f>
        <v>0</v>
      </c>
      <c r="E1" s="3216"/>
      <c r="F1" s="3216"/>
      <c r="G1" s="3216"/>
      <c r="H1" s="3216"/>
      <c r="I1" s="3217"/>
    </row>
    <row r="2" spans="1:9">
      <c r="A2" s="3218" t="s">
        <v>1073</v>
      </c>
      <c r="B2" s="3219" t="s">
        <v>1074</v>
      </c>
      <c r="C2" s="3219"/>
      <c r="D2" s="1300" t="s">
        <v>1075</v>
      </c>
      <c r="E2" s="1300" t="s">
        <v>1076</v>
      </c>
      <c r="F2" s="1300" t="s">
        <v>1077</v>
      </c>
      <c r="G2" s="1300" t="s">
        <v>1078</v>
      </c>
      <c r="H2" s="1300" t="s">
        <v>1079</v>
      </c>
      <c r="I2" s="1301" t="s">
        <v>1080</v>
      </c>
    </row>
    <row r="3" spans="1:9">
      <c r="A3" s="3218"/>
      <c r="B3" s="3219" t="s">
        <v>1081</v>
      </c>
      <c r="C3" s="3219"/>
      <c r="D3" s="1302"/>
      <c r="E3" s="1300"/>
      <c r="F3" s="1303"/>
      <c r="G3" s="1303"/>
      <c r="H3" s="1304"/>
      <c r="I3" s="1305">
        <f>ROUND(D3*E3*F3*G3*H3/10000,0)</f>
        <v>0</v>
      </c>
    </row>
    <row r="4" spans="1:9">
      <c r="A4" s="3218"/>
      <c r="B4" s="3219" t="s">
        <v>1082</v>
      </c>
      <c r="C4" s="3219"/>
      <c r="D4" s="1302"/>
      <c r="E4" s="1300"/>
      <c r="F4" s="1303"/>
      <c r="G4" s="1303"/>
      <c r="H4" s="1304"/>
      <c r="I4" s="1305">
        <f t="shared" ref="I4:I9" si="0">ROUND(D4*E4*F4*G4*H4/10000,0)</f>
        <v>0</v>
      </c>
    </row>
    <row r="5" spans="1:9">
      <c r="A5" s="3218"/>
      <c r="B5" s="3219" t="s">
        <v>1083</v>
      </c>
      <c r="C5" s="3219"/>
      <c r="D5" s="1302"/>
      <c r="E5" s="1300"/>
      <c r="F5" s="1303"/>
      <c r="G5" s="1303"/>
      <c r="H5" s="1304"/>
      <c r="I5" s="1305">
        <f t="shared" si="0"/>
        <v>0</v>
      </c>
    </row>
    <row r="6" spans="1:9">
      <c r="A6" s="3218"/>
      <c r="B6" s="3219" t="s">
        <v>1084</v>
      </c>
      <c r="C6" s="3219"/>
      <c r="D6" s="1302"/>
      <c r="E6" s="1300"/>
      <c r="F6" s="1303"/>
      <c r="G6" s="1303"/>
      <c r="H6" s="1304"/>
      <c r="I6" s="1305">
        <f t="shared" si="0"/>
        <v>0</v>
      </c>
    </row>
    <row r="7" spans="1:9">
      <c r="A7" s="3218"/>
      <c r="B7" s="3219" t="s">
        <v>1085</v>
      </c>
      <c r="C7" s="3219"/>
      <c r="D7" s="1302"/>
      <c r="E7" s="1300"/>
      <c r="F7" s="1303"/>
      <c r="G7" s="1303"/>
      <c r="H7" s="1304"/>
      <c r="I7" s="1305">
        <f t="shared" si="0"/>
        <v>0</v>
      </c>
    </row>
    <row r="8" spans="1:9">
      <c r="A8" s="3218"/>
      <c r="B8" s="3219" t="s">
        <v>1086</v>
      </c>
      <c r="C8" s="3219"/>
      <c r="D8" s="1302"/>
      <c r="E8" s="1300"/>
      <c r="F8" s="1303"/>
      <c r="G8" s="1303"/>
      <c r="H8" s="1304"/>
      <c r="I8" s="1305">
        <f t="shared" si="0"/>
        <v>0</v>
      </c>
    </row>
    <row r="9" spans="1:9">
      <c r="A9" s="3218"/>
      <c r="B9" s="3219" t="s">
        <v>1087</v>
      </c>
      <c r="C9" s="3219"/>
      <c r="D9" s="1302"/>
      <c r="E9" s="1300"/>
      <c r="F9" s="1303"/>
      <c r="G9" s="1303"/>
      <c r="H9" s="1304"/>
      <c r="I9" s="1305">
        <f t="shared" si="0"/>
        <v>0</v>
      </c>
    </row>
    <row r="10" spans="1:9">
      <c r="A10" s="3218"/>
      <c r="B10" s="3220" t="s">
        <v>1088</v>
      </c>
      <c r="C10" s="3220"/>
      <c r="D10" s="1306"/>
      <c r="E10" s="1306" t="e">
        <f>ROUND(D1*10000/D10/H9,0)</f>
        <v>#DIV/0!</v>
      </c>
      <c r="F10" s="1307"/>
      <c r="G10" s="1307"/>
      <c r="H10" s="1308"/>
      <c r="I10" s="1309">
        <f>SUM(I3:I9)</f>
        <v>0</v>
      </c>
    </row>
    <row r="11" spans="1:9" ht="14.25">
      <c r="A11" s="3218" t="s">
        <v>1089</v>
      </c>
      <c r="B11" s="3219" t="s">
        <v>1090</v>
      </c>
      <c r="C11" s="3219"/>
      <c r="D11" s="1302" t="s">
        <v>1091</v>
      </c>
      <c r="E11" s="1302" t="s">
        <v>1092</v>
      </c>
      <c r="F11" s="1303" t="s">
        <v>1093</v>
      </c>
      <c r="G11" s="1303" t="s">
        <v>1079</v>
      </c>
      <c r="H11" s="1310" t="s">
        <v>1094</v>
      </c>
      <c r="I11" s="1301" t="s">
        <v>1080</v>
      </c>
    </row>
    <row r="12" spans="1:9">
      <c r="A12" s="3218"/>
      <c r="B12" s="3219" t="s">
        <v>1095</v>
      </c>
      <c r="C12" s="3219"/>
      <c r="D12" s="1302"/>
      <c r="E12" s="1302"/>
      <c r="F12" s="1303"/>
      <c r="G12" s="1304"/>
      <c r="H12" s="1311"/>
      <c r="I12" s="1301">
        <f>ROUND(D12*E12*F12*G12/10000,0)</f>
        <v>0</v>
      </c>
    </row>
    <row r="13" spans="1:9">
      <c r="A13" s="3218"/>
      <c r="B13" s="3219" t="s">
        <v>1096</v>
      </c>
      <c r="C13" s="3219"/>
      <c r="D13" s="1302"/>
      <c r="E13" s="1302"/>
      <c r="F13" s="1303"/>
      <c r="G13" s="1304"/>
      <c r="H13" s="1311"/>
      <c r="I13" s="1301">
        <f>ROUND(D13*E13*F13*G13/10000,0)</f>
        <v>0</v>
      </c>
    </row>
    <row r="14" spans="1:9">
      <c r="A14" s="3218"/>
      <c r="B14" s="3219" t="s">
        <v>1097</v>
      </c>
      <c r="C14" s="3219"/>
      <c r="D14" s="1302"/>
      <c r="E14" s="1302"/>
      <c r="F14" s="1303"/>
      <c r="G14" s="1304"/>
      <c r="H14" s="1311"/>
      <c r="I14" s="1301">
        <f>ROUND(D14*E14*F14*G14/10000,0)</f>
        <v>0</v>
      </c>
    </row>
    <row r="15" spans="1:9">
      <c r="A15" s="3218"/>
      <c r="B15" s="3220" t="s">
        <v>1088</v>
      </c>
      <c r="C15" s="3220"/>
      <c r="D15" s="1306"/>
      <c r="E15" s="1306">
        <f>SUM(E12:E14)</f>
        <v>0</v>
      </c>
      <c r="F15" s="1307"/>
      <c r="G15" s="1304"/>
      <c r="H15" s="1311"/>
      <c r="I15" s="1312">
        <f>SUM(I12:I14)</f>
        <v>0</v>
      </c>
    </row>
    <row r="16" spans="1:9" ht="24">
      <c r="A16" s="3218" t="s">
        <v>1098</v>
      </c>
      <c r="B16" s="3219" t="s">
        <v>1099</v>
      </c>
      <c r="C16" s="3219"/>
      <c r="D16" s="1302" t="s">
        <v>1075</v>
      </c>
      <c r="E16" s="1313" t="s">
        <v>1100</v>
      </c>
      <c r="F16" s="1303" t="s">
        <v>1101</v>
      </c>
      <c r="G16" s="1304" t="s">
        <v>1079</v>
      </c>
      <c r="H16" s="1310" t="s">
        <v>1094</v>
      </c>
      <c r="I16" s="1301" t="s">
        <v>1080</v>
      </c>
    </row>
    <row r="17" spans="1:9" ht="14.25">
      <c r="A17" s="3218"/>
      <c r="B17" s="3219" t="s">
        <v>1102</v>
      </c>
      <c r="C17" s="3219"/>
      <c r="D17" s="1302"/>
      <c r="E17" s="1302"/>
      <c r="F17" s="1303"/>
      <c r="G17" s="1304"/>
      <c r="H17" s="1314"/>
      <c r="I17" s="1315">
        <f>ROUND(D17*E17*F17*G17/10000,0)</f>
        <v>0</v>
      </c>
    </row>
    <row r="18" spans="1:9" ht="14.25">
      <c r="A18" s="3218"/>
      <c r="B18" s="3219" t="s">
        <v>1103</v>
      </c>
      <c r="C18" s="3219"/>
      <c r="D18" s="1302"/>
      <c r="E18" s="1302"/>
      <c r="F18" s="1303"/>
      <c r="G18" s="1304"/>
      <c r="H18" s="1314"/>
      <c r="I18" s="1315">
        <f>ROUND(D18*E18*F18*G18/10000,0)</f>
        <v>0</v>
      </c>
    </row>
    <row r="19" spans="1:9" ht="14.25">
      <c r="A19" s="3218"/>
      <c r="B19" s="3219" t="s">
        <v>1104</v>
      </c>
      <c r="C19" s="3219"/>
      <c r="D19" s="1302"/>
      <c r="E19" s="1302"/>
      <c r="F19" s="1303"/>
      <c r="G19" s="1304"/>
      <c r="H19" s="1314"/>
      <c r="I19" s="1315">
        <f>ROUND(D19*E19*F19*G19/10000,0)</f>
        <v>0</v>
      </c>
    </row>
    <row r="20" spans="1:9">
      <c r="A20" s="3218"/>
      <c r="B20" s="3220" t="s">
        <v>1088</v>
      </c>
      <c r="C20" s="3220"/>
      <c r="D20" s="1306">
        <f>SUM(D17:D19)</f>
        <v>0</v>
      </c>
      <c r="E20" s="1306"/>
      <c r="F20" s="1307"/>
      <c r="G20" s="1304"/>
      <c r="H20" s="1311"/>
      <c r="I20" s="1312">
        <f>SUM(I17:I19)</f>
        <v>0</v>
      </c>
    </row>
    <row r="21" spans="1:9">
      <c r="A21" s="3218" t="s">
        <v>1105</v>
      </c>
      <c r="B21" s="3222"/>
      <c r="C21" s="3222"/>
      <c r="D21" s="3222"/>
      <c r="E21" s="3222"/>
      <c r="F21" s="3222"/>
      <c r="G21" s="3222"/>
      <c r="H21" s="1764">
        <v>0.1</v>
      </c>
      <c r="I21" s="1309">
        <f>ROUND(I10*H21,0)</f>
        <v>0</v>
      </c>
    </row>
    <row r="22" spans="1:9" ht="14.25">
      <c r="A22" s="3223" t="s">
        <v>1106</v>
      </c>
      <c r="B22" s="3224"/>
      <c r="C22" s="3225"/>
      <c r="D22" s="1316" t="s">
        <v>1107</v>
      </c>
      <c r="E22" s="1316" t="s">
        <v>1108</v>
      </c>
      <c r="F22" s="1317" t="s">
        <v>1109</v>
      </c>
      <c r="G22" s="1317" t="s">
        <v>1110</v>
      </c>
      <c r="H22" s="1310" t="s">
        <v>1111</v>
      </c>
      <c r="I22" s="1301" t="s">
        <v>1112</v>
      </c>
    </row>
    <row r="23" spans="1:9" ht="14.25" thickBot="1">
      <c r="A23" s="3226"/>
      <c r="B23" s="3227"/>
      <c r="C23" s="3228"/>
      <c r="D23" s="1318"/>
      <c r="E23" s="1318"/>
      <c r="F23" s="1318"/>
      <c r="G23" s="1319"/>
      <c r="H23" s="1320"/>
      <c r="I23" s="1321">
        <f>ROUND(E23*D23*F23*(1-G23)/10000,0)</f>
        <v>0</v>
      </c>
    </row>
    <row r="26" spans="1:9">
      <c r="A26" s="1322" t="s">
        <v>1113</v>
      </c>
      <c r="B26" s="1322"/>
      <c r="C26" s="1322"/>
      <c r="D26" s="1322"/>
      <c r="E26" s="3229">
        <f>C27-C30-C31-C32</f>
        <v>0</v>
      </c>
      <c r="F26" s="3229"/>
      <c r="G26" s="3229"/>
      <c r="H26" s="1736" t="s">
        <v>1335</v>
      </c>
    </row>
    <row r="27" spans="1:9">
      <c r="A27" s="1323">
        <v>1</v>
      </c>
      <c r="B27" s="1324" t="s">
        <v>1114</v>
      </c>
      <c r="C27" s="1324">
        <f>C28+C29</f>
        <v>0</v>
      </c>
      <c r="D27" s="1324"/>
      <c r="E27" s="3230"/>
      <c r="F27" s="3230"/>
      <c r="G27" s="3230"/>
    </row>
    <row r="28" spans="1:9">
      <c r="A28" s="1325" t="s">
        <v>1115</v>
      </c>
      <c r="B28" s="1324" t="s">
        <v>1116</v>
      </c>
      <c r="C28" s="1324"/>
      <c r="D28" s="1324"/>
      <c r="E28" s="3230"/>
      <c r="F28" s="3230"/>
      <c r="G28" s="323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1"/>
      <c r="F32" s="3221"/>
      <c r="G32" s="3221"/>
    </row>
    <row r="33" spans="1:7" hidden="1">
      <c r="A33" s="3231" t="s">
        <v>1125</v>
      </c>
      <c r="B33" s="3232"/>
      <c r="C33" s="3232"/>
      <c r="D33" s="3233"/>
      <c r="E33" s="3229"/>
      <c r="F33" s="3229"/>
      <c r="G33" s="3229"/>
    </row>
    <row r="34" spans="1:7" hidden="1">
      <c r="A34" s="1327">
        <v>1</v>
      </c>
      <c r="B34" s="1324" t="s">
        <v>1126</v>
      </c>
      <c r="C34" s="1324"/>
      <c r="D34" s="1324"/>
      <c r="E34" s="3230"/>
      <c r="F34" s="3230"/>
      <c r="G34" s="3230"/>
    </row>
    <row r="35" spans="1:7" hidden="1">
      <c r="A35" s="1327">
        <v>2</v>
      </c>
      <c r="B35" s="1324" t="s">
        <v>1127</v>
      </c>
      <c r="C35" s="1324"/>
      <c r="D35" s="1324"/>
      <c r="E35" s="3230"/>
      <c r="F35" s="3230"/>
      <c r="G35" s="3230"/>
    </row>
    <row r="36" spans="1:7" hidden="1">
      <c r="A36" s="1327">
        <v>3</v>
      </c>
      <c r="B36" s="1324" t="s">
        <v>1128</v>
      </c>
      <c r="C36" s="1324"/>
      <c r="D36" s="1324"/>
      <c r="E36" s="3230"/>
      <c r="F36" s="3230"/>
      <c r="G36" s="3230"/>
    </row>
    <row r="37" spans="1:7" hidden="1">
      <c r="A37" s="1327">
        <v>4</v>
      </c>
      <c r="B37" s="1324" t="s">
        <v>1129</v>
      </c>
      <c r="C37" s="1324"/>
      <c r="D37" s="1324"/>
      <c r="E37" s="3230"/>
      <c r="F37" s="3230"/>
      <c r="G37" s="3230"/>
    </row>
    <row r="38" spans="1:7" hidden="1">
      <c r="A38" s="3231" t="s">
        <v>1130</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1" t="s">
        <v>2526</v>
      </c>
      <c r="C1" s="1633" t="s">
        <v>2527</v>
      </c>
      <c r="D1" s="1620"/>
      <c r="E1" s="2582"/>
      <c r="F1" s="2583" t="s">
        <v>2528</v>
      </c>
      <c r="G1" s="1630" t="s">
        <v>2529</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85"/>
      <c r="D2" s="1364" t="e">
        <f ca="1">SUMIF(INDIRECT("'"&amp;F2&amp;"'"&amp;"!A:A"),"承租人权益价值",INDIRECT("'"&amp;F2&amp;"'"&amp;"!c:c"))</f>
        <v>#REF!</v>
      </c>
      <c r="E2" s="2586" t="s">
        <v>2530</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1389</v>
      </c>
      <c r="B3" s="398" t="e">
        <f ca="1">IF(C2="——",C49,ROUND(B2*10000/D3,0))</f>
        <v>#DIV/0!</v>
      </c>
      <c r="C3" s="399" t="s">
        <v>2531</v>
      </c>
      <c r="D3" s="398">
        <f>IF(D1="",'数据-汇总表'!E3,SUMIF('数据-汇总表'!$C19:$C33,D1,'数据-汇总表'!$E19:$E33))</f>
        <v>9339.3000000000011</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0" t="s">
        <v>2532</v>
      </c>
      <c r="B4" s="401"/>
      <c r="C4" s="3252" t="s">
        <v>2533</v>
      </c>
      <c r="D4" s="3253"/>
      <c r="E4" s="3254" t="s">
        <v>2534</v>
      </c>
      <c r="F4" s="3255"/>
      <c r="G4" s="3252" t="s">
        <v>2535</v>
      </c>
      <c r="H4" s="3253"/>
      <c r="I4" s="3252" t="s">
        <v>2536</v>
      </c>
      <c r="J4" s="3253"/>
      <c r="K4" s="2595" t="s">
        <v>2537</v>
      </c>
      <c r="L4" s="1129"/>
      <c r="M4" s="1130"/>
      <c r="N4" s="1130"/>
      <c r="O4" s="1130"/>
      <c r="P4" s="3256" t="s">
        <v>2538</v>
      </c>
      <c r="Q4" s="3257"/>
      <c r="R4" s="3239" t="s">
        <v>2534</v>
      </c>
      <c r="S4" s="3240"/>
      <c r="T4" s="3239" t="s">
        <v>2535</v>
      </c>
      <c r="U4" s="3240"/>
      <c r="V4" s="3264" t="s">
        <v>2536</v>
      </c>
      <c r="W4" s="3264"/>
      <c r="X4" s="1812"/>
      <c r="Y4" s="3239" t="s">
        <v>2538</v>
      </c>
      <c r="Z4" s="3240"/>
      <c r="AA4" s="3234" t="s">
        <v>2534</v>
      </c>
      <c r="AB4" s="3234" t="s">
        <v>2535</v>
      </c>
      <c r="AC4" s="3234" t="s">
        <v>2536</v>
      </c>
    </row>
    <row r="5" spans="1:29" ht="15">
      <c r="A5" s="403"/>
      <c r="B5" s="404"/>
      <c r="C5" s="3245" t="s">
        <v>2539</v>
      </c>
      <c r="D5" s="3246"/>
      <c r="E5" s="3243" t="s">
        <v>2540</v>
      </c>
      <c r="F5" s="3244"/>
      <c r="G5" s="3245" t="s">
        <v>2541</v>
      </c>
      <c r="H5" s="3246"/>
      <c r="I5" s="3245" t="s">
        <v>2542</v>
      </c>
      <c r="J5" s="3246"/>
      <c r="K5" s="2596"/>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247" t="s">
        <v>2543</v>
      </c>
      <c r="D6" s="3248"/>
      <c r="E6" s="3249" t="s">
        <v>2543</v>
      </c>
      <c r="F6" s="3250"/>
      <c r="G6" s="3247" t="s">
        <v>2543</v>
      </c>
      <c r="H6" s="3248"/>
      <c r="I6" s="3247" t="s">
        <v>2543</v>
      </c>
      <c r="J6" s="3248"/>
      <c r="K6" s="2596" t="s">
        <v>2544</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2545</v>
      </c>
      <c r="B7" s="408"/>
      <c r="C7" s="409">
        <f>'数据-取费表'!B2</f>
        <v>43934</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237" t="s">
        <v>2546</v>
      </c>
      <c r="Q7" s="3265"/>
      <c r="R7" s="769" t="s">
        <v>23</v>
      </c>
      <c r="S7" s="770">
        <f t="shared" ref="S7:S15" si="0">F7</f>
        <v>0</v>
      </c>
      <c r="T7" s="769" t="s">
        <v>23</v>
      </c>
      <c r="U7" s="770">
        <f t="shared" ref="U7:U15" si="1">H7</f>
        <v>0</v>
      </c>
      <c r="V7" s="769" t="s">
        <v>23</v>
      </c>
      <c r="W7" s="770">
        <f t="shared" ref="W7:W15" si="2">J7</f>
        <v>0</v>
      </c>
      <c r="X7" s="771"/>
      <c r="Y7" s="3237" t="s">
        <v>2546</v>
      </c>
      <c r="Z7" s="3238"/>
      <c r="AA7" s="772" t="e">
        <f>D7/F7</f>
        <v>#DIV/0!</v>
      </c>
      <c r="AB7" s="772" t="e">
        <f>D7/H7</f>
        <v>#DIV/0!</v>
      </c>
      <c r="AC7" s="772" t="e">
        <f>D7/J7</f>
        <v>#DIV/0!</v>
      </c>
    </row>
    <row r="8" spans="1:29" s="117" customFormat="1" ht="15.75" thickBot="1">
      <c r="A8" s="407" t="s">
        <v>2547</v>
      </c>
      <c r="B8" s="408"/>
      <c r="C8" s="413" t="s">
        <v>2548</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237" t="s">
        <v>2549</v>
      </c>
      <c r="Q8" s="3238"/>
      <c r="R8" s="769" t="s">
        <v>23</v>
      </c>
      <c r="S8" s="770">
        <f t="shared" si="0"/>
        <v>0</v>
      </c>
      <c r="T8" s="769" t="s">
        <v>23</v>
      </c>
      <c r="U8" s="770">
        <f t="shared" si="1"/>
        <v>0</v>
      </c>
      <c r="V8" s="769" t="s">
        <v>23</v>
      </c>
      <c r="W8" s="770">
        <f t="shared" si="2"/>
        <v>0</v>
      </c>
      <c r="X8" s="771"/>
      <c r="Y8" s="3237" t="s">
        <v>2549</v>
      </c>
      <c r="Z8" s="3238"/>
      <c r="AA8" s="772" t="e">
        <f t="shared" ref="AA8:AA19" si="3">D8/F8</f>
        <v>#DIV/0!</v>
      </c>
      <c r="AB8" s="772" t="e">
        <f t="shared" ref="AB8:AB19" si="4">D8/H8</f>
        <v>#DIV/0!</v>
      </c>
      <c r="AC8" s="772" t="e">
        <f t="shared" ref="AC8:AC19" si="5">D8/J8</f>
        <v>#DIV/0!</v>
      </c>
    </row>
    <row r="9" spans="1:29" s="117" customFormat="1">
      <c r="A9" s="414" t="s">
        <v>2550</v>
      </c>
      <c r="B9" s="71" t="s">
        <v>2551</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251" t="s">
        <v>2552</v>
      </c>
      <c r="Q9" s="1794" t="str">
        <f t="shared" ref="Q9:Q15" si="6">B9</f>
        <v>用途</v>
      </c>
      <c r="R9" s="769" t="s">
        <v>17</v>
      </c>
      <c r="S9" s="770">
        <f t="shared" si="0"/>
        <v>100</v>
      </c>
      <c r="T9" s="769" t="s">
        <v>17</v>
      </c>
      <c r="U9" s="770">
        <f t="shared" si="1"/>
        <v>100</v>
      </c>
      <c r="V9" s="769" t="s">
        <v>17</v>
      </c>
      <c r="W9" s="770">
        <f t="shared" si="2"/>
        <v>100</v>
      </c>
      <c r="X9" s="771"/>
      <c r="Y9" s="3084"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51"/>
      <c r="Q10" s="1794"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51"/>
      <c r="Q11" s="1794" t="str">
        <f t="shared" si="6"/>
        <v>容积率</v>
      </c>
      <c r="R11" s="769" t="s">
        <v>21</v>
      </c>
      <c r="S11" s="770" t="e">
        <f t="shared" si="0"/>
        <v>#N/A</v>
      </c>
      <c r="T11" s="769" t="s">
        <v>21</v>
      </c>
      <c r="U11" s="770" t="e">
        <f t="shared" si="1"/>
        <v>#N/A</v>
      </c>
      <c r="V11" s="769" t="s">
        <v>21</v>
      </c>
      <c r="W11" s="770" t="e">
        <f t="shared" si="2"/>
        <v>#N/A</v>
      </c>
      <c r="X11" s="771"/>
      <c r="Y11" s="3084"/>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251"/>
      <c r="Q12" s="1794">
        <f t="shared" si="6"/>
        <v>111</v>
      </c>
      <c r="R12" s="769" t="s">
        <v>21</v>
      </c>
      <c r="S12" s="770">
        <f t="shared" si="0"/>
        <v>100</v>
      </c>
      <c r="T12" s="769" t="s">
        <v>21</v>
      </c>
      <c r="U12" s="770">
        <f t="shared" si="1"/>
        <v>100</v>
      </c>
      <c r="V12" s="769" t="s">
        <v>21</v>
      </c>
      <c r="W12" s="770">
        <f t="shared" si="2"/>
        <v>100</v>
      </c>
      <c r="X12" s="771"/>
      <c r="Y12" s="3084"/>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251"/>
      <c r="Q13" s="1794">
        <f t="shared" si="6"/>
        <v>111</v>
      </c>
      <c r="R13" s="769" t="s">
        <v>21</v>
      </c>
      <c r="S13" s="770">
        <f t="shared" si="0"/>
        <v>100</v>
      </c>
      <c r="T13" s="769" t="s">
        <v>21</v>
      </c>
      <c r="U13" s="770">
        <f t="shared" si="1"/>
        <v>100</v>
      </c>
      <c r="V13" s="769" t="s">
        <v>21</v>
      </c>
      <c r="W13" s="770">
        <f t="shared" si="2"/>
        <v>100</v>
      </c>
      <c r="X13" s="771"/>
      <c r="Y13" s="3084"/>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251"/>
      <c r="Q14" s="1794">
        <f t="shared" si="6"/>
        <v>111</v>
      </c>
      <c r="R14" s="769" t="s">
        <v>21</v>
      </c>
      <c r="S14" s="770">
        <f t="shared" si="0"/>
        <v>100</v>
      </c>
      <c r="T14" s="769" t="s">
        <v>21</v>
      </c>
      <c r="U14" s="770">
        <f t="shared" si="1"/>
        <v>100</v>
      </c>
      <c r="V14" s="769" t="s">
        <v>21</v>
      </c>
      <c r="W14" s="770">
        <f t="shared" si="2"/>
        <v>100</v>
      </c>
      <c r="X14" s="771"/>
      <c r="Y14" s="3084"/>
      <c r="Z14" s="55">
        <f t="shared" si="7"/>
        <v>111</v>
      </c>
      <c r="AA14" s="772">
        <f t="shared" si="3"/>
        <v>1</v>
      </c>
      <c r="AB14" s="772">
        <f t="shared" si="4"/>
        <v>1</v>
      </c>
      <c r="AC14" s="772">
        <f t="shared" si="5"/>
        <v>1</v>
      </c>
    </row>
    <row r="15" spans="1:29" ht="99.75">
      <c r="A15" s="439" t="s">
        <v>2556</v>
      </c>
      <c r="B15" s="69" t="s">
        <v>2082</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78" t="s">
        <v>2557</v>
      </c>
      <c r="Q15" s="1809" t="str">
        <f t="shared" si="6"/>
        <v>居住社区成熟度</v>
      </c>
      <c r="R15" s="773" t="s">
        <v>21</v>
      </c>
      <c r="S15" s="774">
        <f t="shared" si="0"/>
        <v>100</v>
      </c>
      <c r="T15" s="773" t="s">
        <v>21</v>
      </c>
      <c r="U15" s="774">
        <f t="shared" si="1"/>
        <v>100</v>
      </c>
      <c r="V15" s="773" t="s">
        <v>21</v>
      </c>
      <c r="W15" s="774">
        <f t="shared" si="2"/>
        <v>100</v>
      </c>
      <c r="X15" s="1812"/>
      <c r="Y15" s="3271" t="s">
        <v>2557</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279"/>
      <c r="Q16" s="1809"/>
      <c r="R16" s="773"/>
      <c r="S16" s="774"/>
      <c r="T16" s="773"/>
      <c r="U16" s="774"/>
      <c r="V16" s="773"/>
      <c r="W16" s="774"/>
      <c r="X16" s="1812"/>
      <c r="Y16" s="3272"/>
      <c r="Z16" s="1813"/>
      <c r="AA16" s="1810">
        <v>1</v>
      </c>
      <c r="AB16" s="1810">
        <v>1</v>
      </c>
      <c r="AC16" s="1810">
        <v>1</v>
      </c>
    </row>
    <row r="17" spans="1:29" ht="85.5">
      <c r="A17" s="427"/>
      <c r="B17" s="450" t="s">
        <v>2093</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79"/>
      <c r="Q17" s="1809" t="str">
        <f>B17</f>
        <v>交通便捷度</v>
      </c>
      <c r="R17" s="773" t="s">
        <v>21</v>
      </c>
      <c r="S17" s="774">
        <f>F17</f>
        <v>100</v>
      </c>
      <c r="T17" s="773" t="s">
        <v>21</v>
      </c>
      <c r="U17" s="774">
        <f>H17</f>
        <v>100</v>
      </c>
      <c r="V17" s="773" t="s">
        <v>21</v>
      </c>
      <c r="W17" s="774">
        <f>J17</f>
        <v>100</v>
      </c>
      <c r="X17" s="1812"/>
      <c r="Y17" s="3272"/>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279"/>
      <c r="Q18" s="1809"/>
      <c r="R18" s="773"/>
      <c r="S18" s="774"/>
      <c r="T18" s="773"/>
      <c r="U18" s="774"/>
      <c r="V18" s="773"/>
      <c r="W18" s="774"/>
      <c r="X18" s="1812"/>
      <c r="Y18" s="3272"/>
      <c r="Z18" s="1813"/>
      <c r="AA18" s="1810">
        <v>1</v>
      </c>
      <c r="AB18" s="1810">
        <v>1</v>
      </c>
      <c r="AC18" s="1810">
        <v>1</v>
      </c>
    </row>
    <row r="19" spans="1:29" ht="42.75">
      <c r="A19" s="427"/>
      <c r="B19" s="450" t="s">
        <v>2091</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79"/>
      <c r="Q19" s="1809" t="str">
        <f>B19</f>
        <v>公共配套设施</v>
      </c>
      <c r="R19" s="773" t="s">
        <v>21</v>
      </c>
      <c r="S19" s="774">
        <f>F19</f>
        <v>100</v>
      </c>
      <c r="T19" s="773" t="s">
        <v>21</v>
      </c>
      <c r="U19" s="774">
        <f>H19</f>
        <v>100</v>
      </c>
      <c r="V19" s="773" t="s">
        <v>21</v>
      </c>
      <c r="W19" s="774">
        <f>J19</f>
        <v>100</v>
      </c>
      <c r="X19" s="1812"/>
      <c r="Y19" s="3272"/>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279"/>
      <c r="Q20" s="1809"/>
      <c r="R20" s="773"/>
      <c r="S20" s="774"/>
      <c r="T20" s="773"/>
      <c r="U20" s="774"/>
      <c r="V20" s="773"/>
      <c r="W20" s="774"/>
      <c r="X20" s="1812"/>
      <c r="Y20" s="3272"/>
      <c r="Z20" s="1813"/>
      <c r="AA20" s="1810">
        <v>1</v>
      </c>
      <c r="AB20" s="1810">
        <v>1</v>
      </c>
      <c r="AC20" s="1810">
        <v>1</v>
      </c>
    </row>
    <row r="21" spans="1:29" ht="28.5">
      <c r="A21" s="427"/>
      <c r="B21" s="1383" t="s">
        <v>2094</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79"/>
      <c r="Q21" s="1809" t="str">
        <f>B21</f>
        <v>基础设施水平</v>
      </c>
      <c r="R21" s="773" t="s">
        <v>17</v>
      </c>
      <c r="S21" s="774">
        <f>F21</f>
        <v>100</v>
      </c>
      <c r="T21" s="773" t="s">
        <v>17</v>
      </c>
      <c r="U21" s="774">
        <f>H21</f>
        <v>100</v>
      </c>
      <c r="V21" s="773" t="s">
        <v>17</v>
      </c>
      <c r="W21" s="774">
        <f>J21</f>
        <v>100</v>
      </c>
      <c r="X21" s="1812"/>
      <c r="Y21" s="3272"/>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279"/>
      <c r="Q22" s="1809"/>
      <c r="R22" s="773"/>
      <c r="S22" s="774"/>
      <c r="T22" s="773"/>
      <c r="U22" s="774"/>
      <c r="V22" s="773"/>
      <c r="W22" s="774"/>
      <c r="X22" s="1812"/>
      <c r="Y22" s="3272"/>
      <c r="Z22" s="1813"/>
      <c r="AA22" s="1810">
        <v>1</v>
      </c>
      <c r="AB22" s="1810">
        <v>1</v>
      </c>
      <c r="AC22" s="1810">
        <v>1</v>
      </c>
    </row>
    <row r="23" spans="1:29" ht="57">
      <c r="A23" s="427"/>
      <c r="B23" s="450" t="s">
        <v>2097</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79"/>
      <c r="Q23" s="1809" t="str">
        <f>B23</f>
        <v>自然及人文环境</v>
      </c>
      <c r="R23" s="773" t="s">
        <v>21</v>
      </c>
      <c r="S23" s="774">
        <f>F23</f>
        <v>100</v>
      </c>
      <c r="T23" s="773" t="s">
        <v>21</v>
      </c>
      <c r="U23" s="774">
        <f>H23</f>
        <v>100</v>
      </c>
      <c r="V23" s="773" t="s">
        <v>21</v>
      </c>
      <c r="W23" s="774">
        <f>J23</f>
        <v>100</v>
      </c>
      <c r="X23" s="1812"/>
      <c r="Y23" s="3272"/>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279"/>
      <c r="Q24" s="1809"/>
      <c r="R24" s="773"/>
      <c r="S24" s="774"/>
      <c r="T24" s="773"/>
      <c r="U24" s="774"/>
      <c r="V24" s="773"/>
      <c r="W24" s="774"/>
      <c r="X24" s="1812"/>
      <c r="Y24" s="3272"/>
      <c r="Z24" s="1813"/>
      <c r="AA24" s="1810">
        <v>1</v>
      </c>
      <c r="AB24" s="1810">
        <v>1</v>
      </c>
      <c r="AC24" s="1810">
        <v>1</v>
      </c>
    </row>
    <row r="25" spans="1:29" ht="15">
      <c r="A25" s="427"/>
      <c r="B25" s="421" t="s">
        <v>2558</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27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72"/>
      <c r="Z25" s="1813" t="str">
        <f>Q25</f>
        <v>楼层-1</v>
      </c>
      <c r="AA25" s="1810">
        <f t="shared" ref="AA25:AA46" si="15">D25/F25</f>
        <v>1</v>
      </c>
      <c r="AB25" s="1810">
        <f t="shared" ref="AB25:AB46" si="16">D25/H25</f>
        <v>1</v>
      </c>
      <c r="AC25" s="1810">
        <f t="shared" ref="AC25:AC46" si="17">D25/J25</f>
        <v>1</v>
      </c>
    </row>
    <row r="26" spans="1:29" ht="15">
      <c r="A26" s="427"/>
      <c r="B26" s="421" t="s">
        <v>2559</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279"/>
      <c r="Q26" s="1809" t="str">
        <f t="shared" si="11"/>
        <v>朝向</v>
      </c>
      <c r="R26" s="773" t="s">
        <v>21</v>
      </c>
      <c r="S26" s="774">
        <f t="shared" si="12"/>
        <v>100</v>
      </c>
      <c r="T26" s="773" t="s">
        <v>21</v>
      </c>
      <c r="U26" s="774">
        <f t="shared" si="13"/>
        <v>100</v>
      </c>
      <c r="V26" s="773" t="s">
        <v>21</v>
      </c>
      <c r="W26" s="774">
        <f t="shared" si="14"/>
        <v>100</v>
      </c>
      <c r="X26" s="1812"/>
      <c r="Y26" s="3272"/>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279"/>
      <c r="Q27" s="1794">
        <f t="shared" si="11"/>
        <v>111</v>
      </c>
      <c r="R27" s="769" t="s">
        <v>21</v>
      </c>
      <c r="S27" s="770">
        <f t="shared" si="12"/>
        <v>100</v>
      </c>
      <c r="T27" s="769" t="s">
        <v>21</v>
      </c>
      <c r="U27" s="770">
        <f t="shared" si="13"/>
        <v>100</v>
      </c>
      <c r="V27" s="769" t="s">
        <v>21</v>
      </c>
      <c r="W27" s="770">
        <f t="shared" si="14"/>
        <v>100</v>
      </c>
      <c r="X27" s="771"/>
      <c r="Y27" s="3272"/>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279"/>
      <c r="Q28" s="1809">
        <f t="shared" si="11"/>
        <v>111</v>
      </c>
      <c r="R28" s="773" t="s">
        <v>21</v>
      </c>
      <c r="S28" s="774">
        <f t="shared" si="12"/>
        <v>100</v>
      </c>
      <c r="T28" s="773" t="s">
        <v>21</v>
      </c>
      <c r="U28" s="774">
        <f t="shared" si="13"/>
        <v>100</v>
      </c>
      <c r="V28" s="773" t="s">
        <v>21</v>
      </c>
      <c r="W28" s="774">
        <f t="shared" si="14"/>
        <v>100</v>
      </c>
      <c r="X28" s="1812"/>
      <c r="Y28" s="3272"/>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279"/>
      <c r="Q29" s="1809">
        <f t="shared" si="11"/>
        <v>111</v>
      </c>
      <c r="R29" s="773" t="s">
        <v>21</v>
      </c>
      <c r="S29" s="774">
        <f t="shared" si="12"/>
        <v>100</v>
      </c>
      <c r="T29" s="773" t="s">
        <v>21</v>
      </c>
      <c r="U29" s="774">
        <f t="shared" si="13"/>
        <v>100</v>
      </c>
      <c r="V29" s="773" t="s">
        <v>21</v>
      </c>
      <c r="W29" s="774">
        <f t="shared" si="14"/>
        <v>100</v>
      </c>
      <c r="X29" s="1812"/>
      <c r="Y29" s="3272"/>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279"/>
      <c r="Q30" s="1809">
        <f t="shared" si="11"/>
        <v>111</v>
      </c>
      <c r="R30" s="773" t="s">
        <v>21</v>
      </c>
      <c r="S30" s="774">
        <f t="shared" si="12"/>
        <v>100</v>
      </c>
      <c r="T30" s="773" t="s">
        <v>21</v>
      </c>
      <c r="U30" s="774">
        <f t="shared" si="13"/>
        <v>100</v>
      </c>
      <c r="V30" s="773" t="s">
        <v>21</v>
      </c>
      <c r="W30" s="774">
        <f t="shared" si="14"/>
        <v>100</v>
      </c>
      <c r="X30" s="1812"/>
      <c r="Y30" s="3272"/>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279"/>
      <c r="Q31" s="1809">
        <f t="shared" si="11"/>
        <v>111</v>
      </c>
      <c r="R31" s="773" t="s">
        <v>21</v>
      </c>
      <c r="S31" s="774">
        <f t="shared" si="12"/>
        <v>100</v>
      </c>
      <c r="T31" s="773" t="s">
        <v>21</v>
      </c>
      <c r="U31" s="774">
        <f t="shared" si="13"/>
        <v>100</v>
      </c>
      <c r="V31" s="773" t="s">
        <v>21</v>
      </c>
      <c r="W31" s="774">
        <f t="shared" si="14"/>
        <v>100</v>
      </c>
      <c r="X31" s="1812"/>
      <c r="Y31" s="3272"/>
      <c r="Z31" s="1813">
        <f t="shared" si="18"/>
        <v>111</v>
      </c>
      <c r="AA31" s="1810">
        <f t="shared" si="15"/>
        <v>1</v>
      </c>
      <c r="AB31" s="1810">
        <f t="shared" si="16"/>
        <v>1</v>
      </c>
      <c r="AC31" s="1810">
        <f t="shared" si="17"/>
        <v>1</v>
      </c>
    </row>
    <row r="32" spans="1:29" ht="15">
      <c r="A32" s="439" t="s">
        <v>2560</v>
      </c>
      <c r="B32" s="71" t="s">
        <v>2561</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273" t="s">
        <v>2562</v>
      </c>
      <c r="Q32" s="1809" t="str">
        <f t="shared" si="11"/>
        <v>建筑类型</v>
      </c>
      <c r="R32" s="773" t="s">
        <v>21</v>
      </c>
      <c r="S32" s="774">
        <f t="shared" si="12"/>
        <v>100</v>
      </c>
      <c r="T32" s="773" t="s">
        <v>21</v>
      </c>
      <c r="U32" s="774">
        <f t="shared" si="13"/>
        <v>100</v>
      </c>
      <c r="V32" s="773" t="s">
        <v>21</v>
      </c>
      <c r="W32" s="774">
        <f t="shared" si="14"/>
        <v>100</v>
      </c>
      <c r="X32" s="1812"/>
      <c r="Y32" s="3276" t="s">
        <v>2562</v>
      </c>
      <c r="Z32" s="1813" t="str">
        <f t="shared" si="18"/>
        <v>建筑类型</v>
      </c>
      <c r="AA32" s="1810">
        <f t="shared" si="15"/>
        <v>1</v>
      </c>
      <c r="AB32" s="1810">
        <f t="shared" si="16"/>
        <v>1</v>
      </c>
      <c r="AC32" s="1810">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274"/>
      <c r="Q33" s="775" t="str">
        <f t="shared" si="11"/>
        <v>项目建筑规模</v>
      </c>
      <c r="R33" s="776" t="s">
        <v>21</v>
      </c>
      <c r="S33" s="777" t="e">
        <f t="shared" si="12"/>
        <v>#N/A</v>
      </c>
      <c r="T33" s="776" t="s">
        <v>21</v>
      </c>
      <c r="U33" s="777" t="e">
        <f t="shared" si="13"/>
        <v>#N/A</v>
      </c>
      <c r="V33" s="776" t="s">
        <v>21</v>
      </c>
      <c r="W33" s="777" t="e">
        <f t="shared" si="14"/>
        <v>#N/A</v>
      </c>
      <c r="X33" s="778"/>
      <c r="Y33" s="3276"/>
      <c r="Z33" s="779" t="str">
        <f t="shared" si="18"/>
        <v>项目建筑规模</v>
      </c>
      <c r="AA33" s="1810" t="e">
        <f t="shared" si="15"/>
        <v>#N/A</v>
      </c>
      <c r="AB33" s="1810" t="e">
        <f t="shared" si="16"/>
        <v>#N/A</v>
      </c>
      <c r="AC33" s="1810" t="e">
        <f t="shared" si="17"/>
        <v>#N/A</v>
      </c>
    </row>
    <row r="34" spans="1:29" ht="15">
      <c r="A34" s="471"/>
      <c r="B34" s="421" t="s">
        <v>2564</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274"/>
      <c r="Q34" s="1809" t="str">
        <f t="shared" si="11"/>
        <v>建筑结构</v>
      </c>
      <c r="R34" s="773" t="s">
        <v>21</v>
      </c>
      <c r="S34" s="774">
        <f t="shared" si="12"/>
        <v>100</v>
      </c>
      <c r="T34" s="773" t="s">
        <v>21</v>
      </c>
      <c r="U34" s="774">
        <f t="shared" si="13"/>
        <v>100</v>
      </c>
      <c r="V34" s="773" t="s">
        <v>21</v>
      </c>
      <c r="W34" s="774">
        <f t="shared" si="14"/>
        <v>100</v>
      </c>
      <c r="X34" s="1812"/>
      <c r="Y34" s="3276"/>
      <c r="Z34" s="1813" t="str">
        <f t="shared" si="18"/>
        <v>建筑结构</v>
      </c>
      <c r="AA34" s="1810">
        <f t="shared" si="15"/>
        <v>1</v>
      </c>
      <c r="AB34" s="1810">
        <f t="shared" si="16"/>
        <v>1</v>
      </c>
      <c r="AC34" s="1810">
        <f t="shared" si="17"/>
        <v>1</v>
      </c>
    </row>
    <row r="35" spans="1:29" ht="15">
      <c r="A35" s="471"/>
      <c r="B35" s="421" t="s">
        <v>2565</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274"/>
      <c r="Q35" s="1809" t="str">
        <f t="shared" si="11"/>
        <v>建筑品质</v>
      </c>
      <c r="R35" s="773" t="s">
        <v>21</v>
      </c>
      <c r="S35" s="774">
        <f t="shared" si="12"/>
        <v>100</v>
      </c>
      <c r="T35" s="773" t="s">
        <v>21</v>
      </c>
      <c r="U35" s="774">
        <f t="shared" si="13"/>
        <v>100</v>
      </c>
      <c r="V35" s="773" t="s">
        <v>21</v>
      </c>
      <c r="W35" s="774">
        <f t="shared" si="14"/>
        <v>100</v>
      </c>
      <c r="X35" s="1812"/>
      <c r="Y35" s="3276"/>
      <c r="Z35" s="1813" t="str">
        <f t="shared" si="18"/>
        <v>建筑品质</v>
      </c>
      <c r="AA35" s="1810">
        <f t="shared" si="15"/>
        <v>1</v>
      </c>
      <c r="AB35" s="1810">
        <f t="shared" si="16"/>
        <v>1</v>
      </c>
      <c r="AC35" s="1810">
        <f t="shared" si="17"/>
        <v>1</v>
      </c>
    </row>
    <row r="36" spans="1:29" ht="15">
      <c r="A36" s="471"/>
      <c r="B36" s="421" t="s">
        <v>2566</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274"/>
      <c r="Q36" s="1809" t="str">
        <f t="shared" si="11"/>
        <v>公共部分装修</v>
      </c>
      <c r="R36" s="773" t="s">
        <v>21</v>
      </c>
      <c r="S36" s="774">
        <f t="shared" si="12"/>
        <v>100</v>
      </c>
      <c r="T36" s="773" t="s">
        <v>21</v>
      </c>
      <c r="U36" s="774">
        <f t="shared" si="13"/>
        <v>100</v>
      </c>
      <c r="V36" s="773" t="s">
        <v>21</v>
      </c>
      <c r="W36" s="774">
        <f t="shared" si="14"/>
        <v>100</v>
      </c>
      <c r="X36" s="1812"/>
      <c r="Y36" s="3276"/>
      <c r="Z36" s="1813" t="str">
        <f t="shared" si="18"/>
        <v>公共部分装修</v>
      </c>
      <c r="AA36" s="1810">
        <f t="shared" si="15"/>
        <v>1</v>
      </c>
      <c r="AB36" s="1810">
        <f t="shared" si="16"/>
        <v>1</v>
      </c>
      <c r="AC36" s="1810">
        <f t="shared" si="17"/>
        <v>1</v>
      </c>
    </row>
    <row r="37" spans="1:29" s="117"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74"/>
      <c r="Q37" s="1794" t="str">
        <f t="shared" si="11"/>
        <v>成新度</v>
      </c>
      <c r="R37" s="769" t="s">
        <v>21</v>
      </c>
      <c r="S37" s="770" t="e">
        <f t="shared" si="12"/>
        <v>#N/A</v>
      </c>
      <c r="T37" s="769" t="s">
        <v>21</v>
      </c>
      <c r="U37" s="770" t="e">
        <f t="shared" si="13"/>
        <v>#N/A</v>
      </c>
      <c r="V37" s="769" t="s">
        <v>21</v>
      </c>
      <c r="W37" s="770" t="e">
        <f t="shared" si="14"/>
        <v>#N/A</v>
      </c>
      <c r="X37" s="771"/>
      <c r="Y37" s="3276"/>
      <c r="Z37" s="55" t="str">
        <f t="shared" si="18"/>
        <v>成新度</v>
      </c>
      <c r="AA37" s="772" t="e">
        <f t="shared" si="15"/>
        <v>#N/A</v>
      </c>
      <c r="AB37" s="772" t="e">
        <f t="shared" si="16"/>
        <v>#N/A</v>
      </c>
      <c r="AC37" s="772" t="e">
        <f t="shared" si="17"/>
        <v>#N/A</v>
      </c>
    </row>
    <row r="38" spans="1:29" ht="15">
      <c r="A38" s="471"/>
      <c r="B38" s="421" t="s">
        <v>2568</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274" t="s">
        <v>2562</v>
      </c>
      <c r="Q38" s="1809" t="str">
        <f t="shared" si="11"/>
        <v>物业管理</v>
      </c>
      <c r="R38" s="773" t="s">
        <v>21</v>
      </c>
      <c r="S38" s="774">
        <f t="shared" si="12"/>
        <v>100</v>
      </c>
      <c r="T38" s="773" t="s">
        <v>21</v>
      </c>
      <c r="U38" s="774">
        <f t="shared" si="13"/>
        <v>100</v>
      </c>
      <c r="V38" s="773" t="s">
        <v>21</v>
      </c>
      <c r="W38" s="774">
        <f t="shared" si="14"/>
        <v>100</v>
      </c>
      <c r="X38" s="1812"/>
      <c r="Y38" s="3276" t="s">
        <v>2562</v>
      </c>
      <c r="Z38" s="1813" t="str">
        <f t="shared" si="18"/>
        <v>物业管理</v>
      </c>
      <c r="AA38" s="1810">
        <f t="shared" si="15"/>
        <v>1</v>
      </c>
      <c r="AB38" s="1810">
        <f t="shared" si="16"/>
        <v>1</v>
      </c>
      <c r="AC38" s="1810">
        <f t="shared" si="17"/>
        <v>1</v>
      </c>
    </row>
    <row r="39" spans="1:29" ht="15">
      <c r="A39" s="471"/>
      <c r="B39" s="421" t="s">
        <v>2569</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274"/>
      <c r="Q39" s="1809" t="str">
        <f t="shared" si="11"/>
        <v>市政基础设施</v>
      </c>
      <c r="R39" s="773" t="s">
        <v>21</v>
      </c>
      <c r="S39" s="774">
        <f t="shared" si="12"/>
        <v>100</v>
      </c>
      <c r="T39" s="773" t="s">
        <v>21</v>
      </c>
      <c r="U39" s="774">
        <f t="shared" si="13"/>
        <v>100</v>
      </c>
      <c r="V39" s="773" t="s">
        <v>21</v>
      </c>
      <c r="W39" s="774">
        <f t="shared" si="14"/>
        <v>100</v>
      </c>
      <c r="X39" s="1812"/>
      <c r="Y39" s="3276"/>
      <c r="Z39" s="1813" t="str">
        <f t="shared" si="18"/>
        <v>市政基础设施</v>
      </c>
      <c r="AA39" s="1810">
        <f t="shared" si="15"/>
        <v>1</v>
      </c>
      <c r="AB39" s="1810">
        <f t="shared" si="16"/>
        <v>1</v>
      </c>
      <c r="AC39" s="1810">
        <f t="shared" si="17"/>
        <v>1</v>
      </c>
    </row>
    <row r="40" spans="1:29" ht="15">
      <c r="A40" s="471"/>
      <c r="B40" s="421" t="s">
        <v>2570</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274"/>
      <c r="Q40" s="1809" t="str">
        <f t="shared" si="11"/>
        <v>房型</v>
      </c>
      <c r="R40" s="773" t="s">
        <v>21</v>
      </c>
      <c r="S40" s="774">
        <f t="shared" si="12"/>
        <v>100</v>
      </c>
      <c r="T40" s="773" t="s">
        <v>21</v>
      </c>
      <c r="U40" s="774">
        <f t="shared" si="13"/>
        <v>100</v>
      </c>
      <c r="V40" s="773" t="s">
        <v>21</v>
      </c>
      <c r="W40" s="774">
        <f t="shared" si="14"/>
        <v>100</v>
      </c>
      <c r="X40" s="1812"/>
      <c r="Y40" s="3276"/>
      <c r="Z40" s="1813" t="str">
        <f t="shared" si="18"/>
        <v>房型</v>
      </c>
      <c r="AA40" s="1810">
        <f t="shared" si="15"/>
        <v>1</v>
      </c>
      <c r="AB40" s="1810">
        <f t="shared" si="16"/>
        <v>1</v>
      </c>
      <c r="AC40" s="1810">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274"/>
      <c r="Q41" s="775" t="str">
        <f t="shared" si="11"/>
        <v>单套/主力户型建筑面积</v>
      </c>
      <c r="R41" s="776" t="s">
        <v>21</v>
      </c>
      <c r="S41" s="777">
        <f t="shared" si="12"/>
        <v>100</v>
      </c>
      <c r="T41" s="776" t="s">
        <v>21</v>
      </c>
      <c r="U41" s="777">
        <f t="shared" si="13"/>
        <v>100</v>
      </c>
      <c r="V41" s="776" t="s">
        <v>21</v>
      </c>
      <c r="W41" s="777">
        <f t="shared" si="14"/>
        <v>100</v>
      </c>
      <c r="X41" s="778"/>
      <c r="Y41" s="3276"/>
      <c r="Z41" s="779" t="str">
        <f t="shared" si="18"/>
        <v>单套/主力户型建筑面积</v>
      </c>
      <c r="AA41" s="1810">
        <f t="shared" si="15"/>
        <v>1</v>
      </c>
      <c r="AB41" s="1810">
        <f t="shared" si="16"/>
        <v>1</v>
      </c>
      <c r="AC41" s="1810">
        <f t="shared" si="17"/>
        <v>1</v>
      </c>
    </row>
    <row r="42" spans="1:29" ht="15">
      <c r="A42" s="471"/>
      <c r="B42" s="421" t="s">
        <v>2572</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274"/>
      <c r="Q42" s="1809" t="str">
        <f t="shared" si="11"/>
        <v>内部装修</v>
      </c>
      <c r="R42" s="773" t="s">
        <v>21</v>
      </c>
      <c r="S42" s="774">
        <f t="shared" si="12"/>
        <v>100</v>
      </c>
      <c r="T42" s="773" t="s">
        <v>21</v>
      </c>
      <c r="U42" s="774">
        <f t="shared" si="13"/>
        <v>100</v>
      </c>
      <c r="V42" s="773" t="s">
        <v>21</v>
      </c>
      <c r="W42" s="774">
        <f t="shared" si="14"/>
        <v>100</v>
      </c>
      <c r="X42" s="1812"/>
      <c r="Y42" s="3276"/>
      <c r="Z42" s="1813" t="str">
        <f t="shared" si="18"/>
        <v>内部装修</v>
      </c>
      <c r="AA42" s="1810">
        <f t="shared" si="15"/>
        <v>1</v>
      </c>
      <c r="AB42" s="1810">
        <f t="shared" si="16"/>
        <v>1</v>
      </c>
      <c r="AC42" s="1810">
        <f t="shared" si="17"/>
        <v>1</v>
      </c>
    </row>
    <row r="43" spans="1:29" ht="15">
      <c r="A43" s="471"/>
      <c r="B43" s="421" t="s">
        <v>2573</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274"/>
      <c r="Q43" s="1809" t="str">
        <f t="shared" si="11"/>
        <v>内部装修维护情况</v>
      </c>
      <c r="R43" s="773" t="s">
        <v>21</v>
      </c>
      <c r="S43" s="774">
        <f t="shared" si="12"/>
        <v>100</v>
      </c>
      <c r="T43" s="773" t="s">
        <v>21</v>
      </c>
      <c r="U43" s="774">
        <f t="shared" si="13"/>
        <v>100</v>
      </c>
      <c r="V43" s="773" t="s">
        <v>21</v>
      </c>
      <c r="W43" s="774">
        <f t="shared" si="14"/>
        <v>100</v>
      </c>
      <c r="X43" s="1812"/>
      <c r="Y43" s="3276"/>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274"/>
      <c r="Q44" s="1794">
        <f t="shared" si="11"/>
        <v>111</v>
      </c>
      <c r="R44" s="769" t="s">
        <v>21</v>
      </c>
      <c r="S44" s="770">
        <f t="shared" si="12"/>
        <v>100</v>
      </c>
      <c r="T44" s="769" t="s">
        <v>21</v>
      </c>
      <c r="U44" s="770">
        <f t="shared" si="13"/>
        <v>100</v>
      </c>
      <c r="V44" s="769" t="s">
        <v>21</v>
      </c>
      <c r="W44" s="770">
        <f t="shared" si="14"/>
        <v>100</v>
      </c>
      <c r="X44" s="771"/>
      <c r="Y44" s="3276"/>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274"/>
      <c r="Q45" s="1809">
        <f t="shared" si="11"/>
        <v>111</v>
      </c>
      <c r="R45" s="773" t="s">
        <v>21</v>
      </c>
      <c r="S45" s="774">
        <f t="shared" si="12"/>
        <v>100</v>
      </c>
      <c r="T45" s="773" t="s">
        <v>21</v>
      </c>
      <c r="U45" s="774">
        <f t="shared" si="13"/>
        <v>100</v>
      </c>
      <c r="V45" s="773" t="s">
        <v>21</v>
      </c>
      <c r="W45" s="774">
        <f t="shared" si="14"/>
        <v>100</v>
      </c>
      <c r="X45" s="1812"/>
      <c r="Y45" s="3276"/>
      <c r="Z45" s="1813">
        <f t="shared" si="18"/>
        <v>111</v>
      </c>
      <c r="AA45" s="1810">
        <f t="shared" si="15"/>
        <v>1</v>
      </c>
      <c r="AB45" s="1810">
        <f t="shared" si="16"/>
        <v>1</v>
      </c>
      <c r="AC45" s="1810">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275"/>
      <c r="Q46" s="1809">
        <f t="shared" si="11"/>
        <v>111</v>
      </c>
      <c r="R46" s="773" t="s">
        <v>20</v>
      </c>
      <c r="S46" s="774">
        <f t="shared" si="12"/>
        <v>100</v>
      </c>
      <c r="T46" s="773" t="s">
        <v>20</v>
      </c>
      <c r="U46" s="774">
        <f t="shared" si="13"/>
        <v>100</v>
      </c>
      <c r="V46" s="773" t="s">
        <v>20</v>
      </c>
      <c r="W46" s="774">
        <f t="shared" si="14"/>
        <v>100</v>
      </c>
      <c r="X46" s="1812"/>
      <c r="Y46" s="3277"/>
      <c r="Z46" s="1813">
        <f t="shared" si="18"/>
        <v>111</v>
      </c>
      <c r="AA46" s="1810">
        <f t="shared" si="15"/>
        <v>1</v>
      </c>
      <c r="AB46" s="1810">
        <f t="shared" si="16"/>
        <v>1</v>
      </c>
      <c r="AC46" s="1810">
        <f t="shared" si="17"/>
        <v>1</v>
      </c>
    </row>
    <row r="47" spans="1:29" ht="15">
      <c r="A47" s="478" t="s">
        <v>2574</v>
      </c>
      <c r="B47" s="479"/>
      <c r="C47" s="1406" t="s">
        <v>19</v>
      </c>
      <c r="D47" s="1407"/>
      <c r="E47" s="1408"/>
      <c r="F47" s="1409"/>
      <c r="G47" s="1410"/>
      <c r="H47" s="1411"/>
      <c r="I47" s="1408"/>
      <c r="J47" s="1411"/>
      <c r="K47" s="2620"/>
      <c r="L47" s="1142"/>
      <c r="M47" s="1143"/>
      <c r="N47" s="1130"/>
      <c r="O47" s="1143"/>
      <c r="P47" s="3269" t="str">
        <f>A47</f>
        <v>成交单价（元/平方米）</v>
      </c>
      <c r="Q47" s="3269"/>
      <c r="R47" s="3270">
        <f>E47</f>
        <v>0</v>
      </c>
      <c r="S47" s="3270"/>
      <c r="T47" s="3270">
        <f>G47</f>
        <v>0</v>
      </c>
      <c r="U47" s="3270"/>
      <c r="V47" s="3270">
        <f>I47</f>
        <v>0</v>
      </c>
      <c r="W47" s="3270"/>
      <c r="X47" s="758"/>
      <c r="Y47" s="780"/>
      <c r="Z47" s="758"/>
      <c r="AA47" s="758"/>
      <c r="AB47" s="758"/>
      <c r="AC47" s="758"/>
    </row>
    <row r="48" spans="1:29" ht="15.75" thickBot="1">
      <c r="A48" s="485" t="s">
        <v>2575</v>
      </c>
      <c r="B48" s="486"/>
      <c r="C48" s="1412" t="e">
        <f>R49</f>
        <v>#DIV/0!</v>
      </c>
      <c r="D48" s="1413"/>
      <c r="E48" s="1414" t="e">
        <f>R48</f>
        <v>#DIV/0!</v>
      </c>
      <c r="F48" s="1414"/>
      <c r="G48" s="1412" t="e">
        <f>T48</f>
        <v>#DIV/0!</v>
      </c>
      <c r="H48" s="1413"/>
      <c r="I48" s="1414" t="e">
        <f>V48</f>
        <v>#DIV/0!</v>
      </c>
      <c r="J48" s="1413"/>
      <c r="K48" s="2621"/>
      <c r="L48" s="1142"/>
      <c r="M48" s="1143"/>
      <c r="N48" s="1143"/>
      <c r="O48" s="1143"/>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58"/>
      <c r="Y48" s="758"/>
      <c r="Z48" s="758"/>
      <c r="AA48" s="758"/>
      <c r="AB48" s="758"/>
      <c r="AC48" s="758"/>
    </row>
    <row r="49" spans="1:29" ht="15.75" thickBot="1">
      <c r="A49" s="491" t="s">
        <v>2576</v>
      </c>
      <c r="B49" s="492"/>
      <c r="C49" s="1415" t="e">
        <f>R49</f>
        <v>#DIV/0!</v>
      </c>
      <c r="D49" s="1416"/>
      <c r="E49" s="1416"/>
      <c r="F49" s="1416"/>
      <c r="G49" s="1416"/>
      <c r="H49" s="1416"/>
      <c r="I49" s="1416"/>
      <c r="J49" s="1416"/>
      <c r="K49" s="2622"/>
      <c r="L49" s="1142"/>
      <c r="M49" s="1143"/>
      <c r="N49" s="1143"/>
      <c r="O49" s="1143"/>
      <c r="P49" s="3266" t="str">
        <f>A49</f>
        <v>估价对象XX用房的比较价值（楼面单价，元/平方米）</v>
      </c>
      <c r="Q49" s="3267"/>
      <c r="R49" s="3268" t="e">
        <f>IF(F1="售价",ROUND(AVERAGE(R48:V48),0),ROUND(AVERAGE(R48:V48),1))</f>
        <v>#DIV/0!</v>
      </c>
      <c r="S49" s="3268"/>
      <c r="T49" s="3268"/>
      <c r="U49" s="3268"/>
      <c r="V49" s="3268"/>
      <c r="W49" s="326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25"/>
      <c r="Q57" s="503"/>
    </row>
    <row r="58" spans="1:29" s="507" customFormat="1" ht="15">
      <c r="A58" s="504" t="s">
        <v>2581</v>
      </c>
      <c r="B58" s="505"/>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ht="15">
      <c r="A59" s="508"/>
      <c r="B59" s="2626"/>
      <c r="C59" s="1572">
        <v>100</v>
      </c>
      <c r="D59" s="510"/>
      <c r="E59" s="511"/>
      <c r="F59" s="511"/>
      <c r="G59" s="511"/>
      <c r="H59" s="511"/>
      <c r="I59" s="511"/>
      <c r="J59" s="511"/>
      <c r="K59" s="511"/>
      <c r="L59" s="511"/>
      <c r="M59" s="512"/>
      <c r="N59" s="511"/>
      <c r="O59" s="512"/>
      <c r="P59" s="2627"/>
    </row>
    <row r="60" spans="1:29" s="117" customFormat="1" ht="15.75" thickBot="1">
      <c r="A60" s="514" t="s">
        <v>2582</v>
      </c>
      <c r="B60" s="515"/>
      <c r="C60" s="516"/>
      <c r="D60" s="517"/>
      <c r="E60" s="517"/>
      <c r="F60" s="517"/>
      <c r="G60" s="517"/>
      <c r="H60" s="517"/>
      <c r="I60" s="517"/>
      <c r="J60" s="517"/>
      <c r="K60" s="517"/>
      <c r="L60" s="517"/>
      <c r="M60" s="518"/>
      <c r="N60" s="517"/>
      <c r="O60" s="518"/>
      <c r="P60" s="2627"/>
      <c r="Q60" s="503"/>
    </row>
    <row r="61" spans="1:29" s="117" customFormat="1" ht="15">
      <c r="A61" s="520" t="s">
        <v>2583</v>
      </c>
      <c r="B61" s="509"/>
      <c r="C61" s="521" t="s">
        <v>2584</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2585</v>
      </c>
      <c r="B63" s="527" t="s">
        <v>2551</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59"/>
      <c r="E73" s="559"/>
      <c r="F73" s="559"/>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2094</v>
      </c>
      <c r="C82" s="538" t="s">
        <v>2601</v>
      </c>
      <c r="D82" s="538" t="s">
        <v>2602</v>
      </c>
      <c r="E82" s="538" t="s">
        <v>2603</v>
      </c>
      <c r="F82" s="538" t="s">
        <v>2604</v>
      </c>
      <c r="G82" s="538" t="s">
        <v>2605</v>
      </c>
      <c r="H82" s="538"/>
      <c r="I82" s="538"/>
      <c r="J82" s="538"/>
      <c r="K82" s="538"/>
      <c r="L82" s="538"/>
      <c r="M82" s="1381"/>
      <c r="N82" s="1152"/>
      <c r="O82" s="1152"/>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2607</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75" thickTop="1">
      <c r="A88" s="578"/>
      <c r="B88" s="537" t="s">
        <v>2608</v>
      </c>
      <c r="C88" s="553"/>
      <c r="D88" s="553"/>
      <c r="E88" s="553"/>
      <c r="F88" s="2634"/>
      <c r="G88" s="553"/>
      <c r="H88" s="553"/>
      <c r="I88" s="553"/>
      <c r="J88" s="553"/>
      <c r="K88" s="553"/>
      <c r="L88" s="553"/>
      <c r="M88" s="580"/>
      <c r="N88" s="1150"/>
      <c r="O88" s="1150"/>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5.75" thickTop="1">
      <c r="A90" s="552"/>
      <c r="B90" s="537">
        <f>B27</f>
        <v>111</v>
      </c>
      <c r="C90" s="553"/>
      <c r="D90" s="553"/>
      <c r="E90" s="553"/>
      <c r="F90" s="553"/>
      <c r="G90" s="553"/>
      <c r="H90" s="554"/>
      <c r="I90" s="554"/>
      <c r="J90" s="554"/>
      <c r="K90" s="554"/>
      <c r="L90" s="555"/>
      <c r="M90" s="556"/>
      <c r="N90" s="1153"/>
      <c r="O90" s="1153"/>
      <c r="P90" s="2630"/>
      <c r="Q90" s="558"/>
    </row>
    <row r="91" spans="1:17" s="470" customFormat="1" ht="15.75" thickBot="1">
      <c r="A91" s="552"/>
      <c r="B91" s="542"/>
      <c r="C91" s="559"/>
      <c r="D91" s="559"/>
      <c r="E91" s="559"/>
      <c r="F91" s="559"/>
      <c r="G91" s="559"/>
      <c r="H91" s="561"/>
      <c r="I91" s="561"/>
      <c r="J91" s="561"/>
      <c r="K91" s="561"/>
      <c r="L91" s="561"/>
      <c r="M91" s="562"/>
      <c r="N91" s="1153"/>
      <c r="O91" s="1153"/>
      <c r="P91" s="2630"/>
      <c r="Q91" s="558"/>
    </row>
    <row r="92" spans="1:17" ht="15.75" thickTop="1">
      <c r="A92" s="533"/>
      <c r="B92" s="537">
        <f>B28</f>
        <v>111</v>
      </c>
      <c r="C92" s="553"/>
      <c r="D92" s="553"/>
      <c r="E92" s="553"/>
      <c r="F92" s="553"/>
      <c r="G92" s="582"/>
      <c r="H92" s="582"/>
      <c r="I92" s="582"/>
      <c r="J92" s="582"/>
      <c r="K92" s="583"/>
      <c r="L92" s="584"/>
      <c r="M92" s="585"/>
      <c r="N92" s="1151"/>
      <c r="O92" s="1151"/>
      <c r="P92" s="2629"/>
      <c r="Q92" s="503"/>
    </row>
    <row r="93" spans="1:17" ht="15.75" thickBot="1">
      <c r="A93" s="533"/>
      <c r="B93" s="542"/>
      <c r="C93" s="559"/>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59"/>
      <c r="E95" s="559"/>
      <c r="F95" s="559"/>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69"/>
      <c r="D97" s="569"/>
      <c r="E97" s="569"/>
      <c r="F97" s="569"/>
      <c r="G97" s="535"/>
      <c r="H97" s="535"/>
      <c r="I97" s="535"/>
      <c r="J97" s="535"/>
      <c r="K97" s="535"/>
      <c r="L97" s="535"/>
      <c r="M97" s="536"/>
      <c r="N97" s="1152"/>
      <c r="O97" s="1152"/>
      <c r="P97" s="2629"/>
      <c r="Q97" s="503"/>
    </row>
    <row r="98" spans="1:17" ht="15.75" thickTop="1">
      <c r="A98" s="533"/>
      <c r="B98" s="545">
        <f>B31</f>
        <v>111</v>
      </c>
      <c r="C98" s="586"/>
      <c r="D98" s="586"/>
      <c r="E98" s="586"/>
      <c r="F98" s="586"/>
      <c r="G98" s="586"/>
      <c r="H98" s="586"/>
      <c r="I98" s="586"/>
      <c r="J98" s="586"/>
      <c r="K98" s="587"/>
      <c r="L98" s="588"/>
      <c r="M98" s="589"/>
      <c r="N98" s="1151"/>
      <c r="O98" s="1151"/>
      <c r="P98" s="2629"/>
      <c r="Q98" s="503"/>
    </row>
    <row r="99" spans="1:17" ht="15.75" thickBot="1">
      <c r="A99" s="2635"/>
      <c r="B99" s="568"/>
      <c r="C99" s="590"/>
      <c r="D99" s="590"/>
      <c r="E99" s="590"/>
      <c r="F99" s="590"/>
      <c r="G99" s="590"/>
      <c r="H99" s="590"/>
      <c r="I99" s="590"/>
      <c r="J99" s="590"/>
      <c r="K99" s="590"/>
      <c r="L99" s="590"/>
      <c r="M99" s="591"/>
      <c r="N99" s="1152"/>
      <c r="O99" s="1152"/>
      <c r="P99" s="2629"/>
      <c r="Q99" s="503"/>
    </row>
    <row r="100" spans="1:17">
      <c r="A100" s="526" t="s">
        <v>2560</v>
      </c>
      <c r="B100" s="527" t="s">
        <v>2609</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2611</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2612</v>
      </c>
      <c r="C107" s="582"/>
      <c r="D107" s="582"/>
      <c r="E107" s="582"/>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2613</v>
      </c>
      <c r="C109" s="553"/>
      <c r="D109" s="553"/>
      <c r="E109" s="553"/>
      <c r="F109" s="582"/>
      <c r="G109" s="582"/>
      <c r="H109" s="582"/>
      <c r="I109" s="582"/>
      <c r="J109" s="582"/>
      <c r="K109" s="583"/>
      <c r="L109" s="584"/>
      <c r="M109" s="585"/>
      <c r="N109" s="1151"/>
      <c r="O109" s="1151"/>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2614</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2615</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2616</v>
      </c>
      <c r="C118" s="582"/>
      <c r="D118" s="582"/>
      <c r="E118" s="582"/>
      <c r="F118" s="582"/>
      <c r="G118" s="582"/>
      <c r="H118" s="582"/>
      <c r="I118" s="582"/>
      <c r="J118" s="582"/>
      <c r="K118" s="583"/>
      <c r="L118" s="584"/>
      <c r="M118" s="585"/>
      <c r="N118" s="1151"/>
      <c r="O118" s="1151"/>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8.5" thickTop="1">
      <c r="A120" s="592"/>
      <c r="B120" s="537" t="s">
        <v>2571</v>
      </c>
      <c r="C120" s="553"/>
      <c r="D120" s="553"/>
      <c r="E120" s="553"/>
      <c r="F120" s="553"/>
      <c r="G120" s="553"/>
      <c r="H120" s="553"/>
      <c r="I120" s="553"/>
      <c r="J120" s="553"/>
      <c r="K120" s="553"/>
      <c r="L120" s="579"/>
      <c r="M120" s="580"/>
      <c r="N120" s="1153"/>
      <c r="O120" s="1153"/>
      <c r="P120" s="2630"/>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2617</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59"/>
      <c r="E129" s="559"/>
      <c r="F129" s="559"/>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5" t="s">
        <v>2622</v>
      </c>
      <c r="D138" s="145" t="s">
        <v>2623</v>
      </c>
      <c r="E138" s="2644" t="s">
        <v>2624</v>
      </c>
      <c r="F138" s="2645" t="s">
        <v>2625</v>
      </c>
      <c r="G138" s="145" t="s">
        <v>2623</v>
      </c>
      <c r="H138" s="146" t="s">
        <v>2624</v>
      </c>
      <c r="I138" s="2646"/>
      <c r="J138" s="145" t="s">
        <v>2626</v>
      </c>
      <c r="K138" s="146" t="s">
        <v>2627</v>
      </c>
    </row>
    <row r="139" spans="1:17" ht="15">
      <c r="B139" s="1083">
        <v>6</v>
      </c>
      <c r="C139" s="1084">
        <v>96</v>
      </c>
      <c r="D139" s="2647" t="s">
        <v>2628</v>
      </c>
      <c r="E139" s="1085">
        <v>100</v>
      </c>
      <c r="F139" s="1086">
        <v>102.5</v>
      </c>
      <c r="G139" s="2647" t="s">
        <v>2628</v>
      </c>
      <c r="H139" s="1087">
        <v>105</v>
      </c>
      <c r="I139" s="2648" t="s">
        <v>2629</v>
      </c>
      <c r="J139" s="1084">
        <v>20</v>
      </c>
      <c r="K139" s="1088">
        <f>C145/(J139-2)</f>
        <v>4.0555555555555553E-3</v>
      </c>
    </row>
    <row r="140" spans="1:17" ht="15">
      <c r="B140" s="1089">
        <v>5</v>
      </c>
      <c r="C140" s="1090">
        <v>100</v>
      </c>
      <c r="D140" s="1090"/>
      <c r="E140" s="1091"/>
      <c r="F140" s="1092">
        <v>102</v>
      </c>
      <c r="G140" s="1090"/>
      <c r="H140" s="1093"/>
      <c r="I140" s="2649" t="s">
        <v>2630</v>
      </c>
      <c r="J140" s="314">
        <f>ROUNDUP((J139-1)/2,0)</f>
        <v>10</v>
      </c>
      <c r="K140" s="1094">
        <v>100</v>
      </c>
    </row>
    <row r="141" spans="1:17" ht="15">
      <c r="B141" s="1089">
        <v>4</v>
      </c>
      <c r="C141" s="1090">
        <v>102</v>
      </c>
      <c r="D141" s="1090"/>
      <c r="E141" s="1091"/>
      <c r="F141" s="1092">
        <v>101.5</v>
      </c>
      <c r="G141" s="1090"/>
      <c r="H141" s="1093"/>
      <c r="I141" s="2649" t="s">
        <v>2631</v>
      </c>
      <c r="J141" s="314">
        <v>1</v>
      </c>
      <c r="K141" s="1095">
        <f>ROUND(100+(J141-J140)*K139*100,1)</f>
        <v>96.4</v>
      </c>
    </row>
    <row r="142" spans="1:17" ht="15">
      <c r="B142" s="1089">
        <v>3</v>
      </c>
      <c r="C142" s="1090">
        <v>103</v>
      </c>
      <c r="D142" s="1090"/>
      <c r="E142" s="1091"/>
      <c r="F142" s="1092">
        <v>101</v>
      </c>
      <c r="G142" s="1090"/>
      <c r="H142" s="1093"/>
      <c r="I142" s="2649" t="s">
        <v>2632</v>
      </c>
      <c r="J142" s="314">
        <f>J139</f>
        <v>20</v>
      </c>
      <c r="K142" s="1096">
        <v>95</v>
      </c>
    </row>
    <row r="143" spans="1:17" ht="15">
      <c r="B143" s="1089">
        <v>2</v>
      </c>
      <c r="C143" s="1090">
        <v>100</v>
      </c>
      <c r="D143" s="1090"/>
      <c r="E143" s="1091"/>
      <c r="F143" s="1092">
        <v>100.5</v>
      </c>
      <c r="G143" s="1090"/>
      <c r="H143" s="1093"/>
      <c r="I143" s="2649" t="s">
        <v>2633</v>
      </c>
      <c r="J143" s="1090">
        <v>15</v>
      </c>
      <c r="K143" s="1095">
        <f>ROUND(100+(J143-J140)*K139*100,1)</f>
        <v>102</v>
      </c>
    </row>
    <row r="144" spans="1:17" ht="15">
      <c r="B144" s="1089">
        <v>1</v>
      </c>
      <c r="C144" s="1090">
        <v>98</v>
      </c>
      <c r="D144" s="2650" t="s">
        <v>2634</v>
      </c>
      <c r="E144" s="1091">
        <v>102</v>
      </c>
      <c r="F144" s="1097">
        <v>100</v>
      </c>
      <c r="G144" s="2650" t="s">
        <v>2634</v>
      </c>
      <c r="H144" s="1093">
        <v>105</v>
      </c>
      <c r="I144" s="2649" t="s">
        <v>2633</v>
      </c>
      <c r="J144" s="1090">
        <v>18</v>
      </c>
      <c r="K144" s="1095">
        <f>ROUND(100+(J144-J140)*K139*100,1)</f>
        <v>103.2</v>
      </c>
    </row>
    <row r="145" spans="2:11" ht="15.75" thickBot="1">
      <c r="B145" s="2651" t="s">
        <v>2635</v>
      </c>
      <c r="C145" s="1098">
        <f>ROUND(MAX(C139:C144)/MIN(C139:C144)-1,3)</f>
        <v>7.2999999999999995E-2</v>
      </c>
      <c r="D145" s="1099"/>
      <c r="E145" s="1099"/>
      <c r="F145" s="2652" t="s">
        <v>2636</v>
      </c>
      <c r="G145" s="2653"/>
      <c r="H145" s="2654"/>
      <c r="I145" s="2655" t="s">
        <v>2633</v>
      </c>
      <c r="J145" s="1100">
        <v>8</v>
      </c>
      <c r="K145" s="1101">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1" t="s">
        <v>2639</v>
      </c>
      <c r="C1" s="1633" t="s">
        <v>2527</v>
      </c>
      <c r="D1" s="1620"/>
      <c r="E1" s="2656"/>
      <c r="F1" s="2583"/>
      <c r="G1" s="1630" t="s">
        <v>2640</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2324</v>
      </c>
      <c r="B2" s="1417" t="e">
        <f ca="1">IF(C2="——",ROUND(C49*D3/10000,0),ROUND(C49*D3/10000,0)-D2)</f>
        <v>#DIV/0!</v>
      </c>
      <c r="C2" s="2585"/>
      <c r="D2" s="1364" t="e">
        <f ca="1">SUMIF(INDIRECT("'"&amp;F2&amp;"'"&amp;"!A:A"),"承租人权益价值",INDIRECT("'"&amp;F2&amp;"'"&amp;"!c:c"))</f>
        <v>#REF!</v>
      </c>
      <c r="E2" s="2586" t="s">
        <v>2325</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2326</v>
      </c>
      <c r="B3" s="608" t="e">
        <f ca="1">IF(C2="——",C49,ROUND(B2*10000/D3,0))</f>
        <v>#DIV/0!</v>
      </c>
      <c r="C3" s="399" t="s">
        <v>2641</v>
      </c>
      <c r="D3" s="398">
        <f>IF(D1="",'数据-汇总表'!E3,SUMIF('数据-汇总表'!$C19:$C33,D1,'数据-汇总表'!$E19:$E33))</f>
        <v>9339.3000000000011</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0" t="s">
        <v>2642</v>
      </c>
      <c r="B4" s="401"/>
      <c r="C4" s="3252" t="s">
        <v>2643</v>
      </c>
      <c r="D4" s="3253"/>
      <c r="E4" s="3254" t="s">
        <v>2644</v>
      </c>
      <c r="F4" s="3255"/>
      <c r="G4" s="3252" t="s">
        <v>2645</v>
      </c>
      <c r="H4" s="3253"/>
      <c r="I4" s="3252" t="s">
        <v>2646</v>
      </c>
      <c r="J4" s="3253"/>
      <c r="K4" s="609" t="s">
        <v>2647</v>
      </c>
      <c r="L4" s="1129"/>
      <c r="M4" s="1130"/>
      <c r="N4" s="1130"/>
      <c r="O4" s="1130"/>
      <c r="P4" s="3256" t="s">
        <v>2648</v>
      </c>
      <c r="Q4" s="3257"/>
      <c r="R4" s="3239" t="s">
        <v>2644</v>
      </c>
      <c r="S4" s="3240"/>
      <c r="T4" s="3239" t="s">
        <v>2645</v>
      </c>
      <c r="U4" s="3240"/>
      <c r="V4" s="3264" t="s">
        <v>2646</v>
      </c>
      <c r="W4" s="3264"/>
      <c r="X4" s="1812"/>
      <c r="Y4" s="3239" t="s">
        <v>2648</v>
      </c>
      <c r="Z4" s="3240"/>
      <c r="AA4" s="3234" t="s">
        <v>2644</v>
      </c>
      <c r="AB4" s="3264" t="s">
        <v>2645</v>
      </c>
      <c r="AC4" s="3234" t="s">
        <v>2646</v>
      </c>
    </row>
    <row r="5" spans="1:29" ht="15">
      <c r="A5" s="403"/>
      <c r="B5" s="404"/>
      <c r="C5" s="3245" t="s">
        <v>2539</v>
      </c>
      <c r="D5" s="3246"/>
      <c r="E5" s="3243" t="s">
        <v>2540</v>
      </c>
      <c r="F5" s="3244"/>
      <c r="G5" s="3245" t="s">
        <v>2541</v>
      </c>
      <c r="H5" s="3246"/>
      <c r="I5" s="3245" t="s">
        <v>2542</v>
      </c>
      <c r="J5" s="3246"/>
      <c r="K5" s="609"/>
      <c r="L5" s="1129"/>
      <c r="M5" s="1130"/>
      <c r="N5" s="1130"/>
      <c r="O5" s="1130"/>
      <c r="P5" s="3258"/>
      <c r="Q5" s="3259"/>
      <c r="R5" s="3241"/>
      <c r="S5" s="3242"/>
      <c r="T5" s="3241"/>
      <c r="U5" s="3242"/>
      <c r="V5" s="3264"/>
      <c r="W5" s="3264"/>
      <c r="X5" s="1812"/>
      <c r="Y5" s="3241"/>
      <c r="Z5" s="3242"/>
      <c r="AA5" s="3235"/>
      <c r="AB5" s="3264"/>
      <c r="AC5" s="3235"/>
    </row>
    <row r="6" spans="1:29" ht="15.75" thickBot="1">
      <c r="A6" s="405"/>
      <c r="B6" s="406"/>
      <c r="C6" s="3247" t="s">
        <v>2543</v>
      </c>
      <c r="D6" s="3248"/>
      <c r="E6" s="3249" t="s">
        <v>2543</v>
      </c>
      <c r="F6" s="3250"/>
      <c r="G6" s="3247" t="s">
        <v>2543</v>
      </c>
      <c r="H6" s="3248"/>
      <c r="I6" s="3247" t="s">
        <v>2543</v>
      </c>
      <c r="J6" s="3248"/>
      <c r="K6" s="609" t="s">
        <v>2544</v>
      </c>
      <c r="L6" s="1129"/>
      <c r="M6" s="1130"/>
      <c r="N6" s="1130"/>
      <c r="O6" s="1130"/>
      <c r="P6" s="3260"/>
      <c r="Q6" s="3261"/>
      <c r="R6" s="3241"/>
      <c r="S6" s="3242"/>
      <c r="T6" s="3262"/>
      <c r="U6" s="3263"/>
      <c r="V6" s="3264"/>
      <c r="W6" s="3264"/>
      <c r="X6" s="1812"/>
      <c r="Y6" s="3262"/>
      <c r="Z6" s="3263"/>
      <c r="AA6" s="3236"/>
      <c r="AB6" s="3264"/>
      <c r="AC6" s="3236"/>
    </row>
    <row r="7" spans="1:29" s="117" customFormat="1" ht="15.75" thickBot="1">
      <c r="A7" s="407" t="s">
        <v>2545</v>
      </c>
      <c r="B7" s="408"/>
      <c r="C7" s="409">
        <f>'数据-取费表'!B2</f>
        <v>43934</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37" t="s">
        <v>2546</v>
      </c>
      <c r="Q7" s="3265"/>
      <c r="R7" s="769" t="s">
        <v>17</v>
      </c>
      <c r="S7" s="770">
        <f t="shared" ref="S7:S15" si="0">F7</f>
        <v>0</v>
      </c>
      <c r="T7" s="769" t="s">
        <v>17</v>
      </c>
      <c r="U7" s="770">
        <f t="shared" ref="U7:U15" si="1">H7</f>
        <v>0</v>
      </c>
      <c r="V7" s="769" t="s">
        <v>17</v>
      </c>
      <c r="W7" s="770">
        <f t="shared" ref="W7:W15" si="2">J7</f>
        <v>0</v>
      </c>
      <c r="X7" s="771"/>
      <c r="Y7" s="3237" t="s">
        <v>2546</v>
      </c>
      <c r="Z7" s="3238"/>
      <c r="AA7" s="772" t="e">
        <f>D7/F7</f>
        <v>#DIV/0!</v>
      </c>
      <c r="AB7" s="772" t="e">
        <f>D7/H7</f>
        <v>#DIV/0!</v>
      </c>
      <c r="AC7" s="772" t="e">
        <f>D7/J7</f>
        <v>#DIV/0!</v>
      </c>
    </row>
    <row r="8" spans="1:29" s="117"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37" t="s">
        <v>2549</v>
      </c>
      <c r="Q8" s="3238"/>
      <c r="R8" s="769" t="s">
        <v>17</v>
      </c>
      <c r="S8" s="770">
        <f t="shared" si="0"/>
        <v>0</v>
      </c>
      <c r="T8" s="769" t="s">
        <v>17</v>
      </c>
      <c r="U8" s="770">
        <f t="shared" si="1"/>
        <v>0</v>
      </c>
      <c r="V8" s="769" t="s">
        <v>17</v>
      </c>
      <c r="W8" s="770">
        <f t="shared" si="2"/>
        <v>0</v>
      </c>
      <c r="X8" s="771"/>
      <c r="Y8" s="3237" t="s">
        <v>2549</v>
      </c>
      <c r="Z8" s="3238"/>
      <c r="AA8" s="772" t="e">
        <f t="shared" ref="AA8:AA46" si="3">D8/F8</f>
        <v>#DIV/0!</v>
      </c>
      <c r="AB8" s="772" t="e">
        <f t="shared" ref="AB8:AB46" si="4">D8/H8</f>
        <v>#DIV/0!</v>
      </c>
      <c r="AC8" s="772" t="e">
        <f t="shared" ref="AC8:AC46" si="5">D8/J8</f>
        <v>#DIV/0!</v>
      </c>
    </row>
    <row r="9" spans="1:29" s="117" customFormat="1">
      <c r="A9" s="414" t="s">
        <v>2550</v>
      </c>
      <c r="B9" s="71" t="s">
        <v>2551</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51" t="s">
        <v>2552</v>
      </c>
      <c r="Q9" s="1794" t="str">
        <f t="shared" ref="Q9:Q15" si="6">B9</f>
        <v>用途</v>
      </c>
      <c r="R9" s="769" t="s">
        <v>17</v>
      </c>
      <c r="S9" s="770">
        <f t="shared" si="0"/>
        <v>100</v>
      </c>
      <c r="T9" s="769" t="s">
        <v>17</v>
      </c>
      <c r="U9" s="770">
        <f t="shared" si="1"/>
        <v>100</v>
      </c>
      <c r="V9" s="769" t="s">
        <v>17</v>
      </c>
      <c r="W9" s="770">
        <f t="shared" si="2"/>
        <v>100</v>
      </c>
      <c r="X9" s="771"/>
      <c r="Y9" s="3084"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51"/>
      <c r="Q10" s="1794"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51"/>
      <c r="Q11" s="1794"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1"/>
      <c r="Q12" s="1794">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1"/>
      <c r="Q13" s="1794">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1"/>
      <c r="Q14" s="1794">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772">
        <f t="shared" si="5"/>
        <v>1</v>
      </c>
    </row>
    <row r="15" spans="1:29" ht="71.25">
      <c r="A15" s="439" t="s">
        <v>2556</v>
      </c>
      <c r="B15" s="69" t="s">
        <v>2650</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78" t="s">
        <v>2557</v>
      </c>
      <c r="Q15" s="1809" t="str">
        <f t="shared" si="6"/>
        <v>商业繁华度</v>
      </c>
      <c r="R15" s="773" t="s">
        <v>17</v>
      </c>
      <c r="S15" s="774">
        <f t="shared" si="0"/>
        <v>100</v>
      </c>
      <c r="T15" s="773" t="s">
        <v>17</v>
      </c>
      <c r="U15" s="774">
        <f t="shared" si="1"/>
        <v>100</v>
      </c>
      <c r="V15" s="773" t="s">
        <v>17</v>
      </c>
      <c r="W15" s="774">
        <f t="shared" si="2"/>
        <v>100</v>
      </c>
      <c r="X15" s="1812"/>
      <c r="Y15" s="3271" t="s">
        <v>2557</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79"/>
      <c r="Q16" s="1809"/>
      <c r="R16" s="773"/>
      <c r="S16" s="774"/>
      <c r="T16" s="773"/>
      <c r="U16" s="774"/>
      <c r="V16" s="773"/>
      <c r="W16" s="774"/>
      <c r="X16" s="1812"/>
      <c r="Y16" s="3272"/>
      <c r="Z16" s="1813"/>
      <c r="AA16" s="1810">
        <v>1</v>
      </c>
      <c r="AB16" s="1810">
        <v>1</v>
      </c>
      <c r="AC16" s="1810">
        <v>1</v>
      </c>
    </row>
    <row r="17" spans="1:29" ht="85.5">
      <c r="A17" s="427"/>
      <c r="B17" s="450" t="s">
        <v>2093</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79"/>
      <c r="Q17" s="1809" t="str">
        <f>B17</f>
        <v>交通便捷度</v>
      </c>
      <c r="R17" s="773" t="s">
        <v>17</v>
      </c>
      <c r="S17" s="774">
        <f>F17</f>
        <v>100</v>
      </c>
      <c r="T17" s="773" t="s">
        <v>17</v>
      </c>
      <c r="U17" s="774">
        <f>H17</f>
        <v>100</v>
      </c>
      <c r="V17" s="773" t="s">
        <v>17</v>
      </c>
      <c r="W17" s="774">
        <f>J17</f>
        <v>100</v>
      </c>
      <c r="X17" s="1812"/>
      <c r="Y17" s="3272"/>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279"/>
      <c r="Q18" s="1809"/>
      <c r="R18" s="773"/>
      <c r="S18" s="774"/>
      <c r="T18" s="773"/>
      <c r="U18" s="774"/>
      <c r="V18" s="773"/>
      <c r="W18" s="774"/>
      <c r="X18" s="1812"/>
      <c r="Y18" s="3272"/>
      <c r="Z18" s="1813"/>
      <c r="AA18" s="1810">
        <v>1</v>
      </c>
      <c r="AB18" s="1810">
        <v>1</v>
      </c>
      <c r="AC18" s="1810">
        <v>1</v>
      </c>
    </row>
    <row r="19" spans="1:29" ht="42.75">
      <c r="A19" s="427"/>
      <c r="B19" s="450" t="s">
        <v>2651</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79"/>
      <c r="Q19" s="1809" t="str">
        <f>B19</f>
        <v>公共配套设施</v>
      </c>
      <c r="R19" s="773" t="s">
        <v>17</v>
      </c>
      <c r="S19" s="774">
        <f>F19</f>
        <v>100</v>
      </c>
      <c r="T19" s="773" t="s">
        <v>17</v>
      </c>
      <c r="U19" s="774">
        <f>H19</f>
        <v>100</v>
      </c>
      <c r="V19" s="773" t="s">
        <v>17</v>
      </c>
      <c r="W19" s="774">
        <f>J19</f>
        <v>100</v>
      </c>
      <c r="X19" s="1812"/>
      <c r="Y19" s="3272"/>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279"/>
      <c r="Q20" s="1809"/>
      <c r="R20" s="773"/>
      <c r="S20" s="774"/>
      <c r="T20" s="773"/>
      <c r="U20" s="774"/>
      <c r="V20" s="773"/>
      <c r="W20" s="774"/>
      <c r="X20" s="1812"/>
      <c r="Y20" s="3272"/>
      <c r="Z20" s="1813"/>
      <c r="AA20" s="1810">
        <v>1</v>
      </c>
      <c r="AB20" s="1810">
        <v>1</v>
      </c>
      <c r="AC20" s="1810">
        <v>1</v>
      </c>
    </row>
    <row r="21" spans="1:29" ht="28.5">
      <c r="A21" s="427"/>
      <c r="B21" s="1383" t="s">
        <v>2652</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79"/>
      <c r="Q21" s="1809" t="str">
        <f>B21</f>
        <v>基础设施水平</v>
      </c>
      <c r="R21" s="773" t="s">
        <v>17</v>
      </c>
      <c r="S21" s="774">
        <f>F21</f>
        <v>100</v>
      </c>
      <c r="T21" s="773" t="s">
        <v>17</v>
      </c>
      <c r="U21" s="774">
        <f>H21</f>
        <v>100</v>
      </c>
      <c r="V21" s="773" t="s">
        <v>17</v>
      </c>
      <c r="W21" s="774">
        <f>J21</f>
        <v>100</v>
      </c>
      <c r="X21" s="1812"/>
      <c r="Y21" s="3272"/>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279"/>
      <c r="Q22" s="1809"/>
      <c r="R22" s="773"/>
      <c r="S22" s="774"/>
      <c r="T22" s="773"/>
      <c r="U22" s="774"/>
      <c r="V22" s="773"/>
      <c r="W22" s="774"/>
      <c r="X22" s="1812"/>
      <c r="Y22" s="3272"/>
      <c r="Z22" s="1813"/>
      <c r="AA22" s="1810">
        <v>1</v>
      </c>
      <c r="AB22" s="1810">
        <v>1</v>
      </c>
      <c r="AC22" s="1810">
        <v>1</v>
      </c>
    </row>
    <row r="23" spans="1:29" ht="57">
      <c r="A23" s="427"/>
      <c r="B23" s="450" t="s">
        <v>2097</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79"/>
      <c r="Q23" s="1809" t="str">
        <f>B23</f>
        <v>自然及人文环境</v>
      </c>
      <c r="R23" s="773" t="s">
        <v>17</v>
      </c>
      <c r="S23" s="774">
        <f>F23</f>
        <v>100</v>
      </c>
      <c r="T23" s="773" t="s">
        <v>17</v>
      </c>
      <c r="U23" s="774">
        <f>H23</f>
        <v>100</v>
      </c>
      <c r="V23" s="773" t="s">
        <v>17</v>
      </c>
      <c r="W23" s="774">
        <f>J23</f>
        <v>100</v>
      </c>
      <c r="X23" s="1812"/>
      <c r="Y23" s="3272"/>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279"/>
      <c r="Q24" s="1809"/>
      <c r="R24" s="773"/>
      <c r="S24" s="774"/>
      <c r="T24" s="773"/>
      <c r="U24" s="774"/>
      <c r="V24" s="773"/>
      <c r="W24" s="774"/>
      <c r="X24" s="1812"/>
      <c r="Y24" s="3272"/>
      <c r="Z24" s="1813"/>
      <c r="AA24" s="1810">
        <v>1</v>
      </c>
      <c r="AB24" s="1810">
        <v>1</v>
      </c>
      <c r="AC24" s="1810">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79"/>
      <c r="Q25" s="1809" t="str">
        <f t="shared" ref="Q25:Q46" si="11">B25</f>
        <v>临街状况</v>
      </c>
      <c r="R25" s="773" t="s">
        <v>17</v>
      </c>
      <c r="S25" s="774">
        <f>F25</f>
        <v>100</v>
      </c>
      <c r="T25" s="773" t="s">
        <v>17</v>
      </c>
      <c r="U25" s="774">
        <f>H25</f>
        <v>100</v>
      </c>
      <c r="V25" s="773" t="s">
        <v>17</v>
      </c>
      <c r="W25" s="774">
        <f>J25</f>
        <v>100</v>
      </c>
      <c r="X25" s="1812"/>
      <c r="Y25" s="3272"/>
      <c r="Z25" s="1813" t="str">
        <f>Q25</f>
        <v>临街状况</v>
      </c>
      <c r="AA25" s="1810">
        <f t="shared" si="3"/>
        <v>1</v>
      </c>
      <c r="AB25" s="1810">
        <f t="shared" si="4"/>
        <v>1</v>
      </c>
      <c r="AC25" s="1810">
        <f t="shared" si="5"/>
        <v>1</v>
      </c>
    </row>
    <row r="26" spans="1:29" ht="15">
      <c r="A26" s="427"/>
      <c r="B26" s="1385" t="s">
        <v>2654</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79"/>
      <c r="Q26" s="1809" t="str">
        <f t="shared" si="11"/>
        <v>平面位置/可视性</v>
      </c>
      <c r="R26" s="773" t="s">
        <v>17</v>
      </c>
      <c r="S26" s="774">
        <f>F26</f>
        <v>100</v>
      </c>
      <c r="T26" s="773" t="s">
        <v>17</v>
      </c>
      <c r="U26" s="774">
        <f>H26</f>
        <v>100</v>
      </c>
      <c r="V26" s="773" t="s">
        <v>17</v>
      </c>
      <c r="W26" s="774">
        <f>J26</f>
        <v>100</v>
      </c>
      <c r="X26" s="1812"/>
      <c r="Y26" s="3272"/>
      <c r="Z26" s="1813" t="str">
        <f>Q26</f>
        <v>平面位置/可视性</v>
      </c>
      <c r="AA26" s="1810">
        <f t="shared" si="3"/>
        <v>1</v>
      </c>
      <c r="AB26" s="1810">
        <f t="shared" si="4"/>
        <v>1</v>
      </c>
      <c r="AC26" s="1810">
        <f t="shared" si="5"/>
        <v>1</v>
      </c>
    </row>
    <row r="27" spans="1:29" s="117" customFormat="1" ht="15">
      <c r="A27" s="430"/>
      <c r="B27" s="450" t="s">
        <v>2655</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279"/>
      <c r="Q27" s="1794" t="str">
        <f t="shared" si="11"/>
        <v>人流量</v>
      </c>
      <c r="R27" s="769" t="s">
        <v>17</v>
      </c>
      <c r="S27" s="770">
        <f>F27</f>
        <v>100</v>
      </c>
      <c r="T27" s="769" t="s">
        <v>17</v>
      </c>
      <c r="U27" s="770">
        <f>H27</f>
        <v>100</v>
      </c>
      <c r="V27" s="769" t="s">
        <v>17</v>
      </c>
      <c r="W27" s="770">
        <f>J27</f>
        <v>100</v>
      </c>
      <c r="X27" s="771"/>
      <c r="Y27" s="3272"/>
      <c r="Z27" s="55" t="str">
        <f>Q27</f>
        <v>人流量</v>
      </c>
      <c r="AA27" s="1810">
        <f>D27/F27</f>
        <v>1</v>
      </c>
      <c r="AB27" s="1810">
        <f>D27/H27</f>
        <v>1</v>
      </c>
      <c r="AC27" s="1810">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7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72"/>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79"/>
      <c r="Q29" s="1809">
        <f t="shared" si="11"/>
        <v>111</v>
      </c>
      <c r="R29" s="773" t="s">
        <v>17</v>
      </c>
      <c r="S29" s="774">
        <f t="shared" si="12"/>
        <v>100</v>
      </c>
      <c r="T29" s="773" t="s">
        <v>17</v>
      </c>
      <c r="U29" s="774">
        <f t="shared" si="13"/>
        <v>100</v>
      </c>
      <c r="V29" s="773" t="s">
        <v>17</v>
      </c>
      <c r="W29" s="774">
        <f t="shared" si="14"/>
        <v>100</v>
      </c>
      <c r="X29" s="1812"/>
      <c r="Y29" s="327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79"/>
      <c r="Q30" s="1809">
        <f t="shared" si="11"/>
        <v>111</v>
      </c>
      <c r="R30" s="773" t="s">
        <v>17</v>
      </c>
      <c r="S30" s="774">
        <f t="shared" si="12"/>
        <v>100</v>
      </c>
      <c r="T30" s="773" t="s">
        <v>17</v>
      </c>
      <c r="U30" s="774">
        <f t="shared" si="13"/>
        <v>100</v>
      </c>
      <c r="V30" s="773" t="s">
        <v>17</v>
      </c>
      <c r="W30" s="774">
        <f t="shared" si="14"/>
        <v>100</v>
      </c>
      <c r="X30" s="1812"/>
      <c r="Y30" s="3272"/>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79"/>
      <c r="Q31" s="1809">
        <f t="shared" si="11"/>
        <v>111</v>
      </c>
      <c r="R31" s="773" t="s">
        <v>17</v>
      </c>
      <c r="S31" s="774">
        <f t="shared" si="12"/>
        <v>100</v>
      </c>
      <c r="T31" s="773" t="s">
        <v>17</v>
      </c>
      <c r="U31" s="774">
        <f t="shared" si="13"/>
        <v>100</v>
      </c>
      <c r="V31" s="773" t="s">
        <v>17</v>
      </c>
      <c r="W31" s="774">
        <f t="shared" si="14"/>
        <v>100</v>
      </c>
      <c r="X31" s="1812"/>
      <c r="Y31" s="3272"/>
      <c r="Z31" s="1813">
        <f t="shared" si="15"/>
        <v>111</v>
      </c>
      <c r="AA31" s="1810">
        <f t="shared" si="3"/>
        <v>1</v>
      </c>
      <c r="AB31" s="1810">
        <f t="shared" si="4"/>
        <v>1</v>
      </c>
      <c r="AC31" s="1810">
        <f t="shared" si="5"/>
        <v>1</v>
      </c>
    </row>
    <row r="32" spans="1:29" ht="15">
      <c r="A32" s="439" t="s">
        <v>2560</v>
      </c>
      <c r="B32" s="71" t="s">
        <v>2657</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273" t="s">
        <v>2562</v>
      </c>
      <c r="Q32" s="1809" t="str">
        <f t="shared" si="11"/>
        <v>商业类型</v>
      </c>
      <c r="R32" s="773" t="s">
        <v>17</v>
      </c>
      <c r="S32" s="774">
        <f t="shared" si="12"/>
        <v>100</v>
      </c>
      <c r="T32" s="773" t="s">
        <v>17</v>
      </c>
      <c r="U32" s="774">
        <f t="shared" si="13"/>
        <v>100</v>
      </c>
      <c r="V32" s="773" t="s">
        <v>17</v>
      </c>
      <c r="W32" s="774">
        <f t="shared" si="14"/>
        <v>100</v>
      </c>
      <c r="X32" s="1812"/>
      <c r="Y32" s="3276" t="s">
        <v>2562</v>
      </c>
      <c r="Z32" s="1813" t="str">
        <f t="shared" si="15"/>
        <v>商业类型</v>
      </c>
      <c r="AA32" s="1810">
        <f t="shared" si="3"/>
        <v>1</v>
      </c>
      <c r="AB32" s="1810">
        <f t="shared" si="4"/>
        <v>1</v>
      </c>
      <c r="AC32" s="1810">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74"/>
      <c r="Q33" s="775" t="str">
        <f t="shared" si="11"/>
        <v>项目建筑规模</v>
      </c>
      <c r="R33" s="776" t="s">
        <v>17</v>
      </c>
      <c r="S33" s="777" t="e">
        <f t="shared" si="12"/>
        <v>#N/A</v>
      </c>
      <c r="T33" s="776" t="s">
        <v>17</v>
      </c>
      <c r="U33" s="777" t="e">
        <f t="shared" si="13"/>
        <v>#N/A</v>
      </c>
      <c r="V33" s="776" t="s">
        <v>17</v>
      </c>
      <c r="W33" s="777" t="e">
        <f t="shared" si="14"/>
        <v>#N/A</v>
      </c>
      <c r="X33" s="778"/>
      <c r="Y33" s="3276"/>
      <c r="Z33" s="779" t="str">
        <f t="shared" si="15"/>
        <v>项目建筑规模</v>
      </c>
      <c r="AA33" s="1810" t="e">
        <f t="shared" si="3"/>
        <v>#N/A</v>
      </c>
      <c r="AB33" s="1810" t="e">
        <f t="shared" si="4"/>
        <v>#N/A</v>
      </c>
      <c r="AC33" s="1810" t="e">
        <f t="shared" si="5"/>
        <v>#N/A</v>
      </c>
    </row>
    <row r="34" spans="1:29" ht="15">
      <c r="A34" s="471"/>
      <c r="B34" s="421" t="s">
        <v>2564</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274"/>
      <c r="Q34" s="1809" t="str">
        <f t="shared" si="11"/>
        <v>建筑结构</v>
      </c>
      <c r="R34" s="773" t="s">
        <v>17</v>
      </c>
      <c r="S34" s="774">
        <f t="shared" si="12"/>
        <v>100</v>
      </c>
      <c r="T34" s="773" t="s">
        <v>17</v>
      </c>
      <c r="U34" s="774">
        <f t="shared" si="13"/>
        <v>100</v>
      </c>
      <c r="V34" s="773" t="s">
        <v>17</v>
      </c>
      <c r="W34" s="774">
        <f t="shared" si="14"/>
        <v>100</v>
      </c>
      <c r="X34" s="1812"/>
      <c r="Y34" s="3276"/>
      <c r="Z34" s="1813" t="str">
        <f t="shared" si="15"/>
        <v>建筑结构</v>
      </c>
      <c r="AA34" s="1810">
        <f t="shared" si="3"/>
        <v>1</v>
      </c>
      <c r="AB34" s="1810">
        <f t="shared" si="4"/>
        <v>1</v>
      </c>
      <c r="AC34" s="1810">
        <f t="shared" si="5"/>
        <v>1</v>
      </c>
    </row>
    <row r="35" spans="1:29" ht="15">
      <c r="A35" s="471"/>
      <c r="B35" s="421" t="s">
        <v>2658</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274"/>
      <c r="Q35" s="1809" t="str">
        <f t="shared" si="11"/>
        <v>公共部分装修</v>
      </c>
      <c r="R35" s="773" t="s">
        <v>17</v>
      </c>
      <c r="S35" s="774">
        <f t="shared" si="12"/>
        <v>100</v>
      </c>
      <c r="T35" s="773" t="s">
        <v>17</v>
      </c>
      <c r="U35" s="774">
        <f t="shared" si="13"/>
        <v>100</v>
      </c>
      <c r="V35" s="773" t="s">
        <v>17</v>
      </c>
      <c r="W35" s="774">
        <f t="shared" si="14"/>
        <v>100</v>
      </c>
      <c r="X35" s="1812"/>
      <c r="Y35" s="3276"/>
      <c r="Z35" s="1813" t="str">
        <f t="shared" si="15"/>
        <v>公共部分装修</v>
      </c>
      <c r="AA35" s="1810">
        <f t="shared" si="3"/>
        <v>1</v>
      </c>
      <c r="AB35" s="1810">
        <f t="shared" si="4"/>
        <v>1</v>
      </c>
      <c r="AC35" s="1810">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74"/>
      <c r="Q36" s="1809" t="str">
        <f t="shared" si="11"/>
        <v>成新度</v>
      </c>
      <c r="R36" s="773" t="s">
        <v>17</v>
      </c>
      <c r="S36" s="774" t="e">
        <f t="shared" si="12"/>
        <v>#N/A</v>
      </c>
      <c r="T36" s="773" t="s">
        <v>17</v>
      </c>
      <c r="U36" s="774" t="e">
        <f t="shared" si="13"/>
        <v>#N/A</v>
      </c>
      <c r="V36" s="773" t="s">
        <v>17</v>
      </c>
      <c r="W36" s="774" t="e">
        <f t="shared" si="14"/>
        <v>#N/A</v>
      </c>
      <c r="X36" s="1812"/>
      <c r="Y36" s="3276"/>
      <c r="Z36" s="1813" t="str">
        <f t="shared" si="15"/>
        <v>成新度</v>
      </c>
      <c r="AA36" s="1810" t="e">
        <f t="shared" si="3"/>
        <v>#N/A</v>
      </c>
      <c r="AB36" s="1810" t="e">
        <f t="shared" si="4"/>
        <v>#N/A</v>
      </c>
      <c r="AC36" s="1810" t="e">
        <f t="shared" si="5"/>
        <v>#N/A</v>
      </c>
    </row>
    <row r="37" spans="1:29" s="117" customFormat="1" ht="15">
      <c r="A37" s="472"/>
      <c r="B37" s="421" t="s">
        <v>2660</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274"/>
      <c r="Q37" s="1794" t="str">
        <f t="shared" si="11"/>
        <v>市政基础设施</v>
      </c>
      <c r="R37" s="769" t="s">
        <v>17</v>
      </c>
      <c r="S37" s="770">
        <f t="shared" si="12"/>
        <v>100</v>
      </c>
      <c r="T37" s="769" t="s">
        <v>17</v>
      </c>
      <c r="U37" s="770">
        <f t="shared" si="13"/>
        <v>100</v>
      </c>
      <c r="V37" s="769" t="s">
        <v>17</v>
      </c>
      <c r="W37" s="770">
        <f t="shared" si="14"/>
        <v>100</v>
      </c>
      <c r="X37" s="771"/>
      <c r="Y37" s="3276"/>
      <c r="Z37" s="55" t="str">
        <f t="shared" si="15"/>
        <v>市政基础设施</v>
      </c>
      <c r="AA37" s="772">
        <f t="shared" si="3"/>
        <v>1</v>
      </c>
      <c r="AB37" s="772">
        <f t="shared" si="4"/>
        <v>1</v>
      </c>
      <c r="AC37" s="772">
        <f t="shared" si="5"/>
        <v>1</v>
      </c>
    </row>
    <row r="38" spans="1:29" ht="15">
      <c r="A38" s="471"/>
      <c r="B38" s="421" t="s">
        <v>2661</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274" t="s">
        <v>2562</v>
      </c>
      <c r="Q38" s="1809" t="str">
        <f t="shared" si="11"/>
        <v>业态</v>
      </c>
      <c r="R38" s="773" t="s">
        <v>17</v>
      </c>
      <c r="S38" s="774">
        <f t="shared" si="12"/>
        <v>100</v>
      </c>
      <c r="T38" s="773" t="s">
        <v>17</v>
      </c>
      <c r="U38" s="774">
        <f t="shared" si="13"/>
        <v>100</v>
      </c>
      <c r="V38" s="773" t="s">
        <v>17</v>
      </c>
      <c r="W38" s="774">
        <f t="shared" si="14"/>
        <v>100</v>
      </c>
      <c r="X38" s="1812"/>
      <c r="Y38" s="3276" t="s">
        <v>2562</v>
      </c>
      <c r="Z38" s="1813" t="str">
        <f t="shared" si="15"/>
        <v>业态</v>
      </c>
      <c r="AA38" s="1810">
        <f t="shared" si="3"/>
        <v>1</v>
      </c>
      <c r="AB38" s="1810">
        <f t="shared" si="4"/>
        <v>1</v>
      </c>
      <c r="AC38" s="1810">
        <f t="shared" si="5"/>
        <v>1</v>
      </c>
    </row>
    <row r="39" spans="1:29" ht="15">
      <c r="A39" s="471"/>
      <c r="B39" s="421" t="s">
        <v>2662</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274"/>
      <c r="Q39" s="1809" t="str">
        <f t="shared" si="11"/>
        <v>层高</v>
      </c>
      <c r="R39" s="773" t="s">
        <v>17</v>
      </c>
      <c r="S39" s="774">
        <f t="shared" si="12"/>
        <v>100</v>
      </c>
      <c r="T39" s="773" t="s">
        <v>17</v>
      </c>
      <c r="U39" s="774">
        <f t="shared" si="13"/>
        <v>100</v>
      </c>
      <c r="V39" s="773" t="s">
        <v>17</v>
      </c>
      <c r="W39" s="774">
        <f t="shared" si="14"/>
        <v>100</v>
      </c>
      <c r="X39" s="1812"/>
      <c r="Y39" s="3276"/>
      <c r="Z39" s="1813" t="str">
        <f t="shared" si="15"/>
        <v>层高</v>
      </c>
      <c r="AA39" s="1810">
        <f t="shared" si="3"/>
        <v>1</v>
      </c>
      <c r="AB39" s="1810">
        <f t="shared" si="4"/>
        <v>1</v>
      </c>
      <c r="AC39" s="1810">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74"/>
      <c r="Q40" s="1809" t="str">
        <f t="shared" si="11"/>
        <v>单套建筑面积</v>
      </c>
      <c r="R40" s="773" t="s">
        <v>17</v>
      </c>
      <c r="S40" s="774">
        <f t="shared" si="12"/>
        <v>100</v>
      </c>
      <c r="T40" s="773" t="s">
        <v>17</v>
      </c>
      <c r="U40" s="774">
        <f t="shared" si="13"/>
        <v>100</v>
      </c>
      <c r="V40" s="773" t="s">
        <v>17</v>
      </c>
      <c r="W40" s="774">
        <f t="shared" si="14"/>
        <v>100</v>
      </c>
      <c r="X40" s="1812"/>
      <c r="Y40" s="3276"/>
      <c r="Z40" s="1813" t="str">
        <f t="shared" si="15"/>
        <v>单套建筑面积</v>
      </c>
      <c r="AA40" s="1810">
        <f t="shared" si="3"/>
        <v>1</v>
      </c>
      <c r="AB40" s="1810">
        <f t="shared" si="4"/>
        <v>1</v>
      </c>
      <c r="AC40" s="1810">
        <f t="shared" si="5"/>
        <v>1</v>
      </c>
    </row>
    <row r="41" spans="1:29" s="470" customFormat="1" ht="15">
      <c r="A41" s="467"/>
      <c r="B41" s="1811"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74"/>
      <c r="Q41" s="775" t="str">
        <f t="shared" si="11"/>
        <v>进深比</v>
      </c>
      <c r="R41" s="776" t="s">
        <v>17</v>
      </c>
      <c r="S41" s="777">
        <f t="shared" si="12"/>
        <v>100</v>
      </c>
      <c r="T41" s="776" t="s">
        <v>17</v>
      </c>
      <c r="U41" s="777">
        <f t="shared" si="13"/>
        <v>100</v>
      </c>
      <c r="V41" s="776" t="s">
        <v>17</v>
      </c>
      <c r="W41" s="777">
        <f t="shared" si="14"/>
        <v>100</v>
      </c>
      <c r="X41" s="778"/>
      <c r="Y41" s="3276"/>
      <c r="Z41" s="779" t="str">
        <f t="shared" si="15"/>
        <v>进深比</v>
      </c>
      <c r="AA41" s="1810">
        <f t="shared" si="3"/>
        <v>1</v>
      </c>
      <c r="AB41" s="1810">
        <f t="shared" si="4"/>
        <v>1</v>
      </c>
      <c r="AC41" s="1810">
        <f t="shared" si="5"/>
        <v>1</v>
      </c>
    </row>
    <row r="42" spans="1:29" ht="15">
      <c r="A42" s="471"/>
      <c r="B42" s="421" t="s">
        <v>2665</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274"/>
      <c r="Q42" s="1809" t="str">
        <f t="shared" si="11"/>
        <v>内部装修</v>
      </c>
      <c r="R42" s="773" t="s">
        <v>17</v>
      </c>
      <c r="S42" s="774">
        <f t="shared" si="12"/>
        <v>100</v>
      </c>
      <c r="T42" s="773" t="s">
        <v>17</v>
      </c>
      <c r="U42" s="774">
        <f t="shared" si="13"/>
        <v>100</v>
      </c>
      <c r="V42" s="773" t="s">
        <v>17</v>
      </c>
      <c r="W42" s="774">
        <f t="shared" si="14"/>
        <v>100</v>
      </c>
      <c r="X42" s="1812"/>
      <c r="Y42" s="3276"/>
      <c r="Z42" s="1813" t="str">
        <f t="shared" si="15"/>
        <v>内部装修</v>
      </c>
      <c r="AA42" s="1810">
        <f t="shared" si="3"/>
        <v>1</v>
      </c>
      <c r="AB42" s="1810">
        <f t="shared" si="4"/>
        <v>1</v>
      </c>
      <c r="AC42" s="1810">
        <f t="shared" si="5"/>
        <v>1</v>
      </c>
    </row>
    <row r="43" spans="1:29" ht="15">
      <c r="A43" s="471"/>
      <c r="B43" s="421" t="s">
        <v>2573</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274"/>
      <c r="Q43" s="1809" t="str">
        <f t="shared" si="11"/>
        <v>内部装修维护情况</v>
      </c>
      <c r="R43" s="773" t="s">
        <v>17</v>
      </c>
      <c r="S43" s="774">
        <f t="shared" si="12"/>
        <v>100</v>
      </c>
      <c r="T43" s="773" t="s">
        <v>17</v>
      </c>
      <c r="U43" s="774">
        <f t="shared" si="13"/>
        <v>100</v>
      </c>
      <c r="V43" s="773" t="s">
        <v>17</v>
      </c>
      <c r="W43" s="774">
        <f t="shared" si="14"/>
        <v>100</v>
      </c>
      <c r="X43" s="1812"/>
      <c r="Y43" s="3276"/>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74"/>
      <c r="Q44" s="1794">
        <f t="shared" si="11"/>
        <v>111</v>
      </c>
      <c r="R44" s="769" t="s">
        <v>17</v>
      </c>
      <c r="S44" s="770">
        <f t="shared" si="12"/>
        <v>100</v>
      </c>
      <c r="T44" s="769" t="s">
        <v>17</v>
      </c>
      <c r="U44" s="770">
        <f t="shared" si="13"/>
        <v>100</v>
      </c>
      <c r="V44" s="769" t="s">
        <v>17</v>
      </c>
      <c r="W44" s="770">
        <f t="shared" si="14"/>
        <v>100</v>
      </c>
      <c r="X44" s="771"/>
      <c r="Y44" s="3276"/>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74"/>
      <c r="Q45" s="1809">
        <f t="shared" si="11"/>
        <v>111</v>
      </c>
      <c r="R45" s="773" t="s">
        <v>17</v>
      </c>
      <c r="S45" s="774">
        <f t="shared" si="12"/>
        <v>100</v>
      </c>
      <c r="T45" s="773" t="s">
        <v>17</v>
      </c>
      <c r="U45" s="774">
        <f t="shared" si="13"/>
        <v>100</v>
      </c>
      <c r="V45" s="773" t="s">
        <v>17</v>
      </c>
      <c r="W45" s="774">
        <f t="shared" si="14"/>
        <v>100</v>
      </c>
      <c r="X45" s="1812"/>
      <c r="Y45" s="3276"/>
      <c r="Z45" s="1813">
        <f t="shared" si="15"/>
        <v>111</v>
      </c>
      <c r="AA45" s="1810">
        <f t="shared" si="3"/>
        <v>1</v>
      </c>
      <c r="AB45" s="1810">
        <f t="shared" si="4"/>
        <v>1</v>
      </c>
      <c r="AC45" s="1810">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75"/>
      <c r="Q46" s="1809">
        <f t="shared" si="11"/>
        <v>111</v>
      </c>
      <c r="R46" s="773" t="s">
        <v>17</v>
      </c>
      <c r="S46" s="774">
        <f t="shared" si="12"/>
        <v>100</v>
      </c>
      <c r="T46" s="773" t="s">
        <v>17</v>
      </c>
      <c r="U46" s="774">
        <f t="shared" si="13"/>
        <v>100</v>
      </c>
      <c r="V46" s="773" t="s">
        <v>17</v>
      </c>
      <c r="W46" s="774">
        <f t="shared" si="14"/>
        <v>100</v>
      </c>
      <c r="X46" s="1812"/>
      <c r="Y46" s="3277"/>
      <c r="Z46" s="1813">
        <f t="shared" si="15"/>
        <v>111</v>
      </c>
      <c r="AA46" s="1810">
        <f t="shared" si="3"/>
        <v>1</v>
      </c>
      <c r="AB46" s="1810">
        <f t="shared" si="4"/>
        <v>1</v>
      </c>
      <c r="AC46" s="1810">
        <f t="shared" si="5"/>
        <v>1</v>
      </c>
    </row>
    <row r="47" spans="1:29" ht="15">
      <c r="A47" s="478" t="s">
        <v>2574</v>
      </c>
      <c r="B47" s="479"/>
      <c r="C47" s="1406" t="s">
        <v>1</v>
      </c>
      <c r="D47" s="1407"/>
      <c r="E47" s="1408"/>
      <c r="F47" s="1409"/>
      <c r="G47" s="1410"/>
      <c r="H47" s="1411"/>
      <c r="I47" s="1408"/>
      <c r="J47" s="1411"/>
      <c r="K47" s="782"/>
      <c r="L47" s="1142"/>
      <c r="M47" s="1143"/>
      <c r="N47" s="1130"/>
      <c r="O47" s="1143"/>
      <c r="P47" s="3269" t="str">
        <f>A47</f>
        <v>成交单价（元/平方米）</v>
      </c>
      <c r="Q47" s="3269"/>
      <c r="R47" s="3264">
        <f>E47</f>
        <v>0</v>
      </c>
      <c r="S47" s="3264"/>
      <c r="T47" s="3264">
        <f>G47</f>
        <v>0</v>
      </c>
      <c r="U47" s="3264"/>
      <c r="V47" s="3264">
        <f>I47</f>
        <v>0</v>
      </c>
      <c r="W47" s="3264"/>
      <c r="X47" s="758"/>
      <c r="Y47" s="780"/>
      <c r="Z47" s="758"/>
      <c r="AA47" s="758"/>
      <c r="AB47" s="758"/>
      <c r="AC47" s="758"/>
    </row>
    <row r="48" spans="1:29" ht="15.75" thickBot="1">
      <c r="A48" s="485" t="s">
        <v>2666</v>
      </c>
      <c r="B48" s="486"/>
      <c r="C48" s="1412" t="e">
        <f>R49</f>
        <v>#DIV/0!</v>
      </c>
      <c r="D48" s="1413"/>
      <c r="E48" s="1414" t="e">
        <f>R48</f>
        <v>#DIV/0!</v>
      </c>
      <c r="F48" s="1414"/>
      <c r="G48" s="1412" t="e">
        <f>T48</f>
        <v>#DIV/0!</v>
      </c>
      <c r="H48" s="1413"/>
      <c r="I48" s="1414" t="e">
        <f>V48</f>
        <v>#DIV/0!</v>
      </c>
      <c r="J48" s="1413"/>
      <c r="K48" s="783"/>
      <c r="L48" s="1142"/>
      <c r="M48" s="1143"/>
      <c r="N48" s="1130"/>
      <c r="O48" s="1143"/>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58"/>
      <c r="Y48" s="758"/>
      <c r="Z48" s="758"/>
      <c r="AA48" s="758"/>
      <c r="AB48" s="758"/>
      <c r="AC48" s="758"/>
    </row>
    <row r="49" spans="1:29" ht="15.75" thickBot="1">
      <c r="A49" s="491" t="s">
        <v>2667</v>
      </c>
      <c r="B49" s="492"/>
      <c r="C49" s="1416" t="e">
        <f>R49</f>
        <v>#DIV/0!</v>
      </c>
      <c r="D49" s="1416"/>
      <c r="E49" s="1416"/>
      <c r="F49" s="1416"/>
      <c r="G49" s="1416"/>
      <c r="H49" s="1416"/>
      <c r="I49" s="1416"/>
      <c r="J49" s="1416"/>
      <c r="K49" s="784"/>
      <c r="L49" s="1142"/>
      <c r="M49" s="1143"/>
      <c r="N49" s="1130"/>
      <c r="O49" s="1143"/>
      <c r="P49" s="3266" t="str">
        <f>A49</f>
        <v>估价对象XX用房的比较价值（楼面单价，元/平方米）</v>
      </c>
      <c r="Q49" s="3267"/>
      <c r="R49" s="3268" t="e">
        <f>IF(F1="售价",ROUND(AVERAGE(R48:V48),0),ROUND(AVERAGE(R48:V48),1))</f>
        <v>#DIV/0!</v>
      </c>
      <c r="S49" s="3268"/>
      <c r="T49" s="3268"/>
      <c r="U49" s="3268"/>
      <c r="V49" s="3268"/>
      <c r="W49" s="326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5">
      <c r="A58" s="504" t="s">
        <v>2545</v>
      </c>
      <c r="B58" s="505"/>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ht="15">
      <c r="A59" s="508"/>
      <c r="B59" s="509"/>
      <c r="C59" s="1572">
        <v>100</v>
      </c>
      <c r="D59" s="511"/>
      <c r="E59" s="511"/>
      <c r="F59" s="511"/>
      <c r="G59" s="511"/>
      <c r="H59" s="511"/>
      <c r="I59" s="511"/>
      <c r="J59" s="511"/>
      <c r="K59" s="511"/>
      <c r="L59" s="511"/>
      <c r="M59" s="512"/>
      <c r="N59" s="511"/>
      <c r="O59" s="512"/>
      <c r="P59" s="2627"/>
    </row>
    <row r="60" spans="1:29" s="117" customFormat="1" ht="15.75" thickBot="1">
      <c r="A60" s="514" t="s">
        <v>2582</v>
      </c>
      <c r="B60" s="515"/>
      <c r="C60" s="516"/>
      <c r="D60" s="517"/>
      <c r="E60" s="517"/>
      <c r="F60" s="517"/>
      <c r="G60" s="517"/>
      <c r="H60" s="517"/>
      <c r="I60" s="517"/>
      <c r="J60" s="517"/>
      <c r="K60" s="517"/>
      <c r="L60" s="517"/>
      <c r="M60" s="518"/>
      <c r="N60" s="517"/>
      <c r="O60" s="518"/>
      <c r="P60" s="2627"/>
      <c r="Q60" s="503"/>
    </row>
    <row r="61" spans="1:29" s="117" customFormat="1" ht="15">
      <c r="A61" s="520" t="s">
        <v>2547</v>
      </c>
      <c r="B61" s="509"/>
      <c r="C61" s="521" t="s">
        <v>2649</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2585</v>
      </c>
      <c r="B63" s="527" t="s">
        <v>2551</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35"/>
      <c r="E73" s="535"/>
      <c r="F73" s="535"/>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2652</v>
      </c>
      <c r="C82" s="659" t="s">
        <v>2672</v>
      </c>
      <c r="D82" s="659" t="s">
        <v>2673</v>
      </c>
      <c r="E82" s="659" t="s">
        <v>2674</v>
      </c>
      <c r="F82" s="659" t="s">
        <v>2675</v>
      </c>
      <c r="G82" s="659" t="s">
        <v>2676</v>
      </c>
      <c r="H82" s="538"/>
      <c r="I82" s="538"/>
      <c r="J82" s="538"/>
      <c r="K82" s="538"/>
      <c r="L82" s="538"/>
      <c r="M82" s="1381"/>
      <c r="N82" s="1152"/>
      <c r="O82" s="1152"/>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2677</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5.75" thickBot="1">
      <c r="A89" s="578"/>
      <c r="B89" s="542"/>
      <c r="C89" s="559"/>
      <c r="D89" s="535"/>
      <c r="E89" s="535"/>
      <c r="F89" s="535"/>
      <c r="G89" s="535"/>
      <c r="H89" s="535"/>
      <c r="I89" s="535"/>
      <c r="J89" s="535"/>
      <c r="K89" s="535"/>
      <c r="L89" s="535"/>
      <c r="M89" s="535"/>
      <c r="N89" s="1152"/>
      <c r="O89" s="1152"/>
      <c r="P89" s="2629"/>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5.75" thickTop="1">
      <c r="A92" s="533"/>
      <c r="B92" s="537" t="str">
        <f>B28</f>
        <v>楼层</v>
      </c>
      <c r="C92" s="553"/>
      <c r="D92" s="553"/>
      <c r="E92" s="553"/>
      <c r="F92" s="553"/>
      <c r="G92" s="553"/>
      <c r="H92" s="553"/>
      <c r="I92" s="553"/>
      <c r="J92" s="553"/>
      <c r="K92" s="553"/>
      <c r="L92" s="579"/>
      <c r="M92" s="580"/>
      <c r="N92" s="1151"/>
      <c r="O92" s="1151"/>
      <c r="P92" s="2629"/>
      <c r="Q92" s="503"/>
    </row>
    <row r="93" spans="1:17" ht="15.75" thickBot="1">
      <c r="A93" s="533"/>
      <c r="B93" s="542"/>
      <c r="C93" s="535"/>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35"/>
      <c r="E95" s="535"/>
      <c r="F95" s="535"/>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59"/>
      <c r="D97" s="535"/>
      <c r="E97" s="535"/>
      <c r="F97" s="535"/>
      <c r="G97" s="535"/>
      <c r="H97" s="535"/>
      <c r="I97" s="535"/>
      <c r="J97" s="535"/>
      <c r="K97" s="535"/>
      <c r="L97" s="535"/>
      <c r="M97" s="536"/>
      <c r="N97" s="1152"/>
      <c r="O97" s="1152"/>
      <c r="P97" s="2629"/>
      <c r="Q97" s="503"/>
    </row>
    <row r="98" spans="1:17" ht="15.75" thickTop="1">
      <c r="A98" s="533"/>
      <c r="B98" s="545">
        <f>B31</f>
        <v>111</v>
      </c>
      <c r="C98" s="553"/>
      <c r="D98" s="553"/>
      <c r="E98" s="553"/>
      <c r="F98" s="553"/>
      <c r="G98" s="586"/>
      <c r="H98" s="586"/>
      <c r="I98" s="586"/>
      <c r="J98" s="586"/>
      <c r="K98" s="587"/>
      <c r="L98" s="588"/>
      <c r="M98" s="589"/>
      <c r="N98" s="1151"/>
      <c r="O98" s="1151"/>
      <c r="P98" s="2629"/>
      <c r="Q98" s="503"/>
    </row>
    <row r="99" spans="1:17" ht="15.75" thickBot="1">
      <c r="A99" s="2635"/>
      <c r="B99" s="568"/>
      <c r="C99" s="569"/>
      <c r="D99" s="569"/>
      <c r="E99" s="569"/>
      <c r="F99" s="569"/>
      <c r="G99" s="590"/>
      <c r="H99" s="590"/>
      <c r="I99" s="590"/>
      <c r="J99" s="590"/>
      <c r="K99" s="590"/>
      <c r="L99" s="590"/>
      <c r="M99" s="591"/>
      <c r="N99" s="1152"/>
      <c r="O99" s="1152"/>
      <c r="P99" s="2629"/>
      <c r="Q99" s="503"/>
    </row>
    <row r="100" spans="1:17">
      <c r="A100" s="526" t="s">
        <v>2560</v>
      </c>
      <c r="B100" s="527" t="s">
        <v>2678</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2611</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2613</v>
      </c>
      <c r="C107" s="553"/>
      <c r="D107" s="553"/>
      <c r="E107" s="553"/>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2615</v>
      </c>
      <c r="C112" s="553"/>
      <c r="D112" s="553"/>
      <c r="E112" s="553"/>
      <c r="F112" s="553"/>
      <c r="G112" s="553"/>
      <c r="H112" s="582"/>
      <c r="I112" s="582"/>
      <c r="J112" s="582"/>
      <c r="K112" s="583"/>
      <c r="L112" s="584"/>
      <c r="M112" s="585"/>
      <c r="N112" s="1153"/>
      <c r="O112" s="1153"/>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2679</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2680</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2681</v>
      </c>
      <c r="C118" s="626"/>
      <c r="D118" s="626"/>
      <c r="E118" s="626"/>
      <c r="F118" s="626"/>
      <c r="G118" s="626"/>
      <c r="H118" s="554"/>
      <c r="I118" s="554"/>
      <c r="J118" s="554"/>
      <c r="K118" s="554"/>
      <c r="L118" s="555"/>
      <c r="M118" s="556"/>
      <c r="N118" s="1151"/>
      <c r="O118" s="1151"/>
      <c r="P118" s="2629"/>
      <c r="Q118" s="503"/>
    </row>
    <row r="119" spans="1:17" ht="15.75"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2682</v>
      </c>
      <c r="C120" s="582"/>
      <c r="D120" s="582"/>
      <c r="E120" s="582"/>
      <c r="F120" s="582"/>
      <c r="G120" s="554"/>
      <c r="H120" s="554"/>
      <c r="I120" s="554"/>
      <c r="J120" s="554"/>
      <c r="K120" s="554"/>
      <c r="L120" s="555"/>
      <c r="M120" s="556"/>
      <c r="N120" s="1153"/>
      <c r="O120" s="1153"/>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2617</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35"/>
      <c r="E129" s="535"/>
      <c r="F129" s="535"/>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68" t="s">
        <v>2683</v>
      </c>
      <c r="C1" s="1619" t="s">
        <v>2527</v>
      </c>
      <c r="D1" s="1620"/>
      <c r="E1" s="1629"/>
      <c r="F1" s="2583"/>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IF(C2="——",ROUND(C50*D3/10000,0),ROUND(C50*D3/10000,0)-D2)</f>
        <v>#DIV/0!</v>
      </c>
      <c r="C2" s="2585"/>
      <c r="D2" s="1364" t="e">
        <f ca="1">SUMIF(INDIRECT("'"&amp;F2&amp;"'"&amp;"!A:A"),"承租人权益价值",INDIRECT("'"&amp;F2&amp;"'"&amp;"!c:c"))</f>
        <v>#REF!</v>
      </c>
      <c r="E2" s="2586" t="s">
        <v>2325</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9339.3000000000011</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2642</v>
      </c>
      <c r="B4" s="401"/>
      <c r="C4" s="3252" t="s">
        <v>2643</v>
      </c>
      <c r="D4" s="3253"/>
      <c r="E4" s="3254" t="s">
        <v>2644</v>
      </c>
      <c r="F4" s="3255"/>
      <c r="G4" s="3252" t="s">
        <v>2645</v>
      </c>
      <c r="H4" s="3253"/>
      <c r="I4" s="3252" t="s">
        <v>2646</v>
      </c>
      <c r="J4" s="3253"/>
      <c r="K4" s="609" t="s">
        <v>2647</v>
      </c>
      <c r="L4" s="1129"/>
      <c r="M4" s="1130"/>
      <c r="N4" s="1130"/>
      <c r="O4" s="1130"/>
      <c r="P4" s="3286" t="s">
        <v>2648</v>
      </c>
      <c r="Q4" s="3287"/>
      <c r="R4" s="3281" t="s">
        <v>2644</v>
      </c>
      <c r="S4" s="3282"/>
      <c r="T4" s="3281" t="s">
        <v>2645</v>
      </c>
      <c r="U4" s="3282"/>
      <c r="V4" s="3290" t="s">
        <v>2646</v>
      </c>
      <c r="W4" s="3290"/>
      <c r="X4" s="2669"/>
      <c r="Y4" s="3281" t="s">
        <v>2648</v>
      </c>
      <c r="Z4" s="3282"/>
      <c r="AA4" s="3280" t="s">
        <v>2644</v>
      </c>
      <c r="AB4" s="3280" t="s">
        <v>2645</v>
      </c>
      <c r="AC4" s="3283" t="s">
        <v>2646</v>
      </c>
    </row>
    <row r="5" spans="1:29" ht="15">
      <c r="A5" s="403"/>
      <c r="B5" s="404"/>
      <c r="C5" s="3245" t="s">
        <v>2539</v>
      </c>
      <c r="D5" s="3246"/>
      <c r="E5" s="3243" t="s">
        <v>2540</v>
      </c>
      <c r="F5" s="3244"/>
      <c r="G5" s="3245" t="s">
        <v>2541</v>
      </c>
      <c r="H5" s="3246"/>
      <c r="I5" s="3245" t="s">
        <v>2542</v>
      </c>
      <c r="J5" s="3246"/>
      <c r="K5" s="609"/>
      <c r="L5" s="1129"/>
      <c r="M5" s="1130"/>
      <c r="N5" s="1130"/>
      <c r="O5" s="1130"/>
      <c r="P5" s="3288"/>
      <c r="Q5" s="3259"/>
      <c r="R5" s="3241"/>
      <c r="S5" s="3242"/>
      <c r="T5" s="3241"/>
      <c r="U5" s="3242"/>
      <c r="V5" s="3264"/>
      <c r="W5" s="3264"/>
      <c r="X5" s="1812"/>
      <c r="Y5" s="3241"/>
      <c r="Z5" s="3242"/>
      <c r="AA5" s="3235"/>
      <c r="AB5" s="3235"/>
      <c r="AC5" s="3284"/>
    </row>
    <row r="6" spans="1:29" ht="15.75" thickBot="1">
      <c r="A6" s="405"/>
      <c r="B6" s="406"/>
      <c r="C6" s="3247" t="s">
        <v>2543</v>
      </c>
      <c r="D6" s="3248"/>
      <c r="E6" s="3249" t="s">
        <v>2543</v>
      </c>
      <c r="F6" s="3250"/>
      <c r="G6" s="3247" t="s">
        <v>2543</v>
      </c>
      <c r="H6" s="3248"/>
      <c r="I6" s="3247" t="s">
        <v>2543</v>
      </c>
      <c r="J6" s="3248"/>
      <c r="K6" s="609" t="s">
        <v>2544</v>
      </c>
      <c r="L6" s="1129"/>
      <c r="M6" s="1130"/>
      <c r="N6" s="1130"/>
      <c r="O6" s="1130"/>
      <c r="P6" s="3289"/>
      <c r="Q6" s="3261"/>
      <c r="R6" s="3241"/>
      <c r="S6" s="3242"/>
      <c r="T6" s="3262"/>
      <c r="U6" s="3263"/>
      <c r="V6" s="3264"/>
      <c r="W6" s="3264"/>
      <c r="X6" s="1812"/>
      <c r="Y6" s="3262"/>
      <c r="Z6" s="3263"/>
      <c r="AA6" s="3236"/>
      <c r="AB6" s="3236"/>
      <c r="AC6" s="3285"/>
    </row>
    <row r="7" spans="1:29" s="117" customFormat="1" ht="15.75" thickBot="1">
      <c r="A7" s="407" t="s">
        <v>2545</v>
      </c>
      <c r="B7" s="408"/>
      <c r="C7" s="409">
        <f>'数据-取费表'!B2</f>
        <v>43934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91" t="s">
        <v>2546</v>
      </c>
      <c r="Q7" s="3265"/>
      <c r="R7" s="769" t="s">
        <v>17</v>
      </c>
      <c r="S7" s="770">
        <f t="shared" ref="S7:S15" si="0">F7</f>
        <v>0</v>
      </c>
      <c r="T7" s="769" t="s">
        <v>17</v>
      </c>
      <c r="U7" s="770">
        <f t="shared" ref="U7:U15" si="1">H7</f>
        <v>0</v>
      </c>
      <c r="V7" s="769" t="s">
        <v>17</v>
      </c>
      <c r="W7" s="770">
        <f t="shared" ref="W7:W15" si="2">J7</f>
        <v>0</v>
      </c>
      <c r="X7" s="771"/>
      <c r="Y7" s="3237" t="s">
        <v>2546</v>
      </c>
      <c r="Z7" s="3238"/>
      <c r="AA7" s="772" t="e">
        <f>D7/F7</f>
        <v>#DIV/0!</v>
      </c>
      <c r="AB7" s="772" t="e">
        <f>D7/H7</f>
        <v>#DIV/0!</v>
      </c>
      <c r="AC7" s="2670" t="e">
        <f>D7/J7</f>
        <v>#DIV/0!</v>
      </c>
    </row>
    <row r="8" spans="1:29" s="117"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91" t="s">
        <v>2549</v>
      </c>
      <c r="Q8" s="3238"/>
      <c r="R8" s="769" t="s">
        <v>17</v>
      </c>
      <c r="S8" s="770">
        <f t="shared" si="0"/>
        <v>0</v>
      </c>
      <c r="T8" s="769" t="s">
        <v>17</v>
      </c>
      <c r="U8" s="770">
        <f t="shared" si="1"/>
        <v>0</v>
      </c>
      <c r="V8" s="769" t="s">
        <v>17</v>
      </c>
      <c r="W8" s="770">
        <f t="shared" si="2"/>
        <v>0</v>
      </c>
      <c r="X8" s="771"/>
      <c r="Y8" s="3237" t="s">
        <v>2549</v>
      </c>
      <c r="Z8" s="3238"/>
      <c r="AA8" s="772" t="e">
        <f t="shared" ref="AA8:AA47" si="3">D8/F8</f>
        <v>#DIV/0!</v>
      </c>
      <c r="AB8" s="772" t="e">
        <f t="shared" ref="AB8:AB47" si="4">D8/H8</f>
        <v>#DIV/0!</v>
      </c>
      <c r="AC8" s="2670" t="e">
        <f t="shared" ref="AC8:AC47" si="5">D8/J8</f>
        <v>#DIV/0!</v>
      </c>
    </row>
    <row r="9" spans="1:29" s="117"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1" t="s">
        <v>2552</v>
      </c>
      <c r="Q9" s="1794" t="str">
        <f t="shared" ref="Q9:Q15" si="6">B9</f>
        <v>用途</v>
      </c>
      <c r="R9" s="769" t="s">
        <v>17</v>
      </c>
      <c r="S9" s="770">
        <f t="shared" si="0"/>
        <v>100</v>
      </c>
      <c r="T9" s="769" t="s">
        <v>17</v>
      </c>
      <c r="U9" s="770">
        <f t="shared" si="1"/>
        <v>100</v>
      </c>
      <c r="V9" s="769" t="s">
        <v>17</v>
      </c>
      <c r="W9" s="770">
        <f t="shared" si="2"/>
        <v>100</v>
      </c>
      <c r="X9" s="771"/>
      <c r="Y9" s="3084" t="s">
        <v>2553</v>
      </c>
      <c r="Z9" s="55" t="str">
        <f t="shared" ref="Z9:Z15" si="7">Q9</f>
        <v>用途</v>
      </c>
      <c r="AA9" s="772">
        <f t="shared" si="3"/>
        <v>1</v>
      </c>
      <c r="AB9" s="772">
        <f t="shared" si="4"/>
        <v>1</v>
      </c>
      <c r="AC9" s="2670">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1"/>
      <c r="Q10" s="1794"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2670">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1"/>
      <c r="Q11" s="1794"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251"/>
      <c r="Q12" s="1794">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251"/>
      <c r="Q13" s="1794">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251"/>
      <c r="Q14" s="1794">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2670">
        <f t="shared" si="5"/>
        <v>1</v>
      </c>
    </row>
    <row r="15" spans="1:29" ht="71.25">
      <c r="A15" s="439" t="s">
        <v>2556</v>
      </c>
      <c r="B15" s="628" t="s">
        <v>2684</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78" t="s">
        <v>2557</v>
      </c>
      <c r="Q15" s="1809" t="str">
        <f t="shared" si="6"/>
        <v>办公集聚程度</v>
      </c>
      <c r="R15" s="773" t="s">
        <v>17</v>
      </c>
      <c r="S15" s="774">
        <f t="shared" si="0"/>
        <v>100</v>
      </c>
      <c r="T15" s="773" t="s">
        <v>17</v>
      </c>
      <c r="U15" s="774">
        <f t="shared" si="1"/>
        <v>100</v>
      </c>
      <c r="V15" s="773" t="s">
        <v>17</v>
      </c>
      <c r="W15" s="774">
        <f t="shared" si="2"/>
        <v>100</v>
      </c>
      <c r="X15" s="1812"/>
      <c r="Y15" s="3271" t="s">
        <v>2557</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279"/>
      <c r="Q16" s="1809"/>
      <c r="R16" s="773"/>
      <c r="S16" s="774"/>
      <c r="T16" s="773"/>
      <c r="U16" s="774"/>
      <c r="V16" s="773"/>
      <c r="W16" s="774"/>
      <c r="X16" s="1812"/>
      <c r="Y16" s="3272"/>
      <c r="Z16" s="1813"/>
      <c r="AA16" s="1810">
        <v>1</v>
      </c>
      <c r="AB16" s="1810">
        <v>1</v>
      </c>
      <c r="AC16" s="2673">
        <v>1</v>
      </c>
    </row>
    <row r="17" spans="1:29" ht="71.25">
      <c r="A17" s="427"/>
      <c r="B17" s="630" t="s">
        <v>2093</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79"/>
      <c r="Q17" s="1809" t="str">
        <f>B17</f>
        <v>交通便捷度</v>
      </c>
      <c r="R17" s="773" t="s">
        <v>17</v>
      </c>
      <c r="S17" s="774">
        <f>F17</f>
        <v>100</v>
      </c>
      <c r="T17" s="773" t="s">
        <v>17</v>
      </c>
      <c r="U17" s="774">
        <f>H17</f>
        <v>100</v>
      </c>
      <c r="V17" s="773" t="s">
        <v>17</v>
      </c>
      <c r="W17" s="774">
        <f>J17</f>
        <v>100</v>
      </c>
      <c r="X17" s="1812"/>
      <c r="Y17" s="3272"/>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279"/>
      <c r="Q18" s="1809"/>
      <c r="R18" s="773"/>
      <c r="S18" s="774"/>
      <c r="T18" s="773"/>
      <c r="U18" s="774"/>
      <c r="V18" s="773"/>
      <c r="W18" s="774"/>
      <c r="X18" s="1812"/>
      <c r="Y18" s="3272"/>
      <c r="Z18" s="1813"/>
      <c r="AA18" s="1810">
        <v>1</v>
      </c>
      <c r="AB18" s="1810">
        <v>1</v>
      </c>
      <c r="AC18" s="2673">
        <v>1</v>
      </c>
    </row>
    <row r="19" spans="1:29" ht="42.75">
      <c r="A19" s="427"/>
      <c r="B19" s="630" t="s">
        <v>2685</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79"/>
      <c r="Q19" s="1809" t="str">
        <f>B19</f>
        <v>公共配套设施</v>
      </c>
      <c r="R19" s="773" t="s">
        <v>17</v>
      </c>
      <c r="S19" s="774">
        <f>F19</f>
        <v>100</v>
      </c>
      <c r="T19" s="773" t="s">
        <v>17</v>
      </c>
      <c r="U19" s="774">
        <f>H19</f>
        <v>100</v>
      </c>
      <c r="V19" s="773" t="s">
        <v>17</v>
      </c>
      <c r="W19" s="774">
        <f>J19</f>
        <v>100</v>
      </c>
      <c r="X19" s="1812"/>
      <c r="Y19" s="3272"/>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279"/>
      <c r="Q20" s="1809"/>
      <c r="R20" s="773"/>
      <c r="S20" s="774"/>
      <c r="T20" s="773"/>
      <c r="U20" s="774"/>
      <c r="V20" s="773"/>
      <c r="W20" s="774"/>
      <c r="X20" s="1812"/>
      <c r="Y20" s="3272"/>
      <c r="Z20" s="1813"/>
      <c r="AA20" s="1810">
        <v>1</v>
      </c>
      <c r="AB20" s="1810">
        <v>1</v>
      </c>
      <c r="AC20" s="2673">
        <v>1</v>
      </c>
    </row>
    <row r="21" spans="1:29" ht="28.5">
      <c r="A21" s="427"/>
      <c r="B21" s="632" t="s">
        <v>2686</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79"/>
      <c r="Q21" s="1809" t="str">
        <f>B21</f>
        <v>基础设施水平</v>
      </c>
      <c r="R21" s="773" t="s">
        <v>17</v>
      </c>
      <c r="S21" s="774">
        <f>F21</f>
        <v>100</v>
      </c>
      <c r="T21" s="773" t="s">
        <v>17</v>
      </c>
      <c r="U21" s="774">
        <f>H21</f>
        <v>100</v>
      </c>
      <c r="V21" s="773" t="s">
        <v>17</v>
      </c>
      <c r="W21" s="774">
        <f>J21</f>
        <v>100</v>
      </c>
      <c r="X21" s="1812"/>
      <c r="Y21" s="3272"/>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279"/>
      <c r="Q22" s="1809"/>
      <c r="R22" s="773"/>
      <c r="S22" s="774"/>
      <c r="T22" s="773"/>
      <c r="U22" s="774"/>
      <c r="V22" s="773"/>
      <c r="W22" s="774"/>
      <c r="X22" s="1812"/>
      <c r="Y22" s="3272"/>
      <c r="Z22" s="1813"/>
      <c r="AA22" s="1810">
        <v>1</v>
      </c>
      <c r="AB22" s="1810">
        <v>1</v>
      </c>
      <c r="AC22" s="2673">
        <v>1</v>
      </c>
    </row>
    <row r="23" spans="1:29" ht="42.75">
      <c r="A23" s="427"/>
      <c r="B23" s="630" t="s">
        <v>2687</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79"/>
      <c r="Q23" s="1809" t="str">
        <f>B23</f>
        <v>环境质量</v>
      </c>
      <c r="R23" s="773" t="s">
        <v>17</v>
      </c>
      <c r="S23" s="774">
        <f>F23</f>
        <v>100</v>
      </c>
      <c r="T23" s="773" t="s">
        <v>17</v>
      </c>
      <c r="U23" s="774">
        <f>H23</f>
        <v>100</v>
      </c>
      <c r="V23" s="773" t="s">
        <v>17</v>
      </c>
      <c r="W23" s="774">
        <f>J23</f>
        <v>100</v>
      </c>
      <c r="X23" s="1812"/>
      <c r="Y23" s="3272"/>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279"/>
      <c r="Q24" s="1809"/>
      <c r="R24" s="773"/>
      <c r="S24" s="774"/>
      <c r="T24" s="773"/>
      <c r="U24" s="774"/>
      <c r="V24" s="773"/>
      <c r="W24" s="774"/>
      <c r="X24" s="1812"/>
      <c r="Y24" s="3272"/>
      <c r="Z24" s="1813"/>
      <c r="AA24" s="1810">
        <v>1</v>
      </c>
      <c r="AB24" s="1810">
        <v>1</v>
      </c>
      <c r="AC24" s="2673">
        <v>1</v>
      </c>
    </row>
    <row r="25" spans="1:29" ht="27">
      <c r="A25" s="403"/>
      <c r="B25" s="630" t="s">
        <v>2688</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279"/>
      <c r="Q25" s="1809" t="str">
        <f>B25</f>
        <v>毗邻道路的类型与等级</v>
      </c>
      <c r="R25" s="773" t="s">
        <v>17</v>
      </c>
      <c r="S25" s="774">
        <f>F25</f>
        <v>100</v>
      </c>
      <c r="T25" s="773" t="s">
        <v>17</v>
      </c>
      <c r="U25" s="774">
        <f>H25</f>
        <v>100</v>
      </c>
      <c r="V25" s="773" t="s">
        <v>17</v>
      </c>
      <c r="W25" s="774">
        <f>J25</f>
        <v>100</v>
      </c>
      <c r="X25" s="1812"/>
      <c r="Y25" s="3272"/>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279"/>
      <c r="Q26" s="1809"/>
      <c r="R26" s="773"/>
      <c r="S26" s="774"/>
      <c r="T26" s="773"/>
      <c r="U26" s="774"/>
      <c r="V26" s="773"/>
      <c r="W26" s="774"/>
      <c r="X26" s="1812"/>
      <c r="Y26" s="3272"/>
      <c r="Z26" s="1813"/>
      <c r="AA26" s="1810">
        <v>1</v>
      </c>
      <c r="AB26" s="1810">
        <v>1</v>
      </c>
      <c r="AC26" s="2673">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79"/>
      <c r="Q27" s="1809" t="str">
        <f t="shared" ref="Q27:Q47" si="11">B27</f>
        <v>楼层</v>
      </c>
      <c r="R27" s="773" t="s">
        <v>17</v>
      </c>
      <c r="S27" s="774">
        <f>F27</f>
        <v>100</v>
      </c>
      <c r="T27" s="773" t="s">
        <v>17</v>
      </c>
      <c r="U27" s="774">
        <f>H27</f>
        <v>100</v>
      </c>
      <c r="V27" s="773" t="s">
        <v>17</v>
      </c>
      <c r="W27" s="774">
        <f>J27</f>
        <v>100</v>
      </c>
      <c r="X27" s="1812"/>
      <c r="Y27" s="3272"/>
      <c r="Z27" s="1813" t="str">
        <f>Q27</f>
        <v>楼层</v>
      </c>
      <c r="AA27" s="1810">
        <f t="shared" si="3"/>
        <v>1</v>
      </c>
      <c r="AB27" s="1810">
        <f t="shared" si="4"/>
        <v>1</v>
      </c>
      <c r="AC27" s="2673">
        <f t="shared" si="5"/>
        <v>1</v>
      </c>
    </row>
    <row r="28" spans="1:29" s="117" customFormat="1" ht="15">
      <c r="A28" s="430"/>
      <c r="B28" s="630" t="s">
        <v>2689</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279"/>
      <c r="Q28" s="1794" t="str">
        <f t="shared" si="11"/>
        <v>朝向</v>
      </c>
      <c r="R28" s="769" t="s">
        <v>17</v>
      </c>
      <c r="S28" s="770">
        <f>F28</f>
        <v>100</v>
      </c>
      <c r="T28" s="769" t="s">
        <v>17</v>
      </c>
      <c r="U28" s="770">
        <f>H28</f>
        <v>100</v>
      </c>
      <c r="V28" s="769" t="s">
        <v>17</v>
      </c>
      <c r="W28" s="770">
        <f>J28</f>
        <v>100</v>
      </c>
      <c r="X28" s="771"/>
      <c r="Y28" s="3272"/>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279"/>
      <c r="Q29" s="1809">
        <f t="shared" si="11"/>
        <v>111</v>
      </c>
      <c r="R29" s="773" t="s">
        <v>17</v>
      </c>
      <c r="S29" s="774">
        <f t="shared" ref="S29:S47" si="12">F29</f>
        <v>100</v>
      </c>
      <c r="T29" s="773" t="s">
        <v>17</v>
      </c>
      <c r="U29" s="774">
        <f t="shared" ref="U29:U47" si="13">H29</f>
        <v>100</v>
      </c>
      <c r="V29" s="773" t="s">
        <v>17</v>
      </c>
      <c r="W29" s="774">
        <f t="shared" ref="W29:W47" si="14">J29</f>
        <v>100</v>
      </c>
      <c r="X29" s="1812"/>
      <c r="Y29" s="3272"/>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279"/>
      <c r="Q30" s="1809">
        <f t="shared" si="11"/>
        <v>111</v>
      </c>
      <c r="R30" s="773" t="s">
        <v>17</v>
      </c>
      <c r="S30" s="774">
        <f t="shared" si="12"/>
        <v>100</v>
      </c>
      <c r="T30" s="773" t="s">
        <v>17</v>
      </c>
      <c r="U30" s="774">
        <f t="shared" si="13"/>
        <v>100</v>
      </c>
      <c r="V30" s="773" t="s">
        <v>17</v>
      </c>
      <c r="W30" s="774">
        <f t="shared" si="14"/>
        <v>100</v>
      </c>
      <c r="X30" s="1812"/>
      <c r="Y30" s="3272"/>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279"/>
      <c r="Q31" s="1809">
        <f t="shared" si="11"/>
        <v>111</v>
      </c>
      <c r="R31" s="773" t="s">
        <v>17</v>
      </c>
      <c r="S31" s="774">
        <f t="shared" si="12"/>
        <v>100</v>
      </c>
      <c r="T31" s="773" t="s">
        <v>17</v>
      </c>
      <c r="U31" s="774">
        <f t="shared" si="13"/>
        <v>100</v>
      </c>
      <c r="V31" s="773" t="s">
        <v>17</v>
      </c>
      <c r="W31" s="774">
        <f t="shared" si="14"/>
        <v>100</v>
      </c>
      <c r="X31" s="1812"/>
      <c r="Y31" s="3272"/>
      <c r="Z31" s="1813">
        <f t="shared" si="15"/>
        <v>111</v>
      </c>
      <c r="AA31" s="1810">
        <f t="shared" si="3"/>
        <v>1</v>
      </c>
      <c r="AB31" s="1810">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279"/>
      <c r="Q32" s="1809">
        <f t="shared" si="11"/>
        <v>111</v>
      </c>
      <c r="R32" s="773" t="s">
        <v>17</v>
      </c>
      <c r="S32" s="774">
        <f t="shared" si="12"/>
        <v>100</v>
      </c>
      <c r="T32" s="773" t="s">
        <v>17</v>
      </c>
      <c r="U32" s="774">
        <f t="shared" si="13"/>
        <v>100</v>
      </c>
      <c r="V32" s="773" t="s">
        <v>17</v>
      </c>
      <c r="W32" s="774">
        <f t="shared" si="14"/>
        <v>100</v>
      </c>
      <c r="X32" s="1812"/>
      <c r="Y32" s="3272"/>
      <c r="Z32" s="1813">
        <f t="shared" si="15"/>
        <v>111</v>
      </c>
      <c r="AA32" s="1810">
        <f t="shared" si="3"/>
        <v>1</v>
      </c>
      <c r="AB32" s="1810">
        <f t="shared" si="4"/>
        <v>1</v>
      </c>
      <c r="AC32" s="2673">
        <f t="shared" si="5"/>
        <v>1</v>
      </c>
    </row>
    <row r="33" spans="1:29" ht="15">
      <c r="A33" s="439" t="s">
        <v>2560</v>
      </c>
      <c r="B33" s="71" t="s">
        <v>2690</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273" t="s">
        <v>2562</v>
      </c>
      <c r="Q33" s="1809" t="str">
        <f t="shared" si="11"/>
        <v>建筑类型</v>
      </c>
      <c r="R33" s="773" t="s">
        <v>17</v>
      </c>
      <c r="S33" s="774">
        <f t="shared" si="12"/>
        <v>100</v>
      </c>
      <c r="T33" s="773" t="s">
        <v>17</v>
      </c>
      <c r="U33" s="774">
        <f t="shared" si="13"/>
        <v>100</v>
      </c>
      <c r="V33" s="773" t="s">
        <v>17</v>
      </c>
      <c r="W33" s="774">
        <f t="shared" si="14"/>
        <v>100</v>
      </c>
      <c r="X33" s="1812"/>
      <c r="Y33" s="3276" t="s">
        <v>2562</v>
      </c>
      <c r="Z33" s="1813" t="str">
        <f t="shared" si="15"/>
        <v>建筑类型</v>
      </c>
      <c r="AA33" s="1810">
        <f t="shared" si="3"/>
        <v>1</v>
      </c>
      <c r="AB33" s="1810">
        <f t="shared" si="4"/>
        <v>1</v>
      </c>
      <c r="AC33" s="2673">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74"/>
      <c r="Q34" s="775" t="str">
        <f t="shared" si="11"/>
        <v>项目建筑规模</v>
      </c>
      <c r="R34" s="776" t="s">
        <v>17</v>
      </c>
      <c r="S34" s="777" t="e">
        <f t="shared" si="12"/>
        <v>#N/A</v>
      </c>
      <c r="T34" s="776" t="s">
        <v>17</v>
      </c>
      <c r="U34" s="777" t="e">
        <f t="shared" si="13"/>
        <v>#N/A</v>
      </c>
      <c r="V34" s="776" t="s">
        <v>17</v>
      </c>
      <c r="W34" s="777" t="e">
        <f t="shared" si="14"/>
        <v>#N/A</v>
      </c>
      <c r="X34" s="778"/>
      <c r="Y34" s="3276"/>
      <c r="Z34" s="779" t="str">
        <f t="shared" si="15"/>
        <v>项目建筑规模</v>
      </c>
      <c r="AA34" s="1810" t="e">
        <f t="shared" si="3"/>
        <v>#N/A</v>
      </c>
      <c r="AB34" s="1810" t="e">
        <f t="shared" si="4"/>
        <v>#N/A</v>
      </c>
      <c r="AC34" s="2673"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74"/>
      <c r="Q35" s="1809" t="str">
        <f t="shared" si="11"/>
        <v>建筑结构</v>
      </c>
      <c r="R35" s="773" t="s">
        <v>17</v>
      </c>
      <c r="S35" s="774">
        <f t="shared" si="12"/>
        <v>100</v>
      </c>
      <c r="T35" s="773" t="s">
        <v>17</v>
      </c>
      <c r="U35" s="774">
        <f t="shared" si="13"/>
        <v>100</v>
      </c>
      <c r="V35" s="773" t="s">
        <v>17</v>
      </c>
      <c r="W35" s="774">
        <f t="shared" si="14"/>
        <v>100</v>
      </c>
      <c r="X35" s="1812"/>
      <c r="Y35" s="3276"/>
      <c r="Z35" s="1813" t="str">
        <f t="shared" si="15"/>
        <v>建筑结构</v>
      </c>
      <c r="AA35" s="1810">
        <f t="shared" si="3"/>
        <v>1</v>
      </c>
      <c r="AB35" s="1810">
        <f t="shared" si="4"/>
        <v>1</v>
      </c>
      <c r="AC35" s="2673">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74"/>
      <c r="Q36" s="1809" t="str">
        <f t="shared" si="11"/>
        <v>公共部分装修</v>
      </c>
      <c r="R36" s="773" t="s">
        <v>17</v>
      </c>
      <c r="S36" s="774">
        <f t="shared" si="12"/>
        <v>100</v>
      </c>
      <c r="T36" s="773" t="s">
        <v>17</v>
      </c>
      <c r="U36" s="774">
        <f t="shared" si="13"/>
        <v>100</v>
      </c>
      <c r="V36" s="773" t="s">
        <v>17</v>
      </c>
      <c r="W36" s="774">
        <f t="shared" si="14"/>
        <v>100</v>
      </c>
      <c r="X36" s="1812"/>
      <c r="Y36" s="3276"/>
      <c r="Z36" s="1813" t="str">
        <f t="shared" si="15"/>
        <v>公共部分装修</v>
      </c>
      <c r="AA36" s="1810">
        <f t="shared" si="3"/>
        <v>1</v>
      </c>
      <c r="AB36" s="1810">
        <f t="shared" si="4"/>
        <v>1</v>
      </c>
      <c r="AC36" s="2673">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74"/>
      <c r="Q37" s="1809" t="str">
        <f t="shared" si="11"/>
        <v>成新度</v>
      </c>
      <c r="R37" s="773" t="s">
        <v>17</v>
      </c>
      <c r="S37" s="774" t="e">
        <f t="shared" si="12"/>
        <v>#N/A</v>
      </c>
      <c r="T37" s="773" t="s">
        <v>17</v>
      </c>
      <c r="U37" s="774" t="e">
        <f t="shared" si="13"/>
        <v>#N/A</v>
      </c>
      <c r="V37" s="773" t="s">
        <v>17</v>
      </c>
      <c r="W37" s="774" t="e">
        <f t="shared" si="14"/>
        <v>#N/A</v>
      </c>
      <c r="X37" s="1812"/>
      <c r="Y37" s="3276"/>
      <c r="Z37" s="1813" t="str">
        <f t="shared" si="15"/>
        <v>成新度</v>
      </c>
      <c r="AA37" s="1810" t="e">
        <f t="shared" si="3"/>
        <v>#N/A</v>
      </c>
      <c r="AB37" s="1810" t="e">
        <f t="shared" si="4"/>
        <v>#N/A</v>
      </c>
      <c r="AC37" s="2673" t="e">
        <f t="shared" si="5"/>
        <v>#N/A</v>
      </c>
    </row>
    <row r="38" spans="1:29" s="117"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74"/>
      <c r="Q38" s="1794" t="str">
        <f t="shared" si="11"/>
        <v>写字楼等级</v>
      </c>
      <c r="R38" s="769" t="s">
        <v>17</v>
      </c>
      <c r="S38" s="770">
        <f t="shared" si="12"/>
        <v>100</v>
      </c>
      <c r="T38" s="769" t="s">
        <v>17</v>
      </c>
      <c r="U38" s="770">
        <f t="shared" si="13"/>
        <v>100</v>
      </c>
      <c r="V38" s="769" t="s">
        <v>17</v>
      </c>
      <c r="W38" s="770">
        <f t="shared" si="14"/>
        <v>100</v>
      </c>
      <c r="X38" s="771"/>
      <c r="Y38" s="3276"/>
      <c r="Z38" s="55" t="str">
        <f t="shared" si="15"/>
        <v>写字楼等级</v>
      </c>
      <c r="AA38" s="772">
        <f t="shared" si="3"/>
        <v>1</v>
      </c>
      <c r="AB38" s="772">
        <f t="shared" si="4"/>
        <v>1</v>
      </c>
      <c r="AC38" s="2670">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74" t="s">
        <v>2562</v>
      </c>
      <c r="Q39" s="1809" t="str">
        <f t="shared" si="11"/>
        <v>物业管理</v>
      </c>
      <c r="R39" s="773" t="s">
        <v>17</v>
      </c>
      <c r="S39" s="774">
        <f t="shared" si="12"/>
        <v>100</v>
      </c>
      <c r="T39" s="773" t="s">
        <v>17</v>
      </c>
      <c r="U39" s="774">
        <f t="shared" si="13"/>
        <v>100</v>
      </c>
      <c r="V39" s="773" t="s">
        <v>17</v>
      </c>
      <c r="W39" s="774">
        <f t="shared" si="14"/>
        <v>100</v>
      </c>
      <c r="X39" s="1812"/>
      <c r="Y39" s="3276" t="s">
        <v>2562</v>
      </c>
      <c r="Z39" s="1813" t="str">
        <f t="shared" si="15"/>
        <v>物业管理</v>
      </c>
      <c r="AA39" s="1810">
        <f t="shared" si="3"/>
        <v>1</v>
      </c>
      <c r="AB39" s="1810">
        <f t="shared" si="4"/>
        <v>1</v>
      </c>
      <c r="AC39" s="2673">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74"/>
      <c r="Q40" s="1809" t="str">
        <f t="shared" si="11"/>
        <v>市政基础设施</v>
      </c>
      <c r="R40" s="773" t="s">
        <v>17</v>
      </c>
      <c r="S40" s="774">
        <f t="shared" si="12"/>
        <v>100</v>
      </c>
      <c r="T40" s="773" t="s">
        <v>17</v>
      </c>
      <c r="U40" s="774">
        <f t="shared" si="13"/>
        <v>100</v>
      </c>
      <c r="V40" s="773" t="s">
        <v>17</v>
      </c>
      <c r="W40" s="774">
        <f t="shared" si="14"/>
        <v>100</v>
      </c>
      <c r="X40" s="1812"/>
      <c r="Y40" s="3276"/>
      <c r="Z40" s="1813" t="str">
        <f t="shared" si="15"/>
        <v>市政基础设施</v>
      </c>
      <c r="AA40" s="1810">
        <f t="shared" si="3"/>
        <v>1</v>
      </c>
      <c r="AB40" s="1810">
        <f t="shared" si="4"/>
        <v>1</v>
      </c>
      <c r="AC40" s="2673">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74"/>
      <c r="Q41" s="1809" t="str">
        <f t="shared" si="11"/>
        <v>层高</v>
      </c>
      <c r="R41" s="773" t="s">
        <v>17</v>
      </c>
      <c r="S41" s="774">
        <f t="shared" si="12"/>
        <v>100</v>
      </c>
      <c r="T41" s="773" t="s">
        <v>17</v>
      </c>
      <c r="U41" s="774">
        <f t="shared" si="13"/>
        <v>100</v>
      </c>
      <c r="V41" s="773" t="s">
        <v>17</v>
      </c>
      <c r="W41" s="774">
        <f t="shared" si="14"/>
        <v>100</v>
      </c>
      <c r="X41" s="1812"/>
      <c r="Y41" s="3276"/>
      <c r="Z41" s="1813" t="str">
        <f t="shared" si="15"/>
        <v>层高</v>
      </c>
      <c r="AA41" s="1810">
        <f t="shared" si="3"/>
        <v>1</v>
      </c>
      <c r="AB41" s="1810">
        <f t="shared" si="4"/>
        <v>1</v>
      </c>
      <c r="AC41" s="2673">
        <f t="shared" si="5"/>
        <v>1</v>
      </c>
    </row>
    <row r="42" spans="1:29" s="470" customFormat="1" ht="15">
      <c r="A42" s="467"/>
      <c r="B42" s="1811"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74"/>
      <c r="Q42" s="775" t="str">
        <f t="shared" si="11"/>
        <v>单套建筑面积</v>
      </c>
      <c r="R42" s="776" t="s">
        <v>17</v>
      </c>
      <c r="S42" s="777">
        <f t="shared" si="12"/>
        <v>100</v>
      </c>
      <c r="T42" s="776" t="s">
        <v>17</v>
      </c>
      <c r="U42" s="777">
        <f t="shared" si="13"/>
        <v>100</v>
      </c>
      <c r="V42" s="776" t="s">
        <v>17</v>
      </c>
      <c r="W42" s="777">
        <f t="shared" si="14"/>
        <v>100</v>
      </c>
      <c r="X42" s="778"/>
      <c r="Y42" s="3276"/>
      <c r="Z42" s="779" t="str">
        <f t="shared" si="15"/>
        <v>单套建筑面积</v>
      </c>
      <c r="AA42" s="1810">
        <f t="shared" si="3"/>
        <v>1</v>
      </c>
      <c r="AB42" s="1810">
        <f t="shared" si="4"/>
        <v>1</v>
      </c>
      <c r="AC42" s="2673">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74"/>
      <c r="Q43" s="1809" t="str">
        <f t="shared" si="11"/>
        <v>内部装修</v>
      </c>
      <c r="R43" s="773" t="s">
        <v>17</v>
      </c>
      <c r="S43" s="774">
        <f t="shared" si="12"/>
        <v>100</v>
      </c>
      <c r="T43" s="773" t="s">
        <v>17</v>
      </c>
      <c r="U43" s="774">
        <f t="shared" si="13"/>
        <v>100</v>
      </c>
      <c r="V43" s="773" t="s">
        <v>17</v>
      </c>
      <c r="W43" s="774">
        <f t="shared" si="14"/>
        <v>100</v>
      </c>
      <c r="X43" s="1812"/>
      <c r="Y43" s="3276"/>
      <c r="Z43" s="1813" t="str">
        <f t="shared" si="15"/>
        <v>内部装修</v>
      </c>
      <c r="AA43" s="1810">
        <f t="shared" si="3"/>
        <v>1</v>
      </c>
      <c r="AB43" s="1810">
        <f t="shared" si="4"/>
        <v>1</v>
      </c>
      <c r="AC43" s="2673">
        <f t="shared" si="5"/>
        <v>1</v>
      </c>
    </row>
    <row r="44" spans="1:29" ht="15">
      <c r="A44" s="471"/>
      <c r="B44" s="421" t="s">
        <v>2573</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274"/>
      <c r="Q44" s="1809" t="str">
        <f t="shared" si="11"/>
        <v>内部装修维护情况</v>
      </c>
      <c r="R44" s="773" t="s">
        <v>17</v>
      </c>
      <c r="S44" s="774">
        <f t="shared" si="12"/>
        <v>100</v>
      </c>
      <c r="T44" s="773" t="s">
        <v>17</v>
      </c>
      <c r="U44" s="774">
        <f t="shared" si="13"/>
        <v>100</v>
      </c>
      <c r="V44" s="773" t="s">
        <v>17</v>
      </c>
      <c r="W44" s="774">
        <f t="shared" si="14"/>
        <v>100</v>
      </c>
      <c r="X44" s="1812"/>
      <c r="Y44" s="3276"/>
      <c r="Z44" s="1813" t="str">
        <f t="shared" si="15"/>
        <v>内部装修维护情况</v>
      </c>
      <c r="AA44" s="1810">
        <f t="shared" si="3"/>
        <v>1</v>
      </c>
      <c r="AB44" s="1810">
        <f t="shared" si="4"/>
        <v>1</v>
      </c>
      <c r="AC44" s="2673">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74"/>
      <c r="Q45" s="1794">
        <f t="shared" si="11"/>
        <v>111</v>
      </c>
      <c r="R45" s="769" t="s">
        <v>17</v>
      </c>
      <c r="S45" s="770">
        <f t="shared" si="12"/>
        <v>100</v>
      </c>
      <c r="T45" s="769" t="s">
        <v>17</v>
      </c>
      <c r="U45" s="770">
        <f t="shared" si="13"/>
        <v>100</v>
      </c>
      <c r="V45" s="769" t="s">
        <v>17</v>
      </c>
      <c r="W45" s="770">
        <f t="shared" si="14"/>
        <v>100</v>
      </c>
      <c r="X45" s="771"/>
      <c r="Y45" s="3276"/>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74"/>
      <c r="Q46" s="1809">
        <f t="shared" si="11"/>
        <v>111</v>
      </c>
      <c r="R46" s="773" t="s">
        <v>17</v>
      </c>
      <c r="S46" s="774">
        <f t="shared" si="12"/>
        <v>100</v>
      </c>
      <c r="T46" s="773" t="s">
        <v>17</v>
      </c>
      <c r="U46" s="774">
        <f t="shared" si="13"/>
        <v>100</v>
      </c>
      <c r="V46" s="773" t="s">
        <v>17</v>
      </c>
      <c r="W46" s="774">
        <f t="shared" si="14"/>
        <v>100</v>
      </c>
      <c r="X46" s="1812"/>
      <c r="Y46" s="3276"/>
      <c r="Z46" s="1813">
        <f t="shared" si="15"/>
        <v>111</v>
      </c>
      <c r="AA46" s="1810">
        <f t="shared" si="3"/>
        <v>1</v>
      </c>
      <c r="AB46" s="1810">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75"/>
      <c r="Q47" s="1809">
        <f t="shared" si="11"/>
        <v>111</v>
      </c>
      <c r="R47" s="773" t="s">
        <v>17</v>
      </c>
      <c r="S47" s="774">
        <f t="shared" si="12"/>
        <v>100</v>
      </c>
      <c r="T47" s="773" t="s">
        <v>17</v>
      </c>
      <c r="U47" s="774">
        <f t="shared" si="13"/>
        <v>100</v>
      </c>
      <c r="V47" s="773" t="s">
        <v>17</v>
      </c>
      <c r="W47" s="774">
        <f t="shared" si="14"/>
        <v>100</v>
      </c>
      <c r="X47" s="1812"/>
      <c r="Y47" s="3277"/>
      <c r="Z47" s="1813">
        <f t="shared" si="15"/>
        <v>111</v>
      </c>
      <c r="AA47" s="1810">
        <f t="shared" si="3"/>
        <v>1</v>
      </c>
      <c r="AB47" s="1810">
        <f t="shared" si="4"/>
        <v>1</v>
      </c>
      <c r="AC47" s="2673">
        <f t="shared" si="5"/>
        <v>1</v>
      </c>
    </row>
    <row r="48" spans="1:29" ht="15">
      <c r="A48" s="478" t="s">
        <v>2574</v>
      </c>
      <c r="B48" s="479"/>
      <c r="C48" s="1406" t="s">
        <v>1</v>
      </c>
      <c r="D48" s="1407"/>
      <c r="E48" s="1408"/>
      <c r="F48" s="1409"/>
      <c r="G48" s="1410"/>
      <c r="H48" s="1411"/>
      <c r="I48" s="1408"/>
      <c r="J48" s="484"/>
      <c r="K48" s="782"/>
      <c r="L48" s="1142"/>
      <c r="M48" s="1130"/>
      <c r="N48" s="1130"/>
      <c r="O48" s="1130"/>
      <c r="P48" s="3251" t="str">
        <f>A48</f>
        <v>成交单价（元/平方米）</v>
      </c>
      <c r="Q48" s="3269"/>
      <c r="R48" s="3270">
        <f>E48</f>
        <v>0</v>
      </c>
      <c r="S48" s="3270"/>
      <c r="T48" s="3270">
        <f>G48</f>
        <v>0</v>
      </c>
      <c r="U48" s="3270"/>
      <c r="V48" s="3270">
        <f>I48</f>
        <v>0</v>
      </c>
      <c r="W48" s="3270"/>
      <c r="X48" s="445"/>
      <c r="Y48" s="780"/>
      <c r="Z48" s="445"/>
      <c r="AA48" s="445"/>
      <c r="AB48" s="445"/>
      <c r="AC48" s="629"/>
    </row>
    <row r="49" spans="1:29" ht="15.75" thickBot="1">
      <c r="A49" s="485" t="s">
        <v>2666</v>
      </c>
      <c r="B49" s="486"/>
      <c r="C49" s="1412" t="e">
        <f>R50</f>
        <v>#DIV/0!</v>
      </c>
      <c r="D49" s="1413"/>
      <c r="E49" s="1414" t="e">
        <f>R49</f>
        <v>#DIV/0!</v>
      </c>
      <c r="F49" s="1414"/>
      <c r="G49" s="1412" t="e">
        <f>T49</f>
        <v>#DIV/0!</v>
      </c>
      <c r="H49" s="1413"/>
      <c r="I49" s="1414" t="e">
        <f>V49</f>
        <v>#DIV/0!</v>
      </c>
      <c r="J49" s="488"/>
      <c r="K49" s="783"/>
      <c r="L49" s="1142"/>
      <c r="M49" s="1130"/>
      <c r="N49" s="1130"/>
      <c r="O49" s="1130"/>
      <c r="P49" s="3251" t="str">
        <f>A49</f>
        <v>比较价值（元/平方米）</v>
      </c>
      <c r="Q49" s="3269"/>
      <c r="R49" s="3270" t="e">
        <f>IF(F1="售价",ROUND(PRODUCT(R48,AA7:AA47),0),ROUND(PRODUCT(R48,AA7:AA47),1))</f>
        <v>#DIV/0!</v>
      </c>
      <c r="S49" s="3270"/>
      <c r="T49" s="3270" t="e">
        <f>IF(F1="售价",ROUND(PRODUCT(T48,AB7:AB47),0),ROUND(PRODUCT(T48,AB7:AB47),1))</f>
        <v>#DIV/0!</v>
      </c>
      <c r="U49" s="3270"/>
      <c r="V49" s="3270" t="e">
        <f>IF(F1="售价",ROUND(PRODUCT(V48,AC7:AC47),0),ROUND(PRODUCT(V48,AC7:AC47),1))</f>
        <v>#DIV/0!</v>
      </c>
      <c r="W49" s="3270"/>
      <c r="X49" s="445"/>
      <c r="Y49" s="445"/>
      <c r="Z49" s="445"/>
      <c r="AA49" s="445"/>
      <c r="AB49" s="445"/>
      <c r="AC49" s="629"/>
    </row>
    <row r="50" spans="1:29" ht="15.75" thickBot="1">
      <c r="A50" s="491" t="s">
        <v>2667</v>
      </c>
      <c r="B50" s="492"/>
      <c r="C50" s="1416" t="e">
        <f>R50</f>
        <v>#DIV/0!</v>
      </c>
      <c r="D50" s="1416"/>
      <c r="E50" s="1416"/>
      <c r="F50" s="1416"/>
      <c r="G50" s="1416"/>
      <c r="H50" s="1416"/>
      <c r="I50" s="1416"/>
      <c r="J50" s="493"/>
      <c r="K50" s="784"/>
      <c r="L50" s="1142"/>
      <c r="M50" s="1130"/>
      <c r="N50" s="1130"/>
      <c r="O50" s="1130"/>
      <c r="P50" s="3292" t="str">
        <f>A50</f>
        <v>估价对象XX用房的比较价值（楼面单价，元/平方米）</v>
      </c>
      <c r="Q50" s="3293"/>
      <c r="R50" s="3294" t="e">
        <f>IF(F1="售价",ROUND(AVERAGE(R49:V49),0),ROUND(AVERAGE(R49:V49),1))</f>
        <v>#DIV/0!</v>
      </c>
      <c r="S50" s="3294"/>
      <c r="T50" s="3294"/>
      <c r="U50" s="3294"/>
      <c r="V50" s="3294"/>
      <c r="W50" s="3294"/>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80"/>
      <c r="Q58" s="503"/>
    </row>
    <row r="59" spans="1:29" s="507" customFormat="1" ht="15">
      <c r="A59" s="504" t="s">
        <v>2545</v>
      </c>
      <c r="B59" s="505"/>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ht="15">
      <c r="A60" s="508"/>
      <c r="B60" s="509"/>
      <c r="C60" s="1572">
        <v>100</v>
      </c>
      <c r="D60" s="511"/>
      <c r="E60" s="511"/>
      <c r="F60" s="511"/>
      <c r="G60" s="511"/>
      <c r="H60" s="511"/>
      <c r="I60" s="511"/>
      <c r="J60" s="511"/>
      <c r="K60" s="511"/>
      <c r="L60" s="511"/>
      <c r="M60" s="512"/>
      <c r="N60" s="511"/>
      <c r="O60" s="512"/>
      <c r="P60" s="2681"/>
    </row>
    <row r="61" spans="1:29" s="117" customFormat="1" ht="15.75" thickBot="1">
      <c r="A61" s="514" t="s">
        <v>2582</v>
      </c>
      <c r="B61" s="515"/>
      <c r="C61" s="516"/>
      <c r="D61" s="517"/>
      <c r="E61" s="517"/>
      <c r="F61" s="517"/>
      <c r="G61" s="517"/>
      <c r="H61" s="517"/>
      <c r="I61" s="517"/>
      <c r="J61" s="517"/>
      <c r="K61" s="517"/>
      <c r="L61" s="517"/>
      <c r="M61" s="518"/>
      <c r="N61" s="517"/>
      <c r="O61" s="518"/>
      <c r="P61" s="2681"/>
      <c r="Q61" s="503"/>
    </row>
    <row r="62" spans="1:29" s="117" customFormat="1" ht="15">
      <c r="A62" s="520" t="s">
        <v>2547</v>
      </c>
      <c r="B62" s="509"/>
      <c r="C62" s="521" t="s">
        <v>2649</v>
      </c>
      <c r="D62" s="522"/>
      <c r="E62" s="522"/>
      <c r="F62" s="522"/>
      <c r="G62" s="522"/>
      <c r="H62" s="522"/>
      <c r="I62" s="522"/>
      <c r="J62" s="522"/>
      <c r="K62" s="522"/>
      <c r="L62" s="523"/>
      <c r="M62" s="524"/>
      <c r="N62" s="1150"/>
      <c r="O62" s="1150"/>
      <c r="P62" s="2682"/>
      <c r="Q62" s="503"/>
    </row>
    <row r="63" spans="1:29" s="117" customFormat="1" ht="15.75" thickBot="1">
      <c r="A63" s="520"/>
      <c r="B63" s="509"/>
      <c r="C63" s="510">
        <v>100</v>
      </c>
      <c r="D63" s="511"/>
      <c r="E63" s="511"/>
      <c r="F63" s="511"/>
      <c r="G63" s="511"/>
      <c r="H63" s="511"/>
      <c r="I63" s="511"/>
      <c r="J63" s="511"/>
      <c r="K63" s="511"/>
      <c r="L63" s="511"/>
      <c r="M63" s="513"/>
      <c r="N63" s="1150"/>
      <c r="O63" s="1150"/>
      <c r="P63" s="2681"/>
      <c r="Q63" s="503"/>
    </row>
    <row r="64" spans="1:29">
      <c r="A64" s="526" t="s">
        <v>2585</v>
      </c>
      <c r="B64" s="527" t="s">
        <v>2551</v>
      </c>
      <c r="C64" s="528">
        <f>C9</f>
        <v>0</v>
      </c>
      <c r="D64" s="529"/>
      <c r="E64" s="529"/>
      <c r="F64" s="529"/>
      <c r="G64" s="529"/>
      <c r="H64" s="529"/>
      <c r="I64" s="529"/>
      <c r="J64" s="529"/>
      <c r="K64" s="530"/>
      <c r="L64" s="531"/>
      <c r="M64" s="532"/>
      <c r="N64" s="1151"/>
      <c r="O64" s="1151"/>
      <c r="P64" s="2683"/>
      <c r="Q64" s="503"/>
    </row>
    <row r="65" spans="1:17" ht="15.75" thickBot="1">
      <c r="A65" s="533"/>
      <c r="B65" s="534"/>
      <c r="C65" s="535">
        <v>100</v>
      </c>
      <c r="D65" s="535"/>
      <c r="E65" s="535"/>
      <c r="F65" s="535"/>
      <c r="G65" s="535"/>
      <c r="H65" s="535"/>
      <c r="I65" s="535"/>
      <c r="J65" s="535"/>
      <c r="K65" s="535"/>
      <c r="L65" s="535"/>
      <c r="M65" s="536"/>
      <c r="N65" s="1152"/>
      <c r="O65" s="1152"/>
      <c r="P65" s="2683"/>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1"/>
      <c r="O66" s="1151"/>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ht="15">
      <c r="A69" s="533"/>
      <c r="B69" s="547"/>
      <c r="C69" s="548"/>
      <c r="D69" s="548"/>
      <c r="E69" s="548"/>
      <c r="F69" s="548"/>
      <c r="G69" s="548"/>
      <c r="H69" s="548"/>
      <c r="I69" s="548"/>
      <c r="J69" s="548"/>
      <c r="K69" s="549"/>
      <c r="L69" s="550"/>
      <c r="M69" s="551"/>
      <c r="N69" s="1151"/>
      <c r="O69" s="1151"/>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5.75" thickTop="1">
      <c r="A71" s="552"/>
      <c r="B71" s="537">
        <f>B12</f>
        <v>111</v>
      </c>
      <c r="C71" s="553"/>
      <c r="D71" s="553"/>
      <c r="E71" s="553"/>
      <c r="F71" s="553"/>
      <c r="G71" s="553"/>
      <c r="H71" s="554"/>
      <c r="I71" s="554"/>
      <c r="J71" s="554"/>
      <c r="K71" s="554"/>
      <c r="L71" s="555"/>
      <c r="M71" s="556"/>
      <c r="N71" s="1153"/>
      <c r="O71" s="1153"/>
      <c r="P71" s="2684"/>
      <c r="Q71" s="558"/>
    </row>
    <row r="72" spans="1:17" s="470" customFormat="1" ht="15.75" thickBot="1">
      <c r="A72" s="552"/>
      <c r="B72" s="542"/>
      <c r="C72" s="559"/>
      <c r="D72" s="535"/>
      <c r="E72" s="535"/>
      <c r="F72" s="535"/>
      <c r="G72" s="535"/>
      <c r="H72" s="535"/>
      <c r="I72" s="535"/>
      <c r="J72" s="535"/>
      <c r="K72" s="535"/>
      <c r="L72" s="535"/>
      <c r="M72" s="536"/>
      <c r="N72" s="1152"/>
      <c r="O72" s="1152"/>
      <c r="P72" s="2684"/>
      <c r="Q72" s="558"/>
    </row>
    <row r="73" spans="1:17" s="470" customFormat="1" ht="15.75" thickTop="1">
      <c r="A73" s="552"/>
      <c r="B73" s="537">
        <f>B13</f>
        <v>111</v>
      </c>
      <c r="C73" s="553"/>
      <c r="D73" s="553"/>
      <c r="E73" s="553"/>
      <c r="F73" s="553"/>
      <c r="G73" s="553"/>
      <c r="H73" s="554"/>
      <c r="I73" s="554"/>
      <c r="J73" s="554"/>
      <c r="K73" s="554"/>
      <c r="L73" s="555"/>
      <c r="M73" s="556"/>
      <c r="N73" s="1153"/>
      <c r="O73" s="1153"/>
      <c r="P73" s="2685"/>
      <c r="Q73" s="560"/>
    </row>
    <row r="74" spans="1:17" s="470" customFormat="1" ht="15.75" thickBot="1">
      <c r="A74" s="552"/>
      <c r="B74" s="542"/>
      <c r="C74" s="559"/>
      <c r="D74" s="559"/>
      <c r="E74" s="559"/>
      <c r="F74" s="559"/>
      <c r="G74" s="559"/>
      <c r="H74" s="561"/>
      <c r="I74" s="561"/>
      <c r="J74" s="561"/>
      <c r="K74" s="561"/>
      <c r="L74" s="561"/>
      <c r="M74" s="562"/>
      <c r="N74" s="1153"/>
      <c r="O74" s="1153"/>
      <c r="P74" s="2684"/>
      <c r="Q74" s="558"/>
    </row>
    <row r="75" spans="1:17" s="470" customFormat="1" ht="15.75" thickTop="1">
      <c r="A75" s="552"/>
      <c r="B75" s="545">
        <f>B14</f>
        <v>111</v>
      </c>
      <c r="C75" s="522"/>
      <c r="D75" s="522"/>
      <c r="E75" s="522"/>
      <c r="F75" s="522"/>
      <c r="G75" s="522"/>
      <c r="H75" s="563"/>
      <c r="I75" s="563"/>
      <c r="J75" s="563"/>
      <c r="K75" s="563"/>
      <c r="L75" s="564"/>
      <c r="M75" s="565"/>
      <c r="N75" s="1153"/>
      <c r="O75" s="1153"/>
      <c r="P75" s="2686"/>
      <c r="Q75" s="558"/>
    </row>
    <row r="76" spans="1:17" s="470" customFormat="1" ht="15.75" thickBot="1">
      <c r="A76" s="567"/>
      <c r="B76" s="568"/>
      <c r="C76" s="569"/>
      <c r="D76" s="569"/>
      <c r="E76" s="569"/>
      <c r="F76" s="569"/>
      <c r="G76" s="569"/>
      <c r="H76" s="570"/>
      <c r="I76" s="570"/>
      <c r="J76" s="570"/>
      <c r="K76" s="570"/>
      <c r="L76" s="570"/>
      <c r="M76" s="571"/>
      <c r="N76" s="1153"/>
      <c r="O76" s="1153"/>
      <c r="P76" s="2684"/>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1"/>
      <c r="O77" s="1151"/>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1"/>
      <c r="O79" s="1151"/>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1"/>
      <c r="O81" s="1151"/>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75" thickTop="1">
      <c r="A83" s="533"/>
      <c r="B83" s="545" t="s">
        <v>2686</v>
      </c>
      <c r="C83" s="659" t="s">
        <v>2672</v>
      </c>
      <c r="D83" s="659" t="s">
        <v>2673</v>
      </c>
      <c r="E83" s="659" t="s">
        <v>2674</v>
      </c>
      <c r="F83" s="659" t="s">
        <v>2675</v>
      </c>
      <c r="G83" s="659" t="s">
        <v>2676</v>
      </c>
      <c r="H83" s="538"/>
      <c r="I83" s="538"/>
      <c r="J83" s="538"/>
      <c r="K83" s="538"/>
      <c r="L83" s="538"/>
      <c r="M83" s="1381"/>
      <c r="N83" s="1152"/>
      <c r="O83" s="1152"/>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1"/>
      <c r="O85" s="1151"/>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7.75" thickTop="1">
      <c r="A87" s="578"/>
      <c r="B87" s="537" t="s">
        <v>2696</v>
      </c>
      <c r="C87" s="553"/>
      <c r="D87" s="553"/>
      <c r="E87" s="553"/>
      <c r="F87" s="553"/>
      <c r="G87" s="553"/>
      <c r="H87" s="553"/>
      <c r="I87" s="553"/>
      <c r="J87" s="553"/>
      <c r="K87" s="553"/>
      <c r="L87" s="579"/>
      <c r="M87" s="580"/>
      <c r="N87" s="1150"/>
      <c r="O87" s="1150"/>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5.75"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5.75" thickTop="1">
      <c r="A93" s="533"/>
      <c r="B93" s="537">
        <f>B29</f>
        <v>111</v>
      </c>
      <c r="C93" s="553"/>
      <c r="D93" s="553"/>
      <c r="E93" s="553"/>
      <c r="F93" s="553"/>
      <c r="G93" s="553"/>
      <c r="H93" s="553"/>
      <c r="I93" s="553"/>
      <c r="J93" s="553"/>
      <c r="K93" s="553"/>
      <c r="L93" s="579"/>
      <c r="M93" s="580"/>
      <c r="N93" s="1151"/>
      <c r="O93" s="1151"/>
      <c r="P93" s="2683"/>
      <c r="Q93" s="503"/>
    </row>
    <row r="94" spans="1:17" ht="15.75" thickBot="1">
      <c r="A94" s="533"/>
      <c r="B94" s="542"/>
      <c r="C94" s="559"/>
      <c r="D94" s="535"/>
      <c r="E94" s="535"/>
      <c r="F94" s="535"/>
      <c r="G94" s="535"/>
      <c r="H94" s="535"/>
      <c r="I94" s="535"/>
      <c r="J94" s="535"/>
      <c r="K94" s="535"/>
      <c r="L94" s="535"/>
      <c r="M94" s="536"/>
      <c r="N94" s="1152"/>
      <c r="O94" s="1152"/>
      <c r="P94" s="2683"/>
      <c r="Q94" s="503"/>
    </row>
    <row r="95" spans="1:17" ht="15.75" thickTop="1">
      <c r="A95" s="533"/>
      <c r="B95" s="537">
        <f>B30</f>
        <v>111</v>
      </c>
      <c r="C95" s="553"/>
      <c r="D95" s="553"/>
      <c r="E95" s="553"/>
      <c r="F95" s="553"/>
      <c r="G95" s="582"/>
      <c r="H95" s="582"/>
      <c r="I95" s="582"/>
      <c r="J95" s="582"/>
      <c r="K95" s="583"/>
      <c r="L95" s="584"/>
      <c r="M95" s="585"/>
      <c r="N95" s="1151"/>
      <c r="O95" s="1151"/>
      <c r="P95" s="2683"/>
      <c r="Q95" s="503"/>
    </row>
    <row r="96" spans="1:17" ht="15.75" thickBot="1">
      <c r="A96" s="533"/>
      <c r="B96" s="542"/>
      <c r="C96" s="559"/>
      <c r="D96" s="559"/>
      <c r="E96" s="559"/>
      <c r="F96" s="559"/>
      <c r="G96" s="535"/>
      <c r="H96" s="535"/>
      <c r="I96" s="535"/>
      <c r="J96" s="535"/>
      <c r="K96" s="535"/>
      <c r="L96" s="535"/>
      <c r="M96" s="536"/>
      <c r="N96" s="1152"/>
      <c r="O96" s="1152"/>
      <c r="P96" s="2683"/>
      <c r="Q96" s="503"/>
    </row>
    <row r="97" spans="1:17" ht="15.75" thickTop="1">
      <c r="A97" s="533"/>
      <c r="B97" s="537">
        <f>B31</f>
        <v>111</v>
      </c>
      <c r="C97" s="553"/>
      <c r="D97" s="553"/>
      <c r="E97" s="553"/>
      <c r="F97" s="553"/>
      <c r="G97" s="582"/>
      <c r="H97" s="582"/>
      <c r="I97" s="582"/>
      <c r="J97" s="582"/>
      <c r="K97" s="583"/>
      <c r="L97" s="584"/>
      <c r="M97" s="585"/>
      <c r="N97" s="1151"/>
      <c r="O97" s="1151"/>
      <c r="P97" s="2683"/>
      <c r="Q97" s="503"/>
    </row>
    <row r="98" spans="1:17" ht="15.75" thickBot="1">
      <c r="A98" s="533"/>
      <c r="B98" s="542"/>
      <c r="C98" s="559"/>
      <c r="D98" s="535"/>
      <c r="E98" s="535"/>
      <c r="F98" s="535"/>
      <c r="G98" s="535"/>
      <c r="H98" s="535"/>
      <c r="I98" s="535"/>
      <c r="J98" s="535"/>
      <c r="K98" s="535"/>
      <c r="L98" s="535"/>
      <c r="M98" s="536"/>
      <c r="N98" s="1152"/>
      <c r="O98" s="1152"/>
      <c r="P98" s="2683"/>
      <c r="Q98" s="503"/>
    </row>
    <row r="99" spans="1:17" ht="15.75" thickTop="1">
      <c r="A99" s="533"/>
      <c r="B99" s="545">
        <f>B32</f>
        <v>111</v>
      </c>
      <c r="C99" s="522"/>
      <c r="D99" s="522"/>
      <c r="E99" s="522"/>
      <c r="F99" s="522"/>
      <c r="G99" s="586"/>
      <c r="H99" s="586"/>
      <c r="I99" s="586"/>
      <c r="J99" s="586"/>
      <c r="K99" s="587"/>
      <c r="L99" s="588"/>
      <c r="M99" s="589"/>
      <c r="N99" s="1151"/>
      <c r="O99" s="1151"/>
      <c r="P99" s="2683"/>
      <c r="Q99" s="503"/>
    </row>
    <row r="100" spans="1:17" ht="15.75" thickBot="1">
      <c r="A100" s="2635"/>
      <c r="B100" s="568"/>
      <c r="C100" s="569"/>
      <c r="D100" s="569"/>
      <c r="E100" s="569"/>
      <c r="F100" s="569"/>
      <c r="G100" s="590"/>
      <c r="H100" s="590"/>
      <c r="I100" s="590"/>
      <c r="J100" s="590"/>
      <c r="K100" s="590"/>
      <c r="L100" s="590"/>
      <c r="M100" s="591"/>
      <c r="N100" s="1152"/>
      <c r="O100" s="1152"/>
      <c r="P100" s="2683"/>
      <c r="Q100" s="503"/>
    </row>
    <row r="101" spans="1:17">
      <c r="A101" s="526" t="s">
        <v>2560</v>
      </c>
      <c r="B101" s="527" t="s">
        <v>2609</v>
      </c>
      <c r="C101" s="529"/>
      <c r="D101" s="529"/>
      <c r="E101" s="529"/>
      <c r="F101" s="529"/>
      <c r="G101" s="529"/>
      <c r="H101" s="529"/>
      <c r="I101" s="529"/>
      <c r="J101" s="529"/>
      <c r="K101" s="530"/>
      <c r="L101" s="531"/>
      <c r="M101" s="532"/>
      <c r="N101" s="1151"/>
      <c r="O101" s="1151"/>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2611</v>
      </c>
      <c r="C106" s="553"/>
      <c r="D106" s="553"/>
      <c r="E106" s="582"/>
      <c r="F106" s="582"/>
      <c r="G106" s="582"/>
      <c r="H106" s="582"/>
      <c r="I106" s="582"/>
      <c r="J106" s="582"/>
      <c r="K106" s="583"/>
      <c r="L106" s="584"/>
      <c r="M106" s="585"/>
      <c r="N106" s="1151"/>
      <c r="O106" s="1151"/>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2613</v>
      </c>
      <c r="C108" s="553"/>
      <c r="D108" s="553"/>
      <c r="E108" s="553"/>
      <c r="F108" s="582"/>
      <c r="G108" s="582"/>
      <c r="H108" s="582"/>
      <c r="I108" s="582"/>
      <c r="J108" s="582"/>
      <c r="K108" s="583"/>
      <c r="L108" s="584"/>
      <c r="M108" s="585"/>
      <c r="N108" s="1151"/>
      <c r="O108" s="1151"/>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2697</v>
      </c>
      <c r="C113" s="553"/>
      <c r="D113" s="553"/>
      <c r="E113" s="553"/>
      <c r="F113" s="553"/>
      <c r="G113" s="553"/>
      <c r="H113" s="582"/>
      <c r="I113" s="582"/>
      <c r="J113" s="582"/>
      <c r="K113" s="583"/>
      <c r="L113" s="584"/>
      <c r="M113" s="585"/>
      <c r="N113" s="1153"/>
      <c r="O113" s="1153"/>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2614</v>
      </c>
      <c r="C115" s="553"/>
      <c r="D115" s="553"/>
      <c r="E115" s="582"/>
      <c r="F115" s="582"/>
      <c r="G115" s="582"/>
      <c r="H115" s="582"/>
      <c r="I115" s="582"/>
      <c r="J115" s="582"/>
      <c r="K115" s="583"/>
      <c r="L115" s="584"/>
      <c r="M115" s="585"/>
      <c r="N115" s="1151"/>
      <c r="O115" s="1151"/>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2615</v>
      </c>
      <c r="C117" s="553"/>
      <c r="D117" s="553"/>
      <c r="E117" s="553"/>
      <c r="F117" s="553"/>
      <c r="G117" s="553"/>
      <c r="H117" s="582"/>
      <c r="I117" s="582"/>
      <c r="J117" s="582"/>
      <c r="K117" s="583"/>
      <c r="L117" s="584"/>
      <c r="M117" s="585"/>
      <c r="N117" s="1151"/>
      <c r="O117" s="1151"/>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2698</v>
      </c>
      <c r="C119" s="582"/>
      <c r="D119" s="582"/>
      <c r="E119" s="582"/>
      <c r="F119" s="582"/>
      <c r="G119" s="582"/>
      <c r="H119" s="582"/>
      <c r="I119" s="582"/>
      <c r="J119" s="582"/>
      <c r="K119" s="582"/>
      <c r="L119" s="2688"/>
      <c r="M119" s="2689"/>
      <c r="N119" s="1152"/>
      <c r="O119" s="1152"/>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2681</v>
      </c>
      <c r="C121" s="553"/>
      <c r="D121" s="553"/>
      <c r="E121" s="553"/>
      <c r="F121" s="582"/>
      <c r="G121" s="554"/>
      <c r="H121" s="554"/>
      <c r="I121" s="554"/>
      <c r="J121" s="554"/>
      <c r="K121" s="554"/>
      <c r="L121" s="555"/>
      <c r="M121" s="556"/>
      <c r="N121" s="1153"/>
      <c r="O121" s="1153"/>
      <c r="P121" s="2684"/>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2617</v>
      </c>
      <c r="C123" s="553"/>
      <c r="D123" s="553"/>
      <c r="E123" s="553"/>
      <c r="F123" s="582"/>
      <c r="G123" s="582"/>
      <c r="H123" s="582"/>
      <c r="I123" s="582"/>
      <c r="J123" s="582"/>
      <c r="K123" s="583"/>
      <c r="L123" s="584"/>
      <c r="M123" s="585"/>
      <c r="N123" s="1151"/>
      <c r="O123" s="1151"/>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1"/>
      <c r="O125" s="1151"/>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4"/>
      <c r="Q128" s="558"/>
    </row>
    <row r="129" spans="1:17" ht="15" thickTop="1">
      <c r="A129" s="598"/>
      <c r="B129" s="537">
        <f>B46</f>
        <v>111</v>
      </c>
      <c r="C129" s="553"/>
      <c r="D129" s="553"/>
      <c r="E129" s="553"/>
      <c r="F129" s="553"/>
      <c r="G129" s="582"/>
      <c r="H129" s="582"/>
      <c r="I129" s="582"/>
      <c r="J129" s="582"/>
      <c r="K129" s="583"/>
      <c r="L129" s="584"/>
      <c r="M129" s="585"/>
      <c r="N129" s="1151"/>
      <c r="O129" s="1151"/>
      <c r="P129" s="2683"/>
      <c r="Q129" s="503"/>
    </row>
    <row r="130" spans="1:17" ht="15.75" thickBot="1">
      <c r="A130" s="533"/>
      <c r="B130" s="542"/>
      <c r="C130" s="559"/>
      <c r="D130" s="559"/>
      <c r="E130" s="559"/>
      <c r="F130" s="559"/>
      <c r="G130" s="535"/>
      <c r="H130" s="535"/>
      <c r="I130" s="535"/>
      <c r="J130" s="535"/>
      <c r="K130" s="535"/>
      <c r="L130" s="535"/>
      <c r="M130" s="536"/>
      <c r="N130" s="1152"/>
      <c r="O130" s="1152"/>
      <c r="P130" s="2683"/>
      <c r="Q130" s="503"/>
    </row>
    <row r="131" spans="1:17" ht="15" thickTop="1">
      <c r="A131" s="598"/>
      <c r="B131" s="545">
        <f>B47</f>
        <v>111</v>
      </c>
      <c r="C131" s="522"/>
      <c r="D131" s="522"/>
      <c r="E131" s="522"/>
      <c r="F131" s="522"/>
      <c r="G131" s="586"/>
      <c r="H131" s="586"/>
      <c r="I131" s="586"/>
      <c r="J131" s="586"/>
      <c r="K131" s="522"/>
      <c r="L131" s="523"/>
      <c r="M131" s="589"/>
      <c r="N131" s="1151"/>
      <c r="O131" s="1151"/>
      <c r="P131" s="2683"/>
      <c r="Q131" s="503"/>
    </row>
    <row r="132" spans="1:17" ht="15.75"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68" t="s">
        <v>2699</v>
      </c>
      <c r="C1" s="1619" t="s">
        <v>2527</v>
      </c>
      <c r="D1" s="1620"/>
      <c r="E1" s="1629"/>
      <c r="F1" s="2583"/>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IF(C2="——",ROUND(C43*D3/10000,0),ROUND(C43*D3/10000,0)-D2)</f>
        <v>#DIV/0!</v>
      </c>
      <c r="C2" s="2585"/>
      <c r="D2" s="1123" t="e">
        <f ca="1">SUMIF(INDIRECT("'"&amp;F2&amp;"'"&amp;"!A:A"),"承租人权益价值",INDIRECT("'"&amp;F2&amp;"'"&amp;"!c:c"))</f>
        <v>#REF!</v>
      </c>
      <c r="E2" s="2586" t="s">
        <v>2325</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9339.3000000000011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52" t="s">
        <v>2643</v>
      </c>
      <c r="D4" s="3253"/>
      <c r="E4" s="3254" t="s">
        <v>2644</v>
      </c>
      <c r="F4" s="3255"/>
      <c r="G4" s="3252" t="s">
        <v>2645</v>
      </c>
      <c r="H4" s="3253"/>
      <c r="I4" s="3252" t="s">
        <v>2646</v>
      </c>
      <c r="J4" s="3253"/>
      <c r="K4" s="609" t="s">
        <v>2647</v>
      </c>
      <c r="L4" s="1129"/>
      <c r="M4" s="1130"/>
      <c r="N4" s="1130"/>
      <c r="O4" s="1130"/>
      <c r="P4" s="3256" t="s">
        <v>2648</v>
      </c>
      <c r="Q4" s="3257"/>
      <c r="R4" s="3239" t="s">
        <v>2644</v>
      </c>
      <c r="S4" s="3240"/>
      <c r="T4" s="3239" t="s">
        <v>2645</v>
      </c>
      <c r="U4" s="3240"/>
      <c r="V4" s="3264" t="s">
        <v>2646</v>
      </c>
      <c r="W4" s="3264"/>
      <c r="X4" s="1812"/>
      <c r="Y4" s="3239" t="s">
        <v>2648</v>
      </c>
      <c r="Z4" s="3240"/>
      <c r="AA4" s="3234" t="s">
        <v>2644</v>
      </c>
      <c r="AB4" s="3235" t="s">
        <v>2645</v>
      </c>
      <c r="AC4" s="3234" t="s">
        <v>2646</v>
      </c>
    </row>
    <row r="5" spans="1:29" ht="15">
      <c r="A5" s="403"/>
      <c r="B5" s="404"/>
      <c r="C5" s="3245" t="s">
        <v>2539</v>
      </c>
      <c r="D5" s="3246"/>
      <c r="E5" s="3243" t="s">
        <v>2540</v>
      </c>
      <c r="F5" s="3244"/>
      <c r="G5" s="3245" t="s">
        <v>2541</v>
      </c>
      <c r="H5" s="3246"/>
      <c r="I5" s="3245" t="s">
        <v>2542</v>
      </c>
      <c r="J5" s="3246"/>
      <c r="K5" s="609"/>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247" t="s">
        <v>2543</v>
      </c>
      <c r="D6" s="3248"/>
      <c r="E6" s="3249" t="s">
        <v>2543</v>
      </c>
      <c r="F6" s="3250"/>
      <c r="G6" s="3247" t="s">
        <v>2543</v>
      </c>
      <c r="H6" s="3248"/>
      <c r="I6" s="3247" t="s">
        <v>2543</v>
      </c>
      <c r="J6" s="3248"/>
      <c r="K6" s="609" t="s">
        <v>2544</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2545</v>
      </c>
      <c r="B7" s="408"/>
      <c r="C7" s="409">
        <f>'数据-取费表'!B2</f>
        <v>43934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37" t="s">
        <v>2546</v>
      </c>
      <c r="Q7" s="3265"/>
      <c r="R7" s="769" t="s">
        <v>17</v>
      </c>
      <c r="S7" s="770">
        <f t="shared" ref="S7:S15" si="0">F7</f>
        <v>0</v>
      </c>
      <c r="T7" s="769" t="s">
        <v>17</v>
      </c>
      <c r="U7" s="770">
        <f t="shared" ref="U7:U15" si="1">H7</f>
        <v>0</v>
      </c>
      <c r="V7" s="769" t="s">
        <v>17</v>
      </c>
      <c r="W7" s="770">
        <f t="shared" ref="W7:W15" si="2">J7</f>
        <v>0</v>
      </c>
      <c r="X7" s="771"/>
      <c r="Y7" s="3237" t="s">
        <v>2546</v>
      </c>
      <c r="Z7" s="3238"/>
      <c r="AA7" s="772" t="e">
        <f>D7/F7</f>
        <v>#DIV/0!</v>
      </c>
      <c r="AB7" s="772" t="e">
        <f>D7/H7</f>
        <v>#DIV/0!</v>
      </c>
      <c r="AC7" s="772" t="e">
        <f>D7/J7</f>
        <v>#DIV/0!</v>
      </c>
    </row>
    <row r="8" spans="1:29" s="117"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37" t="s">
        <v>2549</v>
      </c>
      <c r="Q8" s="3238"/>
      <c r="R8" s="769" t="s">
        <v>17</v>
      </c>
      <c r="S8" s="770">
        <f t="shared" si="0"/>
        <v>0</v>
      </c>
      <c r="T8" s="769" t="s">
        <v>17</v>
      </c>
      <c r="U8" s="770">
        <f t="shared" si="1"/>
        <v>0</v>
      </c>
      <c r="V8" s="769" t="s">
        <v>17</v>
      </c>
      <c r="W8" s="770">
        <f t="shared" si="2"/>
        <v>0</v>
      </c>
      <c r="X8" s="771"/>
      <c r="Y8" s="3237" t="s">
        <v>2549</v>
      </c>
      <c r="Z8" s="3238"/>
      <c r="AA8" s="772" t="e">
        <f t="shared" ref="AA8:AA40" si="3">D8/F8</f>
        <v>#DIV/0!</v>
      </c>
      <c r="AB8" s="772" t="e">
        <f t="shared" ref="AB8:AB40" si="4">D8/H8</f>
        <v>#DIV/0!</v>
      </c>
      <c r="AC8" s="772" t="e">
        <f t="shared" ref="AC8:AC40" si="5">D8/J8</f>
        <v>#DIV/0!</v>
      </c>
    </row>
    <row r="9" spans="1:29" s="117"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69" t="s">
        <v>2552</v>
      </c>
      <c r="Q9" s="1794" t="str">
        <f t="shared" ref="Q9:Q15" si="6">B9</f>
        <v>用途</v>
      </c>
      <c r="R9" s="769" t="s">
        <v>17</v>
      </c>
      <c r="S9" s="770">
        <f t="shared" si="0"/>
        <v>100</v>
      </c>
      <c r="T9" s="769" t="s">
        <v>17</v>
      </c>
      <c r="U9" s="770">
        <f t="shared" si="1"/>
        <v>100</v>
      </c>
      <c r="V9" s="769" t="s">
        <v>17</v>
      </c>
      <c r="W9" s="770">
        <f t="shared" si="2"/>
        <v>100</v>
      </c>
      <c r="X9" s="771"/>
      <c r="Y9" s="3084"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69"/>
      <c r="Q10" s="1794"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69"/>
      <c r="Q11" s="1794"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269"/>
      <c r="Q12" s="1794">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269"/>
      <c r="Q13" s="1794">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269"/>
      <c r="Q14" s="1794">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772">
        <f t="shared" si="5"/>
        <v>1</v>
      </c>
    </row>
    <row r="15" spans="1:29" ht="57">
      <c r="A15" s="439" t="s">
        <v>2556</v>
      </c>
      <c r="B15" s="69" t="s">
        <v>2700</v>
      </c>
      <c r="C15" s="2692" t="str">
        <f>估价对象房地状况!G3</f>
        <v>估价对象位于昌平区回龙观镇二拨子村北，周边有二拨子工业园、北京龙祥制版集团工业园等，产业集聚程度一般。</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71" t="s">
        <v>2557</v>
      </c>
      <c r="Q15" s="1809" t="str">
        <f t="shared" si="6"/>
        <v>产业集聚程度</v>
      </c>
      <c r="R15" s="773" t="s">
        <v>17</v>
      </c>
      <c r="S15" s="774">
        <f t="shared" si="0"/>
        <v>100</v>
      </c>
      <c r="T15" s="773" t="s">
        <v>17</v>
      </c>
      <c r="U15" s="774">
        <f t="shared" si="1"/>
        <v>100</v>
      </c>
      <c r="V15" s="773" t="s">
        <v>17</v>
      </c>
      <c r="W15" s="774">
        <f t="shared" si="2"/>
        <v>100</v>
      </c>
      <c r="X15" s="1812"/>
      <c r="Y15" s="3271" t="s">
        <v>2557</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72"/>
      <c r="Q16" s="1809"/>
      <c r="R16" s="773"/>
      <c r="S16" s="774"/>
      <c r="T16" s="773"/>
      <c r="U16" s="774"/>
      <c r="V16" s="773"/>
      <c r="W16" s="774"/>
      <c r="X16" s="1812"/>
      <c r="Y16" s="3272"/>
      <c r="Z16" s="1813"/>
      <c r="AA16" s="1810">
        <v>1</v>
      </c>
      <c r="AB16" s="1810">
        <v>1</v>
      </c>
      <c r="AC16" s="1810">
        <v>1</v>
      </c>
    </row>
    <row r="17" spans="1:29" ht="85.5">
      <c r="A17" s="427"/>
      <c r="B17" s="450" t="s">
        <v>2093</v>
      </c>
      <c r="C17" s="2606" t="str">
        <f>估价对象房地状况!G4</f>
        <v>估价对象位于昌平区回龙观镇二拨子村北，紧邻城市高速路—京藏高速路，周边路网密集度较好，行车出入便捷度较好。周边1公里范围内有345路、625路、专121路等公交线路，公交便捷度较好，周边2公里范围内有地铁8号线、13号线、昌平线。综上分析，估价对象所在区位整体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72"/>
      <c r="Q17" s="1809" t="str">
        <f>B17</f>
        <v>交通便捷度</v>
      </c>
      <c r="R17" s="773" t="s">
        <v>17</v>
      </c>
      <c r="S17" s="774">
        <f>F17</f>
        <v>100</v>
      </c>
      <c r="T17" s="773" t="s">
        <v>17</v>
      </c>
      <c r="U17" s="774">
        <f>H17</f>
        <v>100</v>
      </c>
      <c r="V17" s="773" t="s">
        <v>17</v>
      </c>
      <c r="W17" s="774">
        <f>J17</f>
        <v>100</v>
      </c>
      <c r="X17" s="1812"/>
      <c r="Y17" s="3272"/>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272"/>
      <c r="Q18" s="1809"/>
      <c r="R18" s="773"/>
      <c r="S18" s="774"/>
      <c r="T18" s="773"/>
      <c r="U18" s="774"/>
      <c r="V18" s="773"/>
      <c r="W18" s="774"/>
      <c r="X18" s="1812"/>
      <c r="Y18" s="3272"/>
      <c r="Z18" s="1813"/>
      <c r="AA18" s="1810">
        <v>1</v>
      </c>
      <c r="AB18" s="1810">
        <v>1</v>
      </c>
      <c r="AC18" s="1810">
        <v>1</v>
      </c>
    </row>
    <row r="19" spans="1:29" ht="42.75">
      <c r="A19" s="427"/>
      <c r="B19" s="450" t="s">
        <v>2685</v>
      </c>
      <c r="C19" s="2606" t="str">
        <f>估价对象房地状况!G5</f>
        <v>周边2公里内的公共服务配套设施齐备度一般，有购物场所（京客隆超市）、学校（华北电力大学、回龙观中心小学）、银行（北京农商银行、中国工商银行）、医院（回龙观社区卫生服务中心）、餐饮等公共服务配套设施。</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72"/>
      <c r="Q19" s="1809" t="str">
        <f>B19</f>
        <v>公共配套设施</v>
      </c>
      <c r="R19" s="773" t="s">
        <v>17</v>
      </c>
      <c r="S19" s="774">
        <f>F19</f>
        <v>100</v>
      </c>
      <c r="T19" s="773" t="s">
        <v>17</v>
      </c>
      <c r="U19" s="774">
        <f>H19</f>
        <v>100</v>
      </c>
      <c r="V19" s="773" t="s">
        <v>17</v>
      </c>
      <c r="W19" s="774">
        <f>J19</f>
        <v>100</v>
      </c>
      <c r="X19" s="1812"/>
      <c r="Y19" s="3272"/>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272"/>
      <c r="Q20" s="1809"/>
      <c r="R20" s="773"/>
      <c r="S20" s="774"/>
      <c r="T20" s="773"/>
      <c r="U20" s="774"/>
      <c r="V20" s="773"/>
      <c r="W20" s="774"/>
      <c r="X20" s="1812"/>
      <c r="Y20" s="3272"/>
      <c r="Z20" s="1813"/>
      <c r="AA20" s="1810">
        <v>1</v>
      </c>
      <c r="AB20" s="1810">
        <v>1</v>
      </c>
      <c r="AC20" s="1810">
        <v>1</v>
      </c>
    </row>
    <row r="21" spans="1:29" ht="28.5">
      <c r="A21" s="427"/>
      <c r="B21" s="1383" t="s">
        <v>2686</v>
      </c>
      <c r="C21" s="2606" t="str">
        <f>估价对象房地状况!G6</f>
        <v>估价对象所在区域基础设施水平-七通</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72"/>
      <c r="Q21" s="1809" t="str">
        <f>B21</f>
        <v>基础设施水平</v>
      </c>
      <c r="R21" s="773" t="s">
        <v>17</v>
      </c>
      <c r="S21" s="774">
        <f>F21</f>
        <v>100</v>
      </c>
      <c r="T21" s="773" t="s">
        <v>17</v>
      </c>
      <c r="U21" s="774">
        <f>H21</f>
        <v>100</v>
      </c>
      <c r="V21" s="773" t="s">
        <v>17</v>
      </c>
      <c r="W21" s="774">
        <f>J21</f>
        <v>100</v>
      </c>
      <c r="X21" s="1812"/>
      <c r="Y21" s="3272"/>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272"/>
      <c r="Q22" s="1809"/>
      <c r="R22" s="773"/>
      <c r="S22" s="774"/>
      <c r="T22" s="773"/>
      <c r="U22" s="774"/>
      <c r="V22" s="773"/>
      <c r="W22" s="774"/>
      <c r="X22" s="1812"/>
      <c r="Y22" s="3272"/>
      <c r="Z22" s="1813"/>
      <c r="AA22" s="1810">
        <v>1</v>
      </c>
      <c r="AB22" s="1810">
        <v>1</v>
      </c>
      <c r="AC22" s="1810">
        <v>1</v>
      </c>
    </row>
    <row r="23" spans="1:29" ht="71.25">
      <c r="A23" s="427"/>
      <c r="B23" s="450" t="s">
        <v>2687</v>
      </c>
      <c r="C23" s="2606" t="str">
        <f>估价对象房地状况!G7</f>
        <v>估价对象周边自然环境较好；周边无污染型企业，绿化较好，卫生条件良好，整体环境状况较好。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72"/>
      <c r="Q23" s="1809" t="str">
        <f>B23</f>
        <v>环境质量</v>
      </c>
      <c r="R23" s="773" t="s">
        <v>17</v>
      </c>
      <c r="S23" s="774">
        <f>F23</f>
        <v>100</v>
      </c>
      <c r="T23" s="773" t="s">
        <v>17</v>
      </c>
      <c r="U23" s="774">
        <f>H23</f>
        <v>100</v>
      </c>
      <c r="V23" s="773" t="s">
        <v>17</v>
      </c>
      <c r="W23" s="774">
        <f>J23</f>
        <v>100</v>
      </c>
      <c r="X23" s="1812"/>
      <c r="Y23" s="3272"/>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272"/>
      <c r="Q24" s="1809"/>
      <c r="R24" s="773"/>
      <c r="S24" s="774"/>
      <c r="T24" s="773"/>
      <c r="U24" s="774"/>
      <c r="V24" s="773"/>
      <c r="W24" s="774"/>
      <c r="X24" s="1812"/>
      <c r="Y24" s="327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72"/>
      <c r="Q25" s="1809">
        <f>B25</f>
        <v>111</v>
      </c>
      <c r="R25" s="773" t="s">
        <v>17</v>
      </c>
      <c r="S25" s="774">
        <f>F25</f>
        <v>100</v>
      </c>
      <c r="T25" s="773" t="s">
        <v>17</v>
      </c>
      <c r="U25" s="774">
        <f>H25</f>
        <v>100</v>
      </c>
      <c r="V25" s="773" t="s">
        <v>17</v>
      </c>
      <c r="W25" s="774">
        <f>J25</f>
        <v>100</v>
      </c>
      <c r="X25" s="1812"/>
      <c r="Y25" s="327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72"/>
      <c r="Q26" s="1809">
        <f t="shared" ref="Q26:Q40" si="11">B26</f>
        <v>111</v>
      </c>
      <c r="R26" s="773" t="s">
        <v>17</v>
      </c>
      <c r="S26" s="774">
        <f>F26</f>
        <v>100</v>
      </c>
      <c r="T26" s="773" t="s">
        <v>17</v>
      </c>
      <c r="U26" s="774">
        <f>H26</f>
        <v>100</v>
      </c>
      <c r="V26" s="773" t="s">
        <v>17</v>
      </c>
      <c r="W26" s="774">
        <f>J26</f>
        <v>100</v>
      </c>
      <c r="X26" s="1812"/>
      <c r="Y26" s="3272"/>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72"/>
      <c r="Q27" s="1794">
        <f t="shared" si="11"/>
        <v>111</v>
      </c>
      <c r="R27" s="769" t="s">
        <v>17</v>
      </c>
      <c r="S27" s="770">
        <f>F27</f>
        <v>100</v>
      </c>
      <c r="T27" s="769" t="s">
        <v>17</v>
      </c>
      <c r="U27" s="770">
        <f>H27</f>
        <v>100</v>
      </c>
      <c r="V27" s="769" t="s">
        <v>17</v>
      </c>
      <c r="W27" s="770">
        <f>J27</f>
        <v>100</v>
      </c>
      <c r="X27" s="771"/>
      <c r="Y27" s="3272"/>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72"/>
      <c r="Q28" s="1809">
        <f t="shared" si="11"/>
        <v>111</v>
      </c>
      <c r="R28" s="773" t="s">
        <v>17</v>
      </c>
      <c r="S28" s="774">
        <f t="shared" ref="S28:S40" si="12">F28</f>
        <v>100</v>
      </c>
      <c r="T28" s="773" t="s">
        <v>17</v>
      </c>
      <c r="U28" s="774">
        <f t="shared" ref="U28:U40" si="13">H28</f>
        <v>100</v>
      </c>
      <c r="V28" s="773" t="s">
        <v>17</v>
      </c>
      <c r="W28" s="774">
        <f t="shared" ref="W28:W40" si="14">J28</f>
        <v>100</v>
      </c>
      <c r="X28" s="1812"/>
      <c r="Y28" s="3272"/>
      <c r="Z28" s="1813">
        <f t="shared" ref="Z28:Z40" si="15">Q28</f>
        <v>111</v>
      </c>
      <c r="AA28" s="1810">
        <f t="shared" si="3"/>
        <v>1</v>
      </c>
      <c r="AB28" s="1810">
        <f t="shared" si="4"/>
        <v>1</v>
      </c>
      <c r="AC28" s="1810">
        <f t="shared" si="5"/>
        <v>1</v>
      </c>
    </row>
    <row r="29" spans="1:29" ht="28.5">
      <c r="A29" s="465" t="s">
        <v>2560</v>
      </c>
      <c r="B29" s="71" t="s">
        <v>2690</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95" t="s">
        <v>2562</v>
      </c>
      <c r="Q29" s="1809" t="str">
        <f t="shared" si="11"/>
        <v>建筑类型</v>
      </c>
      <c r="R29" s="773" t="s">
        <v>17</v>
      </c>
      <c r="S29" s="774">
        <f t="shared" si="12"/>
        <v>100</v>
      </c>
      <c r="T29" s="773" t="s">
        <v>17</v>
      </c>
      <c r="U29" s="774">
        <f t="shared" si="13"/>
        <v>100</v>
      </c>
      <c r="V29" s="773" t="s">
        <v>17</v>
      </c>
      <c r="W29" s="774">
        <f t="shared" si="14"/>
        <v>100</v>
      </c>
      <c r="X29" s="1812"/>
      <c r="Y29" s="3276" t="s">
        <v>2562</v>
      </c>
      <c r="Z29" s="1813" t="str">
        <f t="shared" si="15"/>
        <v>建筑类型</v>
      </c>
      <c r="AA29" s="1810">
        <f t="shared" si="3"/>
        <v>1</v>
      </c>
      <c r="AB29" s="1810">
        <f t="shared" si="4"/>
        <v>1</v>
      </c>
      <c r="AC29" s="1810">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76"/>
      <c r="Q30" s="775" t="str">
        <f t="shared" si="11"/>
        <v>项目建筑规模</v>
      </c>
      <c r="R30" s="776" t="s">
        <v>17</v>
      </c>
      <c r="S30" s="777" t="e">
        <f t="shared" si="12"/>
        <v>#N/A</v>
      </c>
      <c r="T30" s="776" t="s">
        <v>17</v>
      </c>
      <c r="U30" s="777" t="e">
        <f t="shared" si="13"/>
        <v>#N/A</v>
      </c>
      <c r="V30" s="776" t="s">
        <v>17</v>
      </c>
      <c r="W30" s="777" t="e">
        <f t="shared" si="14"/>
        <v>#N/A</v>
      </c>
      <c r="X30" s="778"/>
      <c r="Y30" s="3276"/>
      <c r="Z30" s="779" t="str">
        <f t="shared" si="15"/>
        <v>项目建筑规模</v>
      </c>
      <c r="AA30" s="1810" t="e">
        <f t="shared" si="3"/>
        <v>#N/A</v>
      </c>
      <c r="AB30" s="1810" t="e">
        <f t="shared" si="4"/>
        <v>#N/A</v>
      </c>
      <c r="AC30" s="1810"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76"/>
      <c r="Q31" s="1809" t="str">
        <f t="shared" si="11"/>
        <v>建筑结构</v>
      </c>
      <c r="R31" s="773" t="s">
        <v>17</v>
      </c>
      <c r="S31" s="774">
        <f t="shared" si="12"/>
        <v>100</v>
      </c>
      <c r="T31" s="773" t="s">
        <v>17</v>
      </c>
      <c r="U31" s="774">
        <f t="shared" si="13"/>
        <v>100</v>
      </c>
      <c r="V31" s="773" t="s">
        <v>17</v>
      </c>
      <c r="W31" s="774">
        <f t="shared" si="14"/>
        <v>100</v>
      </c>
      <c r="X31" s="1812"/>
      <c r="Y31" s="3276"/>
      <c r="Z31" s="1813" t="str">
        <f t="shared" si="15"/>
        <v>建筑结构</v>
      </c>
      <c r="AA31" s="1810">
        <f t="shared" si="3"/>
        <v>1</v>
      </c>
      <c r="AB31" s="1810">
        <f t="shared" si="4"/>
        <v>1</v>
      </c>
      <c r="AC31" s="1810">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76"/>
      <c r="Q32" s="1809" t="str">
        <f t="shared" si="11"/>
        <v>公共部分装修</v>
      </c>
      <c r="R32" s="773" t="s">
        <v>17</v>
      </c>
      <c r="S32" s="774">
        <f t="shared" si="12"/>
        <v>100</v>
      </c>
      <c r="T32" s="773" t="s">
        <v>17</v>
      </c>
      <c r="U32" s="774">
        <f t="shared" si="13"/>
        <v>100</v>
      </c>
      <c r="V32" s="773" t="s">
        <v>17</v>
      </c>
      <c r="W32" s="774">
        <f t="shared" si="14"/>
        <v>100</v>
      </c>
      <c r="X32" s="1812"/>
      <c r="Y32" s="3276"/>
      <c r="Z32" s="1813" t="str">
        <f t="shared" si="15"/>
        <v>公共部分装修</v>
      </c>
      <c r="AA32" s="1810">
        <f t="shared" si="3"/>
        <v>1</v>
      </c>
      <c r="AB32" s="1810">
        <f t="shared" si="4"/>
        <v>1</v>
      </c>
      <c r="AC32" s="1810">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76"/>
      <c r="Q33" s="1809" t="str">
        <f t="shared" si="11"/>
        <v>成新度</v>
      </c>
      <c r="R33" s="773" t="s">
        <v>17</v>
      </c>
      <c r="S33" s="774" t="e">
        <f t="shared" si="12"/>
        <v>#N/A</v>
      </c>
      <c r="T33" s="773" t="s">
        <v>17</v>
      </c>
      <c r="U33" s="774" t="e">
        <f t="shared" si="13"/>
        <v>#N/A</v>
      </c>
      <c r="V33" s="773" t="s">
        <v>17</v>
      </c>
      <c r="W33" s="774" t="e">
        <f t="shared" si="14"/>
        <v>#N/A</v>
      </c>
      <c r="X33" s="1812"/>
      <c r="Y33" s="3276"/>
      <c r="Z33" s="1813" t="str">
        <f t="shared" si="15"/>
        <v>成新度</v>
      </c>
      <c r="AA33" s="1810" t="e">
        <f t="shared" si="3"/>
        <v>#N/A</v>
      </c>
      <c r="AB33" s="1810" t="e">
        <f t="shared" si="4"/>
        <v>#N/A</v>
      </c>
      <c r="AC33" s="1810" t="e">
        <f t="shared" si="5"/>
        <v>#N/A</v>
      </c>
    </row>
    <row r="34" spans="1:29" s="117"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76"/>
      <c r="Q34" s="1794" t="str">
        <f t="shared" si="11"/>
        <v>物业管理</v>
      </c>
      <c r="R34" s="769" t="s">
        <v>17</v>
      </c>
      <c r="S34" s="770">
        <f t="shared" si="12"/>
        <v>100</v>
      </c>
      <c r="T34" s="769" t="s">
        <v>17</v>
      </c>
      <c r="U34" s="770">
        <f t="shared" si="13"/>
        <v>100</v>
      </c>
      <c r="V34" s="769" t="s">
        <v>17</v>
      </c>
      <c r="W34" s="770">
        <f t="shared" si="14"/>
        <v>100</v>
      </c>
      <c r="X34" s="771"/>
      <c r="Y34" s="3276"/>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76" t="s">
        <v>2562</v>
      </c>
      <c r="Q35" s="1809" t="str">
        <f t="shared" si="11"/>
        <v>市政基础设施</v>
      </c>
      <c r="R35" s="773" t="s">
        <v>17</v>
      </c>
      <c r="S35" s="774">
        <f t="shared" si="12"/>
        <v>100</v>
      </c>
      <c r="T35" s="773" t="s">
        <v>17</v>
      </c>
      <c r="U35" s="774">
        <f t="shared" si="13"/>
        <v>100</v>
      </c>
      <c r="V35" s="773" t="s">
        <v>17</v>
      </c>
      <c r="W35" s="774">
        <f t="shared" si="14"/>
        <v>100</v>
      </c>
      <c r="X35" s="1812"/>
      <c r="Y35" s="3276" t="s">
        <v>2562</v>
      </c>
      <c r="Z35" s="1813" t="str">
        <f t="shared" si="15"/>
        <v>市政基础设施</v>
      </c>
      <c r="AA35" s="1810">
        <f t="shared" si="3"/>
        <v>1</v>
      </c>
      <c r="AB35" s="1810">
        <f t="shared" si="4"/>
        <v>1</v>
      </c>
      <c r="AC35" s="1810">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76"/>
      <c r="Q36" s="1809" t="str">
        <f t="shared" si="11"/>
        <v>内部装修</v>
      </c>
      <c r="R36" s="773" t="s">
        <v>17</v>
      </c>
      <c r="S36" s="774">
        <f t="shared" si="12"/>
        <v>100</v>
      </c>
      <c r="T36" s="773" t="s">
        <v>17</v>
      </c>
      <c r="U36" s="774">
        <f t="shared" si="13"/>
        <v>100</v>
      </c>
      <c r="V36" s="773" t="s">
        <v>17</v>
      </c>
      <c r="W36" s="774">
        <f t="shared" si="14"/>
        <v>100</v>
      </c>
      <c r="X36" s="1812"/>
      <c r="Y36" s="3276"/>
      <c r="Z36" s="1813" t="str">
        <f t="shared" si="15"/>
        <v>内部装修</v>
      </c>
      <c r="AA36" s="1810">
        <f t="shared" si="3"/>
        <v>1</v>
      </c>
      <c r="AB36" s="1810">
        <f t="shared" si="4"/>
        <v>1</v>
      </c>
      <c r="AC36" s="1810">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76"/>
      <c r="Q37" s="1809" t="str">
        <f t="shared" si="11"/>
        <v>内部装修状况</v>
      </c>
      <c r="R37" s="773" t="s">
        <v>17</v>
      </c>
      <c r="S37" s="774">
        <f t="shared" si="12"/>
        <v>100</v>
      </c>
      <c r="T37" s="773" t="s">
        <v>17</v>
      </c>
      <c r="U37" s="774">
        <f t="shared" si="13"/>
        <v>100</v>
      </c>
      <c r="V37" s="773" t="s">
        <v>17</v>
      </c>
      <c r="W37" s="774">
        <f t="shared" si="14"/>
        <v>100</v>
      </c>
      <c r="X37" s="1812"/>
      <c r="Y37" s="327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76"/>
      <c r="Q38" s="775">
        <f t="shared" si="11"/>
        <v>111</v>
      </c>
      <c r="R38" s="776" t="s">
        <v>17</v>
      </c>
      <c r="S38" s="777">
        <f t="shared" si="12"/>
        <v>100</v>
      </c>
      <c r="T38" s="776" t="s">
        <v>17</v>
      </c>
      <c r="U38" s="777">
        <f t="shared" si="13"/>
        <v>100</v>
      </c>
      <c r="V38" s="776" t="s">
        <v>17</v>
      </c>
      <c r="W38" s="777">
        <f t="shared" si="14"/>
        <v>100</v>
      </c>
      <c r="X38" s="778"/>
      <c r="Y38" s="327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76"/>
      <c r="Q39" s="1809">
        <f t="shared" si="11"/>
        <v>111</v>
      </c>
      <c r="R39" s="773" t="s">
        <v>17</v>
      </c>
      <c r="S39" s="774">
        <f t="shared" si="12"/>
        <v>100</v>
      </c>
      <c r="T39" s="773" t="s">
        <v>17</v>
      </c>
      <c r="U39" s="774">
        <f t="shared" si="13"/>
        <v>100</v>
      </c>
      <c r="V39" s="773" t="s">
        <v>17</v>
      </c>
      <c r="W39" s="774">
        <f t="shared" si="14"/>
        <v>100</v>
      </c>
      <c r="X39" s="1812"/>
      <c r="Y39" s="3276"/>
      <c r="Z39" s="1813">
        <f t="shared" si="15"/>
        <v>111</v>
      </c>
      <c r="AA39" s="1810">
        <f t="shared" si="3"/>
        <v>1</v>
      </c>
      <c r="AB39" s="1810">
        <f t="shared" si="4"/>
        <v>1</v>
      </c>
      <c r="AC39" s="1810">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77"/>
      <c r="Q40" s="1809">
        <f t="shared" si="11"/>
        <v>111</v>
      </c>
      <c r="R40" s="773" t="s">
        <v>17</v>
      </c>
      <c r="S40" s="774">
        <f t="shared" si="12"/>
        <v>100</v>
      </c>
      <c r="T40" s="773" t="s">
        <v>17</v>
      </c>
      <c r="U40" s="774">
        <f t="shared" si="13"/>
        <v>100</v>
      </c>
      <c r="V40" s="773" t="s">
        <v>17</v>
      </c>
      <c r="W40" s="774">
        <f t="shared" si="14"/>
        <v>100</v>
      </c>
      <c r="X40" s="1812"/>
      <c r="Y40" s="3277"/>
      <c r="Z40" s="1813">
        <f t="shared" si="15"/>
        <v>111</v>
      </c>
      <c r="AA40" s="1810">
        <f t="shared" si="3"/>
        <v>1</v>
      </c>
      <c r="AB40" s="1810">
        <f t="shared" si="4"/>
        <v>1</v>
      </c>
      <c r="AC40" s="1810">
        <f t="shared" si="5"/>
        <v>1</v>
      </c>
    </row>
    <row r="41" spans="1:29" ht="15">
      <c r="A41" s="478" t="s">
        <v>2574</v>
      </c>
      <c r="B41" s="479"/>
      <c r="C41" s="1406" t="s">
        <v>1</v>
      </c>
      <c r="D41" s="1407"/>
      <c r="E41" s="1408"/>
      <c r="F41" s="1409"/>
      <c r="G41" s="1410"/>
      <c r="H41" s="1411"/>
      <c r="I41" s="1408"/>
      <c r="J41" s="1411"/>
      <c r="K41" s="782"/>
      <c r="L41" s="1142"/>
      <c r="M41" s="1143"/>
      <c r="N41" s="1130"/>
      <c r="O41" s="1143"/>
      <c r="P41" s="3269" t="str">
        <f>A41</f>
        <v>成交单价（元/平方米）</v>
      </c>
      <c r="Q41" s="3269"/>
      <c r="R41" s="3270">
        <f>E41</f>
        <v>0</v>
      </c>
      <c r="S41" s="3270"/>
      <c r="T41" s="3270">
        <f>G41</f>
        <v>0</v>
      </c>
      <c r="U41" s="3270"/>
      <c r="V41" s="3270">
        <f>I41</f>
        <v>0</v>
      </c>
      <c r="W41" s="3270"/>
      <c r="X41" s="758"/>
      <c r="Y41" s="780"/>
      <c r="Z41" s="758"/>
      <c r="AA41" s="758"/>
      <c r="AB41" s="758"/>
      <c r="AC41" s="758"/>
    </row>
    <row r="42" spans="1:29" ht="15.75" thickBot="1">
      <c r="A42" s="485" t="s">
        <v>2666</v>
      </c>
      <c r="B42" s="486"/>
      <c r="C42" s="1412" t="e">
        <f>R43</f>
        <v>#DIV/0!</v>
      </c>
      <c r="D42" s="1413"/>
      <c r="E42" s="1414" t="e">
        <f>R42</f>
        <v>#DIV/0!</v>
      </c>
      <c r="F42" s="1414"/>
      <c r="G42" s="1412" t="e">
        <f>T42</f>
        <v>#DIV/0!</v>
      </c>
      <c r="H42" s="1413"/>
      <c r="I42" s="1414" t="e">
        <f>V42</f>
        <v>#DIV/0!</v>
      </c>
      <c r="J42" s="1413"/>
      <c r="K42" s="783"/>
      <c r="L42" s="1142"/>
      <c r="M42" s="1143"/>
      <c r="N42" s="1130"/>
      <c r="O42" s="1143"/>
      <c r="P42" s="3269" t="str">
        <f>A42</f>
        <v>比较价值（元/平方米）</v>
      </c>
      <c r="Q42" s="3269"/>
      <c r="R42" s="3270" t="e">
        <f>IF(F1="售价",ROUND(PRODUCT(R41,AA7:AA40),0),ROUND(PRODUCT(R41,AA7:AA40),1))</f>
        <v>#DIV/0!</v>
      </c>
      <c r="S42" s="3270"/>
      <c r="T42" s="3270" t="e">
        <f>IF(F1="售价",ROUND(PRODUCT(T41,AB7:AB40),0),ROUND(PRODUCT(T41,AB7:AB40),1))</f>
        <v>#DIV/0!</v>
      </c>
      <c r="U42" s="3270"/>
      <c r="V42" s="3270" t="e">
        <f>IF(F1="售价",ROUND(PRODUCT(V41,AC7:AC40),0),ROUND(PRODUCT(V41,AC7:AC40),1))</f>
        <v>#DIV/0!</v>
      </c>
      <c r="W42" s="3270"/>
      <c r="X42" s="758"/>
      <c r="Y42" s="758"/>
      <c r="Z42" s="758"/>
      <c r="AA42" s="758"/>
      <c r="AB42" s="758"/>
      <c r="AC42" s="758"/>
    </row>
    <row r="43" spans="1:29" ht="15.75" thickBot="1">
      <c r="A43" s="491" t="s">
        <v>2667</v>
      </c>
      <c r="B43" s="492"/>
      <c r="C43" s="1416" t="e">
        <f>R43</f>
        <v>#DIV/0!</v>
      </c>
      <c r="D43" s="1416"/>
      <c r="E43" s="1416"/>
      <c r="F43" s="1416"/>
      <c r="G43" s="1416"/>
      <c r="H43" s="1416"/>
      <c r="I43" s="1416"/>
      <c r="J43" s="1416"/>
      <c r="K43" s="784"/>
      <c r="L43" s="1142"/>
      <c r="M43" s="1143"/>
      <c r="N43" s="1143"/>
      <c r="O43" s="1143"/>
      <c r="P43" s="3266" t="str">
        <f>A43</f>
        <v>估价对象XX用房的比较价值（楼面单价，元/平方米）</v>
      </c>
      <c r="Q43" s="3267"/>
      <c r="R43" s="3268" t="e">
        <f>IF(F1="售价",ROUND(AVERAGE(R42:V42),0),ROUND(AVERAGE(R42:V42),1))</f>
        <v>#DIV/0!</v>
      </c>
      <c r="S43" s="3268"/>
      <c r="T43" s="3268"/>
      <c r="U43" s="3268"/>
      <c r="V43" s="3268"/>
      <c r="W43" s="326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2"/>
      <c r="Q51" s="503"/>
    </row>
    <row r="52" spans="1:17" s="507" customFormat="1" ht="15">
      <c r="A52" s="504" t="s">
        <v>2545</v>
      </c>
      <c r="B52" s="505"/>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2582</v>
      </c>
      <c r="B54" s="515"/>
      <c r="C54" s="516"/>
      <c r="D54" s="517"/>
      <c r="E54" s="517"/>
      <c r="F54" s="517"/>
      <c r="G54" s="517"/>
      <c r="H54" s="517"/>
      <c r="I54" s="517"/>
      <c r="J54" s="517"/>
      <c r="K54" s="517"/>
      <c r="L54" s="517"/>
      <c r="M54" s="518"/>
      <c r="N54" s="517"/>
      <c r="O54" s="519"/>
      <c r="P54" s="503"/>
      <c r="Q54" s="503"/>
    </row>
    <row r="55" spans="1:17" s="117" customFormat="1" ht="15">
      <c r="A55" s="520" t="s">
        <v>2547</v>
      </c>
      <c r="B55" s="509"/>
      <c r="C55" s="521" t="s">
        <v>2649</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2585</v>
      </c>
      <c r="B57" s="527" t="s">
        <v>2551</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5"/>
      <c r="B87" s="568"/>
      <c r="C87" s="569"/>
      <c r="D87" s="569"/>
      <c r="E87" s="569"/>
      <c r="F87" s="569"/>
      <c r="G87" s="590"/>
      <c r="H87" s="590"/>
      <c r="I87" s="590"/>
      <c r="J87" s="590"/>
      <c r="K87" s="590"/>
      <c r="L87" s="590"/>
      <c r="M87" s="591"/>
      <c r="N87" s="1152"/>
      <c r="O87" s="1152"/>
      <c r="P87" s="45"/>
      <c r="Q87" s="503"/>
    </row>
    <row r="88" spans="1:17">
      <c r="A88" s="526" t="s">
        <v>2560</v>
      </c>
      <c r="B88" s="527" t="s">
        <v>2609</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2611</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2613</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2615</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2617</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估价对象为北京市出让国有建设用地使用权及在建建筑物房地产，为所有。根据《国有土地使用证》[]，估价对象（分摊）出让国有建设用地使用权面积为7066.74平方米，建筑面积为9339.3平方米。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7066.74平方米，规划建筑面积为9339.3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1612</v>
      </c>
    </row>
    <row r="15" spans="1:1" ht="18">
      <c r="A15" s="1952" t="str">
        <f>TEXT(项目基本情况!D3,"yyyy年m月d日;;")&amp;IF(项目基本情况!D3=项目基本情况!B3,"（评估专业人员实地查勘之日）","")</f>
        <v>2020年4月13日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2704</v>
      </c>
      <c r="B1" s="1618"/>
      <c r="C1" s="1619" t="s">
        <v>2527</v>
      </c>
      <c r="D1" s="1620"/>
      <c r="E1" s="1621"/>
      <c r="F1" s="2583"/>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2324</v>
      </c>
      <c r="B2" s="1417" t="e">
        <f ca="1">IF(C2="——",IF(B37="元/平方米",ROUND(C39*D3/10000,0),ROUND(F3*C39/10000,0)),IF(B37="元/平方米",ROUND(C39*D3/10000,0),ROUND(F3*C39/10000,0))-D2)</f>
        <v>#DIV/0!</v>
      </c>
      <c r="C2" s="2585"/>
      <c r="D2" s="1123" t="e">
        <f ca="1">SUMIF(INDIRECT("'"&amp;F2&amp;"'"&amp;"!A:A"),"承租人权益价值",INDIRECT("'"&amp;F2&amp;"'"&amp;"!c:c"))</f>
        <v>#REF!</v>
      </c>
      <c r="E2" s="2586" t="s">
        <v>2325</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2326</v>
      </c>
      <c r="B3" s="608" t="e">
        <f ca="1">IF(AND(C2="——",B37="元/平方米"),C39,ROUND(B2*10000/D3,0))</f>
        <v>#DIV/0!</v>
      </c>
      <c r="C3" s="399" t="s">
        <v>2641</v>
      </c>
      <c r="D3" s="398">
        <f>SUMIF('数据-汇总表'!$C19:$C33,D1,'数据-汇总表'!$E19:$E33)</f>
        <v>0</v>
      </c>
      <c r="E3" s="399" t="s">
        <v>2705</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2642</v>
      </c>
      <c r="B4" s="401"/>
      <c r="C4" s="3252" t="s">
        <v>2643</v>
      </c>
      <c r="D4" s="3253"/>
      <c r="E4" s="3254" t="s">
        <v>2644</v>
      </c>
      <c r="F4" s="3255"/>
      <c r="G4" s="3252" t="s">
        <v>2645</v>
      </c>
      <c r="H4" s="3253"/>
      <c r="I4" s="3252" t="s">
        <v>2646</v>
      </c>
      <c r="J4" s="3253"/>
      <c r="K4" s="609" t="s">
        <v>2647</v>
      </c>
      <c r="L4" s="1129"/>
      <c r="M4" s="1130"/>
      <c r="N4" s="1130"/>
      <c r="O4" s="1130"/>
      <c r="P4" s="3256" t="s">
        <v>2648</v>
      </c>
      <c r="Q4" s="3257"/>
      <c r="R4" s="3239" t="s">
        <v>2644</v>
      </c>
      <c r="S4" s="3240"/>
      <c r="T4" s="3239" t="s">
        <v>2645</v>
      </c>
      <c r="U4" s="3240"/>
      <c r="V4" s="3264" t="s">
        <v>2646</v>
      </c>
      <c r="W4" s="3264"/>
      <c r="X4" s="1812"/>
      <c r="Y4" s="3239" t="s">
        <v>2648</v>
      </c>
      <c r="Z4" s="3240"/>
      <c r="AA4" s="3234" t="s">
        <v>2644</v>
      </c>
      <c r="AB4" s="3235" t="s">
        <v>2645</v>
      </c>
      <c r="AC4" s="3234" t="s">
        <v>2646</v>
      </c>
    </row>
    <row r="5" spans="1:29" ht="15">
      <c r="A5" s="403"/>
      <c r="B5" s="404"/>
      <c r="C5" s="3245" t="s">
        <v>2539</v>
      </c>
      <c r="D5" s="3246"/>
      <c r="E5" s="3243" t="s">
        <v>2540</v>
      </c>
      <c r="F5" s="3244"/>
      <c r="G5" s="3245" t="s">
        <v>2541</v>
      </c>
      <c r="H5" s="3246"/>
      <c r="I5" s="3245" t="s">
        <v>2542</v>
      </c>
      <c r="J5" s="3246"/>
      <c r="K5" s="609"/>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247" t="s">
        <v>2543</v>
      </c>
      <c r="D6" s="3248"/>
      <c r="E6" s="3249" t="s">
        <v>2543</v>
      </c>
      <c r="F6" s="3250"/>
      <c r="G6" s="3247" t="s">
        <v>2543</v>
      </c>
      <c r="H6" s="3248"/>
      <c r="I6" s="3247" t="s">
        <v>2543</v>
      </c>
      <c r="J6" s="3248"/>
      <c r="K6" s="609" t="s">
        <v>2544</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2545</v>
      </c>
      <c r="B7" s="408"/>
      <c r="C7" s="409">
        <f>'数据-取费表'!B2</f>
        <v>43934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37" t="s">
        <v>2546</v>
      </c>
      <c r="Q7" s="3265"/>
      <c r="R7" s="769" t="s">
        <v>17</v>
      </c>
      <c r="S7" s="770">
        <f t="shared" ref="S7:S14" si="0">F7</f>
        <v>0</v>
      </c>
      <c r="T7" s="769" t="s">
        <v>17</v>
      </c>
      <c r="U7" s="770">
        <f t="shared" ref="U7:U14" si="1">H7</f>
        <v>0</v>
      </c>
      <c r="V7" s="769" t="s">
        <v>17</v>
      </c>
      <c r="W7" s="770">
        <f t="shared" ref="W7:W14" si="2">J7</f>
        <v>0</v>
      </c>
      <c r="X7" s="771"/>
      <c r="Y7" s="3237" t="s">
        <v>2546</v>
      </c>
      <c r="Z7" s="3238"/>
      <c r="AA7" s="772" t="e">
        <f>D7/F7</f>
        <v>#DIV/0!</v>
      </c>
      <c r="AB7" s="772" t="e">
        <f>D7/H7</f>
        <v>#DIV/0!</v>
      </c>
      <c r="AC7" s="772" t="e">
        <f>D7/J7</f>
        <v>#DIV/0!</v>
      </c>
    </row>
    <row r="8" spans="1:29" s="117"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37" t="s">
        <v>2549</v>
      </c>
      <c r="Q8" s="3238"/>
      <c r="R8" s="769" t="s">
        <v>17</v>
      </c>
      <c r="S8" s="770">
        <f t="shared" si="0"/>
        <v>0</v>
      </c>
      <c r="T8" s="769" t="s">
        <v>17</v>
      </c>
      <c r="U8" s="770">
        <f t="shared" si="1"/>
        <v>0</v>
      </c>
      <c r="V8" s="769" t="s">
        <v>17</v>
      </c>
      <c r="W8" s="770">
        <f t="shared" si="2"/>
        <v>0</v>
      </c>
      <c r="X8" s="771"/>
      <c r="Y8" s="3237" t="s">
        <v>2549</v>
      </c>
      <c r="Z8" s="3238"/>
      <c r="AA8" s="772" t="e">
        <f t="shared" ref="AA8:AA36" si="3">D8/F8</f>
        <v>#DIV/0!</v>
      </c>
      <c r="AB8" s="772" t="e">
        <f t="shared" ref="AB8:AB36" si="4">D8/H8</f>
        <v>#DIV/0!</v>
      </c>
      <c r="AC8" s="772" t="e">
        <f t="shared" ref="AC8:AC36" si="5">D8/J8</f>
        <v>#DIV/0!</v>
      </c>
    </row>
    <row r="9" spans="1:29" s="117" customFormat="1">
      <c r="A9" s="68"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69" t="s">
        <v>2552</v>
      </c>
      <c r="Q9" s="1794" t="str">
        <f t="shared" ref="Q9:Q14" si="6">B9</f>
        <v>用途</v>
      </c>
      <c r="R9" s="769" t="s">
        <v>17</v>
      </c>
      <c r="S9" s="770">
        <f t="shared" si="0"/>
        <v>100</v>
      </c>
      <c r="T9" s="769" t="s">
        <v>17</v>
      </c>
      <c r="U9" s="770">
        <f t="shared" si="1"/>
        <v>100</v>
      </c>
      <c r="V9" s="769" t="s">
        <v>17</v>
      </c>
      <c r="W9" s="770">
        <f t="shared" si="2"/>
        <v>100</v>
      </c>
      <c r="X9" s="771"/>
      <c r="Y9" s="3084" t="s">
        <v>2553</v>
      </c>
      <c r="Z9" s="55" t="str">
        <f t="shared" ref="Z9:Z14" si="7">Q9</f>
        <v>用途</v>
      </c>
      <c r="AA9" s="772">
        <f t="shared" si="3"/>
        <v>1</v>
      </c>
      <c r="AB9" s="772">
        <f t="shared" si="4"/>
        <v>1</v>
      </c>
      <c r="AC9" s="772">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69"/>
      <c r="Q10" s="1794"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69"/>
      <c r="Q11" s="1794">
        <f t="shared" si="6"/>
        <v>111</v>
      </c>
      <c r="R11" s="769" t="s">
        <v>17</v>
      </c>
      <c r="S11" s="770">
        <f t="shared" si="0"/>
        <v>100</v>
      </c>
      <c r="T11" s="769" t="s">
        <v>17</v>
      </c>
      <c r="U11" s="770">
        <f t="shared" si="1"/>
        <v>100</v>
      </c>
      <c r="V11" s="769" t="s">
        <v>17</v>
      </c>
      <c r="W11" s="770">
        <f t="shared" si="2"/>
        <v>100</v>
      </c>
      <c r="X11" s="771"/>
      <c r="Y11" s="3084"/>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69"/>
      <c r="Q12" s="1794">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69"/>
      <c r="Q13" s="1794">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85.5">
      <c r="A14" s="400" t="s">
        <v>2556</v>
      </c>
      <c r="B14" s="628" t="s">
        <v>2706</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71" t="s">
        <v>2557</v>
      </c>
      <c r="Q14" s="1809" t="str">
        <f t="shared" si="6"/>
        <v>交通便捷度</v>
      </c>
      <c r="R14" s="773" t="s">
        <v>17</v>
      </c>
      <c r="S14" s="774">
        <f t="shared" si="0"/>
        <v>100</v>
      </c>
      <c r="T14" s="773" t="s">
        <v>17</v>
      </c>
      <c r="U14" s="774">
        <f t="shared" si="1"/>
        <v>100</v>
      </c>
      <c r="V14" s="773" t="s">
        <v>17</v>
      </c>
      <c r="W14" s="774">
        <f t="shared" si="2"/>
        <v>100</v>
      </c>
      <c r="X14" s="1812"/>
      <c r="Y14" s="3271" t="s">
        <v>2557</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72"/>
      <c r="Q15" s="1809"/>
      <c r="R15" s="773"/>
      <c r="S15" s="774"/>
      <c r="T15" s="773"/>
      <c r="U15" s="774"/>
      <c r="V15" s="773"/>
      <c r="W15" s="774"/>
      <c r="X15" s="1812"/>
      <c r="Y15" s="3272"/>
      <c r="Z15" s="1813"/>
      <c r="AA15" s="1810">
        <v>1</v>
      </c>
      <c r="AB15" s="1810">
        <v>1</v>
      </c>
      <c r="AC15" s="1810">
        <v>1</v>
      </c>
    </row>
    <row r="16" spans="1:29" ht="42.75">
      <c r="A16" s="403"/>
      <c r="B16" s="630" t="s">
        <v>2685</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72"/>
      <c r="Q16" s="1809" t="str">
        <f>B16</f>
        <v>公共配套设施</v>
      </c>
      <c r="R16" s="773" t="s">
        <v>17</v>
      </c>
      <c r="S16" s="774">
        <f>F16</f>
        <v>100</v>
      </c>
      <c r="T16" s="773" t="s">
        <v>17</v>
      </c>
      <c r="U16" s="774">
        <f>H16</f>
        <v>100</v>
      </c>
      <c r="V16" s="773" t="s">
        <v>17</v>
      </c>
      <c r="W16" s="774">
        <f>J16</f>
        <v>100</v>
      </c>
      <c r="X16" s="1812"/>
      <c r="Y16" s="3272"/>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272"/>
      <c r="Q17" s="1809"/>
      <c r="R17" s="773"/>
      <c r="S17" s="774"/>
      <c r="T17" s="773"/>
      <c r="U17" s="774"/>
      <c r="V17" s="773"/>
      <c r="W17" s="774"/>
      <c r="X17" s="1812"/>
      <c r="Y17" s="3272"/>
      <c r="Z17" s="1813"/>
      <c r="AA17" s="1810">
        <v>1</v>
      </c>
      <c r="AB17" s="1810">
        <v>1</v>
      </c>
      <c r="AC17" s="1810">
        <v>1</v>
      </c>
    </row>
    <row r="18" spans="1:29" ht="28.5">
      <c r="A18" s="403"/>
      <c r="B18" s="632" t="s">
        <v>2686</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72"/>
      <c r="Q18" s="1809" t="str">
        <f>B18</f>
        <v>基础设施水平</v>
      </c>
      <c r="R18" s="773" t="s">
        <v>17</v>
      </c>
      <c r="S18" s="774">
        <f>F18</f>
        <v>100</v>
      </c>
      <c r="T18" s="773" t="s">
        <v>17</v>
      </c>
      <c r="U18" s="774">
        <f>H18</f>
        <v>100</v>
      </c>
      <c r="V18" s="773" t="s">
        <v>17</v>
      </c>
      <c r="W18" s="774">
        <f>J18</f>
        <v>100</v>
      </c>
      <c r="X18" s="1812"/>
      <c r="Y18" s="3272"/>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272"/>
      <c r="Q19" s="1809"/>
      <c r="R19" s="773"/>
      <c r="S19" s="774"/>
      <c r="T19" s="773"/>
      <c r="U19" s="774"/>
      <c r="V19" s="773"/>
      <c r="W19" s="774"/>
      <c r="X19" s="1812"/>
      <c r="Y19" s="3272"/>
      <c r="Z19" s="1813"/>
      <c r="AA19" s="1810">
        <v>1</v>
      </c>
      <c r="AB19" s="1810">
        <v>1</v>
      </c>
      <c r="AC19" s="1810">
        <v>1</v>
      </c>
    </row>
    <row r="20" spans="1:29" ht="57">
      <c r="A20" s="403"/>
      <c r="B20" s="630" t="s">
        <v>2707</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72"/>
      <c r="Q20" s="1809" t="str">
        <f>B20</f>
        <v>自然及人文环境</v>
      </c>
      <c r="R20" s="773" t="s">
        <v>17</v>
      </c>
      <c r="S20" s="774">
        <f>F20</f>
        <v>100</v>
      </c>
      <c r="T20" s="773" t="s">
        <v>17</v>
      </c>
      <c r="U20" s="774">
        <f>H20</f>
        <v>100</v>
      </c>
      <c r="V20" s="773" t="s">
        <v>17</v>
      </c>
      <c r="W20" s="774">
        <f>J20</f>
        <v>100</v>
      </c>
      <c r="X20" s="1812"/>
      <c r="Y20" s="327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72"/>
      <c r="Q21" s="1809"/>
      <c r="R21" s="773"/>
      <c r="S21" s="774"/>
      <c r="T21" s="773"/>
      <c r="U21" s="774"/>
      <c r="V21" s="773"/>
      <c r="W21" s="774"/>
      <c r="X21" s="1812"/>
      <c r="Y21" s="3272"/>
      <c r="Z21" s="1813"/>
      <c r="AA21" s="1810">
        <v>1</v>
      </c>
      <c r="AB21" s="1810">
        <v>1</v>
      </c>
      <c r="AC21" s="1810">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72"/>
      <c r="Q22" s="1809" t="str">
        <f>B22</f>
        <v>楼层</v>
      </c>
      <c r="R22" s="773" t="s">
        <v>17</v>
      </c>
      <c r="S22" s="774">
        <f>F22</f>
        <v>100</v>
      </c>
      <c r="T22" s="773" t="s">
        <v>17</v>
      </c>
      <c r="U22" s="774">
        <f>H22</f>
        <v>100</v>
      </c>
      <c r="V22" s="773" t="s">
        <v>17</v>
      </c>
      <c r="W22" s="774">
        <f>J22</f>
        <v>100</v>
      </c>
      <c r="X22" s="1812"/>
      <c r="Y22" s="327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72"/>
      <c r="Q23" s="1809">
        <f>B23</f>
        <v>111</v>
      </c>
      <c r="R23" s="773" t="s">
        <v>17</v>
      </c>
      <c r="S23" s="774">
        <f>F23</f>
        <v>100</v>
      </c>
      <c r="T23" s="773" t="s">
        <v>17</v>
      </c>
      <c r="U23" s="774">
        <f>H23</f>
        <v>100</v>
      </c>
      <c r="V23" s="773" t="s">
        <v>17</v>
      </c>
      <c r="W23" s="774">
        <f>J23</f>
        <v>100</v>
      </c>
      <c r="X23" s="1812"/>
      <c r="Y23" s="327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72"/>
      <c r="Q24" s="1809">
        <f t="shared" ref="Q24:Q36" si="11">B24</f>
        <v>111</v>
      </c>
      <c r="R24" s="773" t="s">
        <v>17</v>
      </c>
      <c r="S24" s="774">
        <f>F24</f>
        <v>100</v>
      </c>
      <c r="T24" s="773" t="s">
        <v>17</v>
      </c>
      <c r="U24" s="774">
        <f>H24</f>
        <v>100</v>
      </c>
      <c r="V24" s="773" t="s">
        <v>17</v>
      </c>
      <c r="W24" s="774">
        <f>J24</f>
        <v>100</v>
      </c>
      <c r="X24" s="1812"/>
      <c r="Y24" s="3272"/>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72"/>
      <c r="Q25" s="1794">
        <f t="shared" si="11"/>
        <v>111</v>
      </c>
      <c r="R25" s="769" t="s">
        <v>17</v>
      </c>
      <c r="S25" s="770">
        <f>F25</f>
        <v>100</v>
      </c>
      <c r="T25" s="769" t="s">
        <v>17</v>
      </c>
      <c r="U25" s="770">
        <f>H25</f>
        <v>100</v>
      </c>
      <c r="V25" s="769" t="s">
        <v>17</v>
      </c>
      <c r="W25" s="770">
        <f>J25</f>
        <v>100</v>
      </c>
      <c r="X25" s="771"/>
      <c r="Y25" s="3272"/>
      <c r="Z25" s="55">
        <f>Q25</f>
        <v>111</v>
      </c>
      <c r="AA25" s="1810">
        <f>D25/F25</f>
        <v>1</v>
      </c>
      <c r="AB25" s="1810">
        <f>D25/H25</f>
        <v>1</v>
      </c>
      <c r="AC25" s="1810">
        <f>D25/J25</f>
        <v>1</v>
      </c>
    </row>
    <row r="26" spans="1:29" ht="28.5">
      <c r="A26" s="651" t="s">
        <v>2560</v>
      </c>
      <c r="B26" s="70" t="s">
        <v>2709</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95" t="s">
        <v>2562</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76" t="s">
        <v>2562</v>
      </c>
      <c r="Z26" s="1813" t="str">
        <f t="shared" ref="Z26:Z36" si="15">Q26</f>
        <v>配套类型</v>
      </c>
      <c r="AA26" s="1810">
        <f t="shared" si="3"/>
        <v>1</v>
      </c>
      <c r="AB26" s="1810">
        <f t="shared" si="4"/>
        <v>1</v>
      </c>
      <c r="AC26" s="1810">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76"/>
      <c r="Q27" s="775" t="str">
        <f t="shared" si="11"/>
        <v>项目停车位配比</v>
      </c>
      <c r="R27" s="776" t="s">
        <v>17</v>
      </c>
      <c r="S27" s="777">
        <f t="shared" si="12"/>
        <v>100</v>
      </c>
      <c r="T27" s="776" t="s">
        <v>17</v>
      </c>
      <c r="U27" s="777">
        <f t="shared" si="13"/>
        <v>100</v>
      </c>
      <c r="V27" s="776" t="s">
        <v>17</v>
      </c>
      <c r="W27" s="777">
        <f t="shared" si="14"/>
        <v>100</v>
      </c>
      <c r="X27" s="778"/>
      <c r="Y27" s="3276"/>
      <c r="Z27" s="779" t="str">
        <f t="shared" si="15"/>
        <v>项目停车位配比</v>
      </c>
      <c r="AA27" s="1810">
        <f t="shared" si="3"/>
        <v>1</v>
      </c>
      <c r="AB27" s="1810">
        <f t="shared" si="4"/>
        <v>1</v>
      </c>
      <c r="AC27" s="1810">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76"/>
      <c r="Q28" s="1809" t="str">
        <f t="shared" si="11"/>
        <v>公共部分装修</v>
      </c>
      <c r="R28" s="773" t="s">
        <v>17</v>
      </c>
      <c r="S28" s="774">
        <f t="shared" si="12"/>
        <v>100</v>
      </c>
      <c r="T28" s="773" t="s">
        <v>17</v>
      </c>
      <c r="U28" s="774">
        <f t="shared" si="13"/>
        <v>100</v>
      </c>
      <c r="V28" s="773" t="s">
        <v>17</v>
      </c>
      <c r="W28" s="774">
        <f t="shared" si="14"/>
        <v>100</v>
      </c>
      <c r="X28" s="1812"/>
      <c r="Y28" s="3276"/>
      <c r="Z28" s="1813" t="str">
        <f t="shared" si="15"/>
        <v>公共部分装修</v>
      </c>
      <c r="AA28" s="1810">
        <f t="shared" si="3"/>
        <v>1</v>
      </c>
      <c r="AB28" s="1810">
        <f t="shared" si="4"/>
        <v>1</v>
      </c>
      <c r="AC28" s="1810">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76"/>
      <c r="Q29" s="1809" t="str">
        <f t="shared" si="11"/>
        <v>成新率</v>
      </c>
      <c r="R29" s="773" t="s">
        <v>17</v>
      </c>
      <c r="S29" s="774" t="e">
        <f t="shared" si="12"/>
        <v>#N/A</v>
      </c>
      <c r="T29" s="773" t="s">
        <v>17</v>
      </c>
      <c r="U29" s="774" t="e">
        <f t="shared" si="13"/>
        <v>#N/A</v>
      </c>
      <c r="V29" s="773" t="s">
        <v>17</v>
      </c>
      <c r="W29" s="774" t="e">
        <f t="shared" si="14"/>
        <v>#N/A</v>
      </c>
      <c r="X29" s="1812"/>
      <c r="Y29" s="3276"/>
      <c r="Z29" s="1813" t="str">
        <f t="shared" si="15"/>
        <v>成新率</v>
      </c>
      <c r="AA29" s="1810" t="e">
        <f t="shared" si="3"/>
        <v>#N/A</v>
      </c>
      <c r="AB29" s="1810" t="e">
        <f t="shared" si="4"/>
        <v>#N/A</v>
      </c>
      <c r="AC29" s="1810"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76"/>
      <c r="Q30" s="1809" t="str">
        <f t="shared" si="11"/>
        <v>物业等级</v>
      </c>
      <c r="R30" s="773" t="s">
        <v>17</v>
      </c>
      <c r="S30" s="774">
        <f t="shared" si="12"/>
        <v>100</v>
      </c>
      <c r="T30" s="773" t="s">
        <v>17</v>
      </c>
      <c r="U30" s="774">
        <f t="shared" si="13"/>
        <v>100</v>
      </c>
      <c r="V30" s="773" t="s">
        <v>17</v>
      </c>
      <c r="W30" s="774">
        <f t="shared" si="14"/>
        <v>100</v>
      </c>
      <c r="X30" s="1812"/>
      <c r="Y30" s="3276"/>
      <c r="Z30" s="1813" t="str">
        <f t="shared" si="15"/>
        <v>物业等级</v>
      </c>
      <c r="AA30" s="1810">
        <f t="shared" si="3"/>
        <v>1</v>
      </c>
      <c r="AB30" s="1810">
        <f t="shared" si="4"/>
        <v>1</v>
      </c>
      <c r="AC30" s="1810">
        <f t="shared" si="5"/>
        <v>1</v>
      </c>
    </row>
    <row r="31" spans="1:29" s="117"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76"/>
      <c r="Q31" s="1794" t="str">
        <f t="shared" si="11"/>
        <v>停车位面积</v>
      </c>
      <c r="R31" s="769" t="s">
        <v>17</v>
      </c>
      <c r="S31" s="770" t="e">
        <f t="shared" si="12"/>
        <v>#N/A</v>
      </c>
      <c r="T31" s="769" t="s">
        <v>17</v>
      </c>
      <c r="U31" s="770" t="e">
        <f t="shared" si="13"/>
        <v>#N/A</v>
      </c>
      <c r="V31" s="769" t="s">
        <v>17</v>
      </c>
      <c r="W31" s="770" t="e">
        <f t="shared" si="14"/>
        <v>#N/A</v>
      </c>
      <c r="X31" s="771"/>
      <c r="Y31" s="3276"/>
      <c r="Z31" s="55"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76" t="s">
        <v>2562</v>
      </c>
      <c r="Q32" s="1809" t="str">
        <f t="shared" si="11"/>
        <v>车位类型</v>
      </c>
      <c r="R32" s="773" t="s">
        <v>17</v>
      </c>
      <c r="S32" s="774">
        <f t="shared" si="12"/>
        <v>100</v>
      </c>
      <c r="T32" s="773" t="s">
        <v>17</v>
      </c>
      <c r="U32" s="774">
        <f t="shared" si="13"/>
        <v>100</v>
      </c>
      <c r="V32" s="773" t="s">
        <v>17</v>
      </c>
      <c r="W32" s="774">
        <f t="shared" si="14"/>
        <v>100</v>
      </c>
      <c r="X32" s="1812"/>
      <c r="Y32" s="3276" t="s">
        <v>2562</v>
      </c>
      <c r="Z32" s="1813" t="str">
        <f t="shared" si="15"/>
        <v>车位类型</v>
      </c>
      <c r="AA32" s="1810">
        <f t="shared" si="3"/>
        <v>1</v>
      </c>
      <c r="AB32" s="1810">
        <f t="shared" si="4"/>
        <v>1</v>
      </c>
      <c r="AC32" s="1810">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76"/>
      <c r="Q33" s="1809" t="str">
        <f t="shared" si="11"/>
        <v>是否直接入户</v>
      </c>
      <c r="R33" s="773" t="s">
        <v>17</v>
      </c>
      <c r="S33" s="774">
        <f t="shared" si="12"/>
        <v>100</v>
      </c>
      <c r="T33" s="773" t="s">
        <v>17</v>
      </c>
      <c r="U33" s="774">
        <f t="shared" si="13"/>
        <v>100</v>
      </c>
      <c r="V33" s="773" t="s">
        <v>17</v>
      </c>
      <c r="W33" s="774">
        <f t="shared" si="14"/>
        <v>100</v>
      </c>
      <c r="X33" s="1812"/>
      <c r="Y33" s="327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76"/>
      <c r="Q34" s="1809">
        <f t="shared" si="11"/>
        <v>111</v>
      </c>
      <c r="R34" s="773" t="s">
        <v>17</v>
      </c>
      <c r="S34" s="774">
        <f t="shared" si="12"/>
        <v>100</v>
      </c>
      <c r="T34" s="773" t="s">
        <v>17</v>
      </c>
      <c r="U34" s="774">
        <f t="shared" si="13"/>
        <v>100</v>
      </c>
      <c r="V34" s="773" t="s">
        <v>17</v>
      </c>
      <c r="W34" s="774">
        <f t="shared" si="14"/>
        <v>100</v>
      </c>
      <c r="X34" s="1812"/>
      <c r="Y34" s="327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76"/>
      <c r="Q35" s="775">
        <f t="shared" si="11"/>
        <v>111</v>
      </c>
      <c r="R35" s="776" t="s">
        <v>17</v>
      </c>
      <c r="S35" s="777">
        <f t="shared" si="12"/>
        <v>100</v>
      </c>
      <c r="T35" s="776" t="s">
        <v>17</v>
      </c>
      <c r="U35" s="777">
        <f t="shared" si="13"/>
        <v>100</v>
      </c>
      <c r="V35" s="776" t="s">
        <v>17</v>
      </c>
      <c r="W35" s="777">
        <f t="shared" si="14"/>
        <v>100</v>
      </c>
      <c r="X35" s="778"/>
      <c r="Y35" s="3276"/>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76"/>
      <c r="Q36" s="1809">
        <f t="shared" si="11"/>
        <v>111</v>
      </c>
      <c r="R36" s="773" t="s">
        <v>17</v>
      </c>
      <c r="S36" s="774">
        <f t="shared" si="12"/>
        <v>100</v>
      </c>
      <c r="T36" s="773" t="s">
        <v>17</v>
      </c>
      <c r="U36" s="774">
        <f t="shared" si="13"/>
        <v>100</v>
      </c>
      <c r="V36" s="773" t="s">
        <v>17</v>
      </c>
      <c r="W36" s="774">
        <f t="shared" si="14"/>
        <v>100</v>
      </c>
      <c r="X36" s="1812"/>
      <c r="Y36" s="3276"/>
      <c r="Z36" s="1813">
        <f t="shared" si="15"/>
        <v>111</v>
      </c>
      <c r="AA36" s="1810">
        <f t="shared" si="3"/>
        <v>1</v>
      </c>
      <c r="AB36" s="1810">
        <f t="shared" si="4"/>
        <v>1</v>
      </c>
      <c r="AC36" s="1810">
        <f t="shared" si="5"/>
        <v>1</v>
      </c>
    </row>
    <row r="37" spans="1:29" ht="15">
      <c r="A37" s="478" t="s">
        <v>2717</v>
      </c>
      <c r="B37" s="2694" t="s">
        <v>2718</v>
      </c>
      <c r="C37" s="1406" t="s">
        <v>1</v>
      </c>
      <c r="D37" s="1407"/>
      <c r="E37" s="1408"/>
      <c r="F37" s="1409"/>
      <c r="G37" s="1410"/>
      <c r="H37" s="1411"/>
      <c r="I37" s="1408"/>
      <c r="J37" s="1411"/>
      <c r="K37" s="618"/>
      <c r="L37" s="1142"/>
      <c r="M37" s="1143"/>
      <c r="N37" s="1130"/>
      <c r="O37" s="1143"/>
      <c r="P37" s="3269" t="str">
        <f>A37</f>
        <v>成交单价</v>
      </c>
      <c r="Q37" s="3269"/>
      <c r="R37" s="3270">
        <f>E37</f>
        <v>0</v>
      </c>
      <c r="S37" s="3270"/>
      <c r="T37" s="3270">
        <f>G37</f>
        <v>0</v>
      </c>
      <c r="U37" s="3270"/>
      <c r="V37" s="3270">
        <f>I37</f>
        <v>0</v>
      </c>
      <c r="W37" s="3270"/>
      <c r="X37" s="758"/>
      <c r="Y37" s="780"/>
      <c r="Z37" s="758"/>
      <c r="AA37" s="758"/>
      <c r="AB37" s="758"/>
      <c r="AC37" s="758"/>
    </row>
    <row r="38" spans="1:29" ht="15.75" thickBot="1">
      <c r="A38" s="485" t="s">
        <v>2719</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69" t="str">
        <f>A38</f>
        <v>比较价值（元/平方米）</v>
      </c>
      <c r="Q38" s="3269"/>
      <c r="R38" s="3270" t="e">
        <f>IF(F1="售价",ROUND(PRODUCT(R37,AA7:AA36),0),ROUND(PRODUCT(R37,AA7:AA36),1))</f>
        <v>#DIV/0!</v>
      </c>
      <c r="S38" s="3270"/>
      <c r="T38" s="3270" t="e">
        <f>IF(F1="售价",ROUND(PRODUCT(T37,AB7:AB36),0),ROUND(PRODUCT(T37,AB7:AB36),1))</f>
        <v>#DIV/0!</v>
      </c>
      <c r="U38" s="3270"/>
      <c r="V38" s="3270" t="e">
        <f>IF(F1="售价",ROUND(PRODUCT(V37,AC7:AC36),0),ROUND(PRODUCT(V37,AC7:AC36),1))</f>
        <v>#DIV/0!</v>
      </c>
      <c r="W38" s="3270"/>
      <c r="X38" s="758"/>
      <c r="Y38" s="758"/>
      <c r="Z38" s="758"/>
      <c r="AA38" s="758"/>
      <c r="AB38" s="758"/>
      <c r="AC38" s="758"/>
    </row>
    <row r="39" spans="1:29" ht="15.75" thickBot="1">
      <c r="A39" s="491" t="s">
        <v>2720</v>
      </c>
      <c r="B39" s="492"/>
      <c r="C39" s="1416" t="e">
        <f>R39</f>
        <v>#DIV/0!</v>
      </c>
      <c r="D39" s="1416"/>
      <c r="E39" s="1416"/>
      <c r="F39" s="1416"/>
      <c r="G39" s="1416"/>
      <c r="H39" s="1416"/>
      <c r="I39" s="1416"/>
      <c r="J39" s="1416"/>
      <c r="K39" s="620"/>
      <c r="L39" s="1142"/>
      <c r="M39" s="1143"/>
      <c r="N39" s="1143"/>
      <c r="O39" s="1143"/>
      <c r="P39" s="3266" t="str">
        <f>A39</f>
        <v>估价对象XX用房的比较价值（楼面单价，元/平方米）</v>
      </c>
      <c r="Q39" s="3267"/>
      <c r="R39" s="3268" t="e">
        <f>IF(F1="售价",ROUND(AVERAGE(R38:V38),0),ROUND(AVERAGE(R38:V38),1))</f>
        <v>#DIV/0!</v>
      </c>
      <c r="S39" s="3268"/>
      <c r="T39" s="3268"/>
      <c r="U39" s="3268"/>
      <c r="V39" s="3268"/>
      <c r="W39" s="326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2725</v>
      </c>
      <c r="B48" s="505"/>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2582</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2547</v>
      </c>
      <c r="B51" s="509"/>
      <c r="C51" s="521" t="s">
        <v>2649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2585</v>
      </c>
      <c r="B53" s="527" t="s">
        <v>2551</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2600</v>
      </c>
      <c r="C65" s="577" t="s">
        <v>2594</v>
      </c>
      <c r="D65" s="577" t="s">
        <v>2595</v>
      </c>
      <c r="E65" s="577" t="s">
        <v>2596</v>
      </c>
      <c r="F65" s="577" t="s">
        <v>2597</v>
      </c>
      <c r="G65" s="577" t="s">
        <v>2598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2686</v>
      </c>
      <c r="C67" s="659" t="s">
        <v>2672</v>
      </c>
      <c r="D67" s="659" t="s">
        <v>2673</v>
      </c>
      <c r="E67" s="659" t="s">
        <v>2674</v>
      </c>
      <c r="F67" s="659" t="s">
        <v>2675</v>
      </c>
      <c r="G67" s="659" t="s">
        <v>2676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2606</v>
      </c>
      <c r="C69" s="577" t="s">
        <v>2594</v>
      </c>
      <c r="D69" s="577" t="s">
        <v>2595</v>
      </c>
      <c r="E69" s="577" t="s">
        <v>2596</v>
      </c>
      <c r="F69" s="577" t="s">
        <v>2597</v>
      </c>
      <c r="G69" s="577" t="s">
        <v>2598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2726</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2560</v>
      </c>
      <c r="B79" s="527" t="s">
        <v>2727</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2728</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2613</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2730</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2732</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2733</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2704</v>
      </c>
      <c r="B1" s="1618"/>
      <c r="C1" s="1619" t="s">
        <v>2527</v>
      </c>
      <c r="D1" s="1620"/>
      <c r="E1" s="1629"/>
      <c r="F1" s="2583"/>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IF(C2="——",ROUND(C37*D3/10000,0),ROUND(C37*D3/10000,0)-D2)</f>
        <v>#DIV/0!</v>
      </c>
      <c r="C2" s="2585"/>
      <c r="D2" s="1123" t="e">
        <f ca="1">SUMIF(INDIRECT("'"&amp;F2&amp;"'"&amp;"!A:A"),"承租人权益价值",INDIRECT("'"&amp;F2&amp;"'"&amp;"!c:c"))</f>
        <v>#REF!</v>
      </c>
      <c r="E2" s="2586" t="s">
        <v>2325</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52" t="s">
        <v>2643</v>
      </c>
      <c r="D4" s="3253"/>
      <c r="E4" s="3254" t="s">
        <v>2644</v>
      </c>
      <c r="F4" s="3255"/>
      <c r="G4" s="3252" t="s">
        <v>2645</v>
      </c>
      <c r="H4" s="3253"/>
      <c r="I4" s="3252" t="s">
        <v>2646</v>
      </c>
      <c r="J4" s="3253"/>
      <c r="K4" s="609" t="s">
        <v>2647</v>
      </c>
      <c r="L4" s="1129"/>
      <c r="M4" s="1130"/>
      <c r="N4" s="1130"/>
      <c r="O4" s="1130"/>
      <c r="P4" s="3256" t="s">
        <v>2648</v>
      </c>
      <c r="Q4" s="3257"/>
      <c r="R4" s="3239" t="s">
        <v>2644</v>
      </c>
      <c r="S4" s="3240"/>
      <c r="T4" s="3239" t="s">
        <v>2645</v>
      </c>
      <c r="U4" s="3240"/>
      <c r="V4" s="3264" t="s">
        <v>2646</v>
      </c>
      <c r="W4" s="3264"/>
      <c r="X4" s="1812"/>
      <c r="Y4" s="3239" t="s">
        <v>2648</v>
      </c>
      <c r="Z4" s="3240"/>
      <c r="AA4" s="3234" t="s">
        <v>2644</v>
      </c>
      <c r="AB4" s="3235" t="s">
        <v>2645</v>
      </c>
      <c r="AC4" s="3234" t="s">
        <v>2646</v>
      </c>
    </row>
    <row r="5" spans="1:29" ht="15">
      <c r="A5" s="403"/>
      <c r="B5" s="404"/>
      <c r="C5" s="3245" t="s">
        <v>2539</v>
      </c>
      <c r="D5" s="3246"/>
      <c r="E5" s="3243" t="s">
        <v>2540</v>
      </c>
      <c r="F5" s="3244"/>
      <c r="G5" s="3245" t="s">
        <v>2541</v>
      </c>
      <c r="H5" s="3246"/>
      <c r="I5" s="3245" t="s">
        <v>2542</v>
      </c>
      <c r="J5" s="3246"/>
      <c r="K5" s="609"/>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247" t="s">
        <v>2543</v>
      </c>
      <c r="D6" s="3248"/>
      <c r="E6" s="3249" t="s">
        <v>2543</v>
      </c>
      <c r="F6" s="3250"/>
      <c r="G6" s="3247" t="s">
        <v>2543</v>
      </c>
      <c r="H6" s="3248"/>
      <c r="I6" s="3247" t="s">
        <v>2543</v>
      </c>
      <c r="J6" s="3248"/>
      <c r="K6" s="609" t="s">
        <v>2544</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2545</v>
      </c>
      <c r="B7" s="408"/>
      <c r="C7" s="409">
        <f>'数据-取费表'!B2</f>
        <v>43934</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237" t="s">
        <v>2546</v>
      </c>
      <c r="Q7" s="3265"/>
      <c r="R7" s="769" t="s">
        <v>17</v>
      </c>
      <c r="S7" s="770">
        <f t="shared" ref="S7:S14" si="0">F7</f>
        <v>0</v>
      </c>
      <c r="T7" s="769" t="s">
        <v>17</v>
      </c>
      <c r="U7" s="770">
        <f t="shared" ref="U7:U14" si="1">H7</f>
        <v>0</v>
      </c>
      <c r="V7" s="769" t="s">
        <v>17</v>
      </c>
      <c r="W7" s="770">
        <f t="shared" ref="W7:W14" si="2">J7</f>
        <v>0</v>
      </c>
      <c r="X7" s="771"/>
      <c r="Y7" s="3237" t="s">
        <v>2546</v>
      </c>
      <c r="Z7" s="3238"/>
      <c r="AA7" s="772" t="e">
        <f>D7/F7</f>
        <v>#DIV/0!</v>
      </c>
      <c r="AB7" s="772" t="e">
        <f>D7/H7</f>
        <v>#DIV/0!</v>
      </c>
      <c r="AC7" s="772" t="e">
        <f>D7/J7</f>
        <v>#DIV/0!</v>
      </c>
    </row>
    <row r="8" spans="1:29" s="117"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37" t="s">
        <v>2549</v>
      </c>
      <c r="Q8" s="3238"/>
      <c r="R8" s="769" t="s">
        <v>17</v>
      </c>
      <c r="S8" s="770">
        <f t="shared" si="0"/>
        <v>0</v>
      </c>
      <c r="T8" s="769" t="s">
        <v>17</v>
      </c>
      <c r="U8" s="770">
        <f t="shared" si="1"/>
        <v>0</v>
      </c>
      <c r="V8" s="769" t="s">
        <v>17</v>
      </c>
      <c r="W8" s="770">
        <f t="shared" si="2"/>
        <v>0</v>
      </c>
      <c r="X8" s="771"/>
      <c r="Y8" s="3237" t="s">
        <v>2549</v>
      </c>
      <c r="Z8" s="3238"/>
      <c r="AA8" s="772" t="e">
        <f t="shared" ref="AA8:AA34" si="3">D8/F8</f>
        <v>#DIV/0!</v>
      </c>
      <c r="AB8" s="772" t="e">
        <f t="shared" ref="AB8:AB34" si="4">D8/H8</f>
        <v>#DIV/0!</v>
      </c>
      <c r="AC8" s="772" t="e">
        <f t="shared" ref="AC8:AC34" si="5">D8/J8</f>
        <v>#DIV/0!</v>
      </c>
    </row>
    <row r="9" spans="1:29" s="117"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69" t="s">
        <v>2552</v>
      </c>
      <c r="Q9" s="1794" t="str">
        <f t="shared" ref="Q9:Q14" si="6">B9</f>
        <v>用途</v>
      </c>
      <c r="R9" s="769" t="s">
        <v>17</v>
      </c>
      <c r="S9" s="770">
        <f t="shared" si="0"/>
        <v>100</v>
      </c>
      <c r="T9" s="769" t="s">
        <v>17</v>
      </c>
      <c r="U9" s="770">
        <f t="shared" si="1"/>
        <v>100</v>
      </c>
      <c r="V9" s="769" t="s">
        <v>17</v>
      </c>
      <c r="W9" s="770">
        <f t="shared" si="2"/>
        <v>100</v>
      </c>
      <c r="X9" s="771"/>
      <c r="Y9" s="3084" t="s">
        <v>2553</v>
      </c>
      <c r="Z9" s="55"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69"/>
      <c r="Q10" s="1794"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69"/>
      <c r="Q11" s="1794">
        <f t="shared" si="6"/>
        <v>111</v>
      </c>
      <c r="R11" s="769" t="s">
        <v>17</v>
      </c>
      <c r="S11" s="770">
        <f t="shared" si="0"/>
        <v>100</v>
      </c>
      <c r="T11" s="769" t="s">
        <v>17</v>
      </c>
      <c r="U11" s="770">
        <f t="shared" si="1"/>
        <v>100</v>
      </c>
      <c r="V11" s="769" t="s">
        <v>17</v>
      </c>
      <c r="W11" s="770">
        <f t="shared" si="2"/>
        <v>100</v>
      </c>
      <c r="X11" s="771"/>
      <c r="Y11" s="3084"/>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69"/>
      <c r="Q12" s="1794">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269"/>
      <c r="Q13" s="1794">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85.5">
      <c r="A14" s="439" t="s">
        <v>2556</v>
      </c>
      <c r="B14" s="69" t="s">
        <v>2706</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71" t="s">
        <v>2557</v>
      </c>
      <c r="Q14" s="1809" t="str">
        <f t="shared" si="6"/>
        <v>交通便捷度</v>
      </c>
      <c r="R14" s="773" t="s">
        <v>17</v>
      </c>
      <c r="S14" s="774">
        <f t="shared" si="0"/>
        <v>100</v>
      </c>
      <c r="T14" s="773" t="s">
        <v>17</v>
      </c>
      <c r="U14" s="774">
        <f t="shared" si="1"/>
        <v>100</v>
      </c>
      <c r="V14" s="773" t="s">
        <v>17</v>
      </c>
      <c r="W14" s="774">
        <f t="shared" si="2"/>
        <v>100</v>
      </c>
      <c r="X14" s="1812"/>
      <c r="Y14" s="3271" t="s">
        <v>2557</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72"/>
      <c r="Q15" s="1809"/>
      <c r="R15" s="773"/>
      <c r="S15" s="774"/>
      <c r="T15" s="773"/>
      <c r="U15" s="774"/>
      <c r="V15" s="773"/>
      <c r="W15" s="774"/>
      <c r="X15" s="1812"/>
      <c r="Y15" s="3272"/>
      <c r="Z15" s="1813"/>
      <c r="AA15" s="1810">
        <v>1</v>
      </c>
      <c r="AB15" s="1810">
        <v>1</v>
      </c>
      <c r="AC15" s="1810">
        <v>1</v>
      </c>
    </row>
    <row r="16" spans="1:29" ht="42.75">
      <c r="A16" s="427"/>
      <c r="B16" s="450" t="s">
        <v>2685</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72"/>
      <c r="Q16" s="1809" t="str">
        <f>B16</f>
        <v>公共配套设施</v>
      </c>
      <c r="R16" s="773" t="s">
        <v>17</v>
      </c>
      <c r="S16" s="774">
        <f>F16</f>
        <v>100</v>
      </c>
      <c r="T16" s="773" t="s">
        <v>17</v>
      </c>
      <c r="U16" s="774">
        <f>H16</f>
        <v>100</v>
      </c>
      <c r="V16" s="773" t="s">
        <v>17</v>
      </c>
      <c r="W16" s="774">
        <f>J16</f>
        <v>100</v>
      </c>
      <c r="X16" s="1812"/>
      <c r="Y16" s="3272"/>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272"/>
      <c r="Q17" s="1809"/>
      <c r="R17" s="773"/>
      <c r="S17" s="774"/>
      <c r="T17" s="773"/>
      <c r="U17" s="774"/>
      <c r="V17" s="773"/>
      <c r="W17" s="774"/>
      <c r="X17" s="1812"/>
      <c r="Y17" s="3272"/>
      <c r="Z17" s="1813"/>
      <c r="AA17" s="1810">
        <v>1</v>
      </c>
      <c r="AB17" s="1810">
        <v>1</v>
      </c>
      <c r="AC17" s="1810">
        <v>1</v>
      </c>
    </row>
    <row r="18" spans="1:29" ht="28.5">
      <c r="A18" s="427"/>
      <c r="B18" s="1383" t="s">
        <v>2686</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72"/>
      <c r="Q18" s="1809" t="str">
        <f>B18</f>
        <v>基础设施水平</v>
      </c>
      <c r="R18" s="773" t="s">
        <v>17</v>
      </c>
      <c r="S18" s="774">
        <f>F18</f>
        <v>100</v>
      </c>
      <c r="T18" s="773" t="s">
        <v>17</v>
      </c>
      <c r="U18" s="774">
        <f>H18</f>
        <v>100</v>
      </c>
      <c r="V18" s="773" t="s">
        <v>17</v>
      </c>
      <c r="W18" s="774">
        <f>J18</f>
        <v>100</v>
      </c>
      <c r="X18" s="1812"/>
      <c r="Y18" s="3272"/>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272"/>
      <c r="Q19" s="1809"/>
      <c r="R19" s="773"/>
      <c r="S19" s="774"/>
      <c r="T19" s="773"/>
      <c r="U19" s="774"/>
      <c r="V19" s="773"/>
      <c r="W19" s="774"/>
      <c r="X19" s="1812"/>
      <c r="Y19" s="3272"/>
      <c r="Z19" s="1813"/>
      <c r="AA19" s="1810">
        <v>1</v>
      </c>
      <c r="AB19" s="1810">
        <v>1</v>
      </c>
      <c r="AC19" s="1810">
        <v>1</v>
      </c>
    </row>
    <row r="20" spans="1:29" ht="57">
      <c r="A20" s="427"/>
      <c r="B20" s="450" t="s">
        <v>2707</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72"/>
      <c r="Q20" s="1809" t="str">
        <f>B20</f>
        <v>自然及人文环境</v>
      </c>
      <c r="R20" s="773" t="s">
        <v>17</v>
      </c>
      <c r="S20" s="774">
        <f>F20</f>
        <v>100</v>
      </c>
      <c r="T20" s="773" t="s">
        <v>17</v>
      </c>
      <c r="U20" s="774">
        <f>H20</f>
        <v>100</v>
      </c>
      <c r="V20" s="773" t="s">
        <v>17</v>
      </c>
      <c r="W20" s="774">
        <f>J20</f>
        <v>100</v>
      </c>
      <c r="X20" s="1812"/>
      <c r="Y20" s="327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72"/>
      <c r="Q21" s="1809"/>
      <c r="R21" s="773"/>
      <c r="S21" s="774"/>
      <c r="T21" s="773"/>
      <c r="U21" s="774"/>
      <c r="V21" s="773"/>
      <c r="W21" s="774"/>
      <c r="X21" s="1812"/>
      <c r="Y21" s="3272"/>
      <c r="Z21" s="1813"/>
      <c r="AA21" s="1810">
        <v>1</v>
      </c>
      <c r="AB21" s="1810">
        <v>1</v>
      </c>
      <c r="AC21" s="1810">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72"/>
      <c r="Q22" s="1809" t="str">
        <f>B22</f>
        <v>楼层</v>
      </c>
      <c r="R22" s="773" t="s">
        <v>17</v>
      </c>
      <c r="S22" s="774">
        <f>F22</f>
        <v>100</v>
      </c>
      <c r="T22" s="773" t="s">
        <v>17</v>
      </c>
      <c r="U22" s="774">
        <f>H22</f>
        <v>100</v>
      </c>
      <c r="V22" s="773" t="s">
        <v>17</v>
      </c>
      <c r="W22" s="774">
        <f>J22</f>
        <v>100</v>
      </c>
      <c r="X22" s="1812"/>
      <c r="Y22" s="3272"/>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72"/>
      <c r="Q23" s="1809">
        <f>B23</f>
        <v>111</v>
      </c>
      <c r="R23" s="773" t="s">
        <v>17</v>
      </c>
      <c r="S23" s="774">
        <f>F23</f>
        <v>100</v>
      </c>
      <c r="T23" s="773" t="s">
        <v>17</v>
      </c>
      <c r="U23" s="774">
        <f>H23</f>
        <v>100</v>
      </c>
      <c r="V23" s="773" t="s">
        <v>17</v>
      </c>
      <c r="W23" s="774">
        <f>J23</f>
        <v>100</v>
      </c>
      <c r="X23" s="1812"/>
      <c r="Y23" s="3272"/>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72"/>
      <c r="Q24" s="1809">
        <f t="shared" ref="Q24:Q34" si="11">B24</f>
        <v>111</v>
      </c>
      <c r="R24" s="773" t="s">
        <v>17</v>
      </c>
      <c r="S24" s="774">
        <f>F24</f>
        <v>100</v>
      </c>
      <c r="T24" s="773" t="s">
        <v>17</v>
      </c>
      <c r="U24" s="774">
        <f>H24</f>
        <v>100</v>
      </c>
      <c r="V24" s="773" t="s">
        <v>17</v>
      </c>
      <c r="W24" s="774">
        <f>J24</f>
        <v>100</v>
      </c>
      <c r="X24" s="1812"/>
      <c r="Y24" s="3272"/>
      <c r="Z24" s="1813">
        <f>Q24</f>
        <v>111</v>
      </c>
      <c r="AA24" s="1810">
        <f t="shared" si="3"/>
        <v>1</v>
      </c>
      <c r="AB24" s="1810">
        <f t="shared" si="4"/>
        <v>1</v>
      </c>
      <c r="AC24" s="1810">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272"/>
      <c r="Q25" s="1794">
        <f t="shared" si="11"/>
        <v>111</v>
      </c>
      <c r="R25" s="769" t="s">
        <v>17</v>
      </c>
      <c r="S25" s="770">
        <f>F25</f>
        <v>100</v>
      </c>
      <c r="T25" s="769" t="s">
        <v>17</v>
      </c>
      <c r="U25" s="770">
        <f>H25</f>
        <v>100</v>
      </c>
      <c r="V25" s="769" t="s">
        <v>17</v>
      </c>
      <c r="W25" s="770">
        <f>J25</f>
        <v>100</v>
      </c>
      <c r="X25" s="771"/>
      <c r="Y25" s="3272"/>
      <c r="Z25" s="55">
        <f>Q25</f>
        <v>111</v>
      </c>
      <c r="AA25" s="1810">
        <f>D25/F25</f>
        <v>1</v>
      </c>
      <c r="AB25" s="1810">
        <f>D25/H25</f>
        <v>1</v>
      </c>
      <c r="AC25" s="1810">
        <f>D25/J25</f>
        <v>1</v>
      </c>
    </row>
    <row r="26" spans="1:29" ht="28.5">
      <c r="A26" s="465" t="s">
        <v>2560</v>
      </c>
      <c r="B26" s="71" t="s">
        <v>2711</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95" t="s">
        <v>2562</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76" t="s">
        <v>2562</v>
      </c>
      <c r="Z26" s="1813" t="str">
        <f t="shared" ref="Z26:Z34" si="15">Q26</f>
        <v>公共部分装修</v>
      </c>
      <c r="AA26" s="1810">
        <f t="shared" si="3"/>
        <v>1</v>
      </c>
      <c r="AB26" s="1810">
        <f t="shared" si="4"/>
        <v>1</v>
      </c>
      <c r="AC26" s="1810">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76"/>
      <c r="Q27" s="775" t="str">
        <f t="shared" si="11"/>
        <v>成新率</v>
      </c>
      <c r="R27" s="776" t="s">
        <v>17</v>
      </c>
      <c r="S27" s="777" t="e">
        <f t="shared" si="12"/>
        <v>#N/A</v>
      </c>
      <c r="T27" s="776" t="s">
        <v>17</v>
      </c>
      <c r="U27" s="777" t="e">
        <f t="shared" si="13"/>
        <v>#N/A</v>
      </c>
      <c r="V27" s="776" t="s">
        <v>17</v>
      </c>
      <c r="W27" s="777" t="e">
        <f t="shared" si="14"/>
        <v>#N/A</v>
      </c>
      <c r="X27" s="778"/>
      <c r="Y27" s="3276"/>
      <c r="Z27" s="779" t="str">
        <f t="shared" si="15"/>
        <v>成新率</v>
      </c>
      <c r="AA27" s="1810" t="e">
        <f t="shared" si="3"/>
        <v>#N/A</v>
      </c>
      <c r="AB27" s="1810" t="e">
        <f t="shared" si="4"/>
        <v>#N/A</v>
      </c>
      <c r="AC27" s="1810"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76"/>
      <c r="Q28" s="1809" t="str">
        <f t="shared" si="11"/>
        <v>物业等级</v>
      </c>
      <c r="R28" s="773" t="s">
        <v>17</v>
      </c>
      <c r="S28" s="774">
        <f t="shared" si="12"/>
        <v>100</v>
      </c>
      <c r="T28" s="773" t="s">
        <v>17</v>
      </c>
      <c r="U28" s="774">
        <f t="shared" si="13"/>
        <v>100</v>
      </c>
      <c r="V28" s="773" t="s">
        <v>17</v>
      </c>
      <c r="W28" s="774">
        <f t="shared" si="14"/>
        <v>100</v>
      </c>
      <c r="X28" s="1812"/>
      <c r="Y28" s="3276"/>
      <c r="Z28" s="1813" t="str">
        <f t="shared" si="15"/>
        <v>物业等级</v>
      </c>
      <c r="AA28" s="1810">
        <f t="shared" si="3"/>
        <v>1</v>
      </c>
      <c r="AB28" s="1810">
        <f t="shared" si="4"/>
        <v>1</v>
      </c>
      <c r="AC28" s="1810">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76"/>
      <c r="Q29" s="1809" t="str">
        <f t="shared" si="11"/>
        <v>有无电梯</v>
      </c>
      <c r="R29" s="773" t="s">
        <v>17</v>
      </c>
      <c r="S29" s="774">
        <f t="shared" si="12"/>
        <v>100</v>
      </c>
      <c r="T29" s="773" t="s">
        <v>17</v>
      </c>
      <c r="U29" s="774">
        <f t="shared" si="13"/>
        <v>100</v>
      </c>
      <c r="V29" s="773" t="s">
        <v>17</v>
      </c>
      <c r="W29" s="774">
        <f t="shared" si="14"/>
        <v>100</v>
      </c>
      <c r="X29" s="1812"/>
      <c r="Y29" s="3276"/>
      <c r="Z29" s="1813" t="str">
        <f t="shared" si="15"/>
        <v>有无电梯</v>
      </c>
      <c r="AA29" s="1810">
        <f t="shared" si="3"/>
        <v>1</v>
      </c>
      <c r="AB29" s="1810">
        <f t="shared" si="4"/>
        <v>1</v>
      </c>
      <c r="AC29" s="1810">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76"/>
      <c r="Q30" s="1809" t="str">
        <f t="shared" si="11"/>
        <v>建筑面积</v>
      </c>
      <c r="R30" s="773" t="s">
        <v>17</v>
      </c>
      <c r="S30" s="774" t="e">
        <f t="shared" si="12"/>
        <v>#N/A</v>
      </c>
      <c r="T30" s="773" t="s">
        <v>17</v>
      </c>
      <c r="U30" s="774" t="e">
        <f t="shared" si="13"/>
        <v>#N/A</v>
      </c>
      <c r="V30" s="773" t="s">
        <v>17</v>
      </c>
      <c r="W30" s="774" t="e">
        <f t="shared" si="14"/>
        <v>#N/A</v>
      </c>
      <c r="X30" s="1812"/>
      <c r="Y30" s="3276"/>
      <c r="Z30" s="1813" t="str">
        <f t="shared" si="15"/>
        <v>建筑面积</v>
      </c>
      <c r="AA30" s="1810" t="e">
        <f t="shared" si="3"/>
        <v>#N/A</v>
      </c>
      <c r="AB30" s="1810" t="e">
        <f t="shared" si="4"/>
        <v>#N/A</v>
      </c>
      <c r="AC30" s="1810" t="e">
        <f t="shared" si="5"/>
        <v>#N/A</v>
      </c>
    </row>
    <row r="31" spans="1:29" s="117"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76"/>
      <c r="Q31" s="1794" t="str">
        <f t="shared" si="11"/>
        <v>是否封闭</v>
      </c>
      <c r="R31" s="769" t="s">
        <v>17</v>
      </c>
      <c r="S31" s="770">
        <f t="shared" si="12"/>
        <v>100</v>
      </c>
      <c r="T31" s="769" t="s">
        <v>17</v>
      </c>
      <c r="U31" s="770">
        <f t="shared" si="13"/>
        <v>100</v>
      </c>
      <c r="V31" s="769" t="s">
        <v>17</v>
      </c>
      <c r="W31" s="770">
        <f t="shared" si="14"/>
        <v>100</v>
      </c>
      <c r="X31" s="771"/>
      <c r="Y31" s="3276"/>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76" t="s">
        <v>2562</v>
      </c>
      <c r="Q32" s="1809">
        <f t="shared" si="11"/>
        <v>111</v>
      </c>
      <c r="R32" s="773" t="s">
        <v>17</v>
      </c>
      <c r="S32" s="774">
        <f t="shared" si="12"/>
        <v>100</v>
      </c>
      <c r="T32" s="773" t="s">
        <v>17</v>
      </c>
      <c r="U32" s="774">
        <f t="shared" si="13"/>
        <v>100</v>
      </c>
      <c r="V32" s="773" t="s">
        <v>17</v>
      </c>
      <c r="W32" s="774">
        <f t="shared" si="14"/>
        <v>100</v>
      </c>
      <c r="X32" s="1812"/>
      <c r="Y32" s="3276" t="s">
        <v>2562</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76"/>
      <c r="Q33" s="1809">
        <f t="shared" si="11"/>
        <v>111</v>
      </c>
      <c r="R33" s="773" t="s">
        <v>17</v>
      </c>
      <c r="S33" s="774">
        <f t="shared" si="12"/>
        <v>100</v>
      </c>
      <c r="T33" s="773" t="s">
        <v>17</v>
      </c>
      <c r="U33" s="774">
        <f t="shared" si="13"/>
        <v>100</v>
      </c>
      <c r="V33" s="773" t="s">
        <v>17</v>
      </c>
      <c r="W33" s="774">
        <f t="shared" si="14"/>
        <v>100</v>
      </c>
      <c r="X33" s="1812"/>
      <c r="Y33" s="3276"/>
      <c r="Z33" s="1813">
        <f t="shared" si="15"/>
        <v>111</v>
      </c>
      <c r="AA33" s="1810">
        <f t="shared" si="3"/>
        <v>1</v>
      </c>
      <c r="AB33" s="1810">
        <f t="shared" si="4"/>
        <v>1</v>
      </c>
      <c r="AC33" s="1810">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276"/>
      <c r="Q34" s="1809">
        <f t="shared" si="11"/>
        <v>111</v>
      </c>
      <c r="R34" s="773" t="s">
        <v>17</v>
      </c>
      <c r="S34" s="774">
        <f t="shared" si="12"/>
        <v>100</v>
      </c>
      <c r="T34" s="773" t="s">
        <v>17</v>
      </c>
      <c r="U34" s="774">
        <f t="shared" si="13"/>
        <v>100</v>
      </c>
      <c r="V34" s="773" t="s">
        <v>17</v>
      </c>
      <c r="W34" s="774">
        <f t="shared" si="14"/>
        <v>100</v>
      </c>
      <c r="X34" s="1812"/>
      <c r="Y34" s="3276"/>
      <c r="Z34" s="1813">
        <f t="shared" si="15"/>
        <v>111</v>
      </c>
      <c r="AA34" s="1810">
        <f t="shared" si="3"/>
        <v>1</v>
      </c>
      <c r="AB34" s="1810">
        <f t="shared" si="4"/>
        <v>1</v>
      </c>
      <c r="AC34" s="1810">
        <f t="shared" si="5"/>
        <v>1</v>
      </c>
    </row>
    <row r="35" spans="1:29" ht="15">
      <c r="A35" s="478" t="s">
        <v>2574</v>
      </c>
      <c r="B35" s="479"/>
      <c r="C35" s="1406" t="s">
        <v>1</v>
      </c>
      <c r="D35" s="1407"/>
      <c r="E35" s="1408"/>
      <c r="F35" s="1409"/>
      <c r="G35" s="1410"/>
      <c r="H35" s="1411"/>
      <c r="I35" s="1408"/>
      <c r="J35" s="1411"/>
      <c r="K35" s="782"/>
      <c r="L35" s="1142"/>
      <c r="M35" s="1143"/>
      <c r="N35" s="1130"/>
      <c r="O35" s="1143"/>
      <c r="P35" s="3269" t="str">
        <f>A35</f>
        <v>成交单价（元/平方米）</v>
      </c>
      <c r="Q35" s="3269"/>
      <c r="R35" s="3270">
        <f>E35</f>
        <v>0</v>
      </c>
      <c r="S35" s="3270"/>
      <c r="T35" s="3270">
        <f>G35</f>
        <v>0</v>
      </c>
      <c r="U35" s="3270"/>
      <c r="V35" s="3270">
        <f>I35</f>
        <v>0</v>
      </c>
      <c r="W35" s="3270"/>
      <c r="X35" s="758"/>
      <c r="Y35" s="780"/>
      <c r="Z35" s="758"/>
      <c r="AA35" s="758"/>
      <c r="AB35" s="758"/>
      <c r="AC35" s="758"/>
    </row>
    <row r="36" spans="1:29" ht="15.75" thickBot="1">
      <c r="A36" s="485" t="s">
        <v>2666</v>
      </c>
      <c r="B36" s="486"/>
      <c r="C36" s="1412" t="e">
        <f>R37</f>
        <v>#DIV/0!</v>
      </c>
      <c r="D36" s="1413"/>
      <c r="E36" s="1414" t="e">
        <f>R36</f>
        <v>#DIV/0!</v>
      </c>
      <c r="F36" s="1414"/>
      <c r="G36" s="1412" t="e">
        <f>T36</f>
        <v>#DIV/0!</v>
      </c>
      <c r="H36" s="1413"/>
      <c r="I36" s="1414" t="e">
        <f>V36</f>
        <v>#DIV/0!</v>
      </c>
      <c r="J36" s="1413"/>
      <c r="K36" s="783"/>
      <c r="L36" s="1142"/>
      <c r="M36" s="1143"/>
      <c r="N36" s="1130"/>
      <c r="O36" s="1143"/>
      <c r="P36" s="3269" t="str">
        <f>A36</f>
        <v>比较价值（元/平方米）</v>
      </c>
      <c r="Q36" s="3269"/>
      <c r="R36" s="3270" t="e">
        <f>IF(F1="售价",ROUND(PRODUCT(R35,AA7:AA34),0),ROUND(PRODUCT(R35,AA7:AA34),1))</f>
        <v>#DIV/0!</v>
      </c>
      <c r="S36" s="3270"/>
      <c r="T36" s="3270" t="e">
        <f>IF(F1="售价",ROUND(PRODUCT(T35,AB7:AB34),0),ROUND(PRODUCT(T35,AB7:AB34),1))</f>
        <v>#DIV/0!</v>
      </c>
      <c r="U36" s="3270"/>
      <c r="V36" s="3270" t="e">
        <f>IF(F1="售价",ROUND(PRODUCT(V35,AC7:AC34),0),ROUND(PRODUCT(V35,AC7:AC34),1))</f>
        <v>#DIV/0!</v>
      </c>
      <c r="W36" s="3270"/>
      <c r="X36" s="758"/>
      <c r="Y36" s="758"/>
      <c r="Z36" s="758"/>
      <c r="AA36" s="758"/>
      <c r="AB36" s="758"/>
      <c r="AC36" s="758"/>
    </row>
    <row r="37" spans="1:29" ht="15.75" thickBot="1">
      <c r="A37" s="491" t="s">
        <v>2667</v>
      </c>
      <c r="B37" s="492"/>
      <c r="C37" s="1416" t="e">
        <f>R37</f>
        <v>#DIV/0!</v>
      </c>
      <c r="D37" s="1416"/>
      <c r="E37" s="1416"/>
      <c r="F37" s="1416"/>
      <c r="G37" s="1416"/>
      <c r="H37" s="1416"/>
      <c r="I37" s="1416"/>
      <c r="J37" s="1416"/>
      <c r="K37" s="784"/>
      <c r="L37" s="1142"/>
      <c r="M37" s="1143"/>
      <c r="N37" s="1143"/>
      <c r="O37" s="1143"/>
      <c r="P37" s="3266" t="str">
        <f>A37</f>
        <v>估价对象XX用房的比较价值（楼面单价，元/平方米）</v>
      </c>
      <c r="Q37" s="3267"/>
      <c r="R37" s="3268" t="e">
        <f>IF(F1="售价",ROUND(AVERAGE(R36:V36),0),ROUND(AVERAGE(R36:V36),1))</f>
        <v>#DIV/0!</v>
      </c>
      <c r="S37" s="3268"/>
      <c r="T37" s="3268"/>
      <c r="U37" s="3268"/>
      <c r="V37" s="3268"/>
      <c r="W37" s="326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2582</v>
      </c>
      <c r="B48" s="515"/>
      <c r="C48" s="516"/>
      <c r="D48" s="517"/>
      <c r="E48" s="517"/>
      <c r="F48" s="517"/>
      <c r="G48" s="517"/>
      <c r="H48" s="517"/>
      <c r="I48" s="517"/>
      <c r="J48" s="517"/>
      <c r="K48" s="517"/>
      <c r="L48" s="517"/>
      <c r="M48" s="518"/>
      <c r="N48" s="517"/>
      <c r="O48" s="519"/>
      <c r="P48" s="503"/>
      <c r="Q48" s="503"/>
    </row>
    <row r="49" spans="1:17" s="117" customFormat="1" ht="15">
      <c r="A49" s="520" t="s">
        <v>2547</v>
      </c>
      <c r="B49" s="509"/>
      <c r="C49" s="521" t="s">
        <v>2649</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2585</v>
      </c>
      <c r="B51" s="527" t="s">
        <v>2551</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2726</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2560</v>
      </c>
      <c r="B77" s="527" t="s">
        <v>2613</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2730</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2738</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2740</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2326</v>
      </c>
      <c r="B3" s="608" t="e">
        <f>ROUND(IF(D3="",B2*10000/'数据-汇总表'!E3,B2*10000/D3),0)</f>
        <v>#DIV/0!</v>
      </c>
      <c r="C3" s="246"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2642</v>
      </c>
      <c r="B4" s="401"/>
      <c r="C4" s="3252" t="s">
        <v>2643</v>
      </c>
      <c r="D4" s="3253"/>
      <c r="E4" s="3254" t="s">
        <v>2644</v>
      </c>
      <c r="F4" s="3255"/>
      <c r="G4" s="3252" t="s">
        <v>2645</v>
      </c>
      <c r="H4" s="3253"/>
      <c r="I4" s="3252" t="s">
        <v>2646</v>
      </c>
      <c r="J4" s="3253"/>
      <c r="K4" s="609" t="s">
        <v>2647</v>
      </c>
      <c r="L4" s="1129"/>
      <c r="M4" s="1130"/>
      <c r="N4" s="1130"/>
      <c r="O4" s="1130"/>
      <c r="P4" s="3256" t="s">
        <v>2648</v>
      </c>
      <c r="Q4" s="3257"/>
      <c r="R4" s="3239" t="s">
        <v>2644</v>
      </c>
      <c r="S4" s="3240"/>
      <c r="T4" s="3239" t="s">
        <v>2645</v>
      </c>
      <c r="U4" s="3240"/>
      <c r="V4" s="3264" t="s">
        <v>2646</v>
      </c>
      <c r="W4" s="3264"/>
      <c r="X4" s="1812"/>
      <c r="Y4" s="3239" t="s">
        <v>2648</v>
      </c>
      <c r="Z4" s="3240"/>
      <c r="AA4" s="3234" t="s">
        <v>2644</v>
      </c>
      <c r="AB4" s="3235" t="s">
        <v>2645</v>
      </c>
      <c r="AC4" s="3234" t="s">
        <v>2646</v>
      </c>
    </row>
    <row r="5" spans="1:30" ht="15">
      <c r="A5" s="403"/>
      <c r="B5" s="404"/>
      <c r="C5" s="3245" t="s">
        <v>2539</v>
      </c>
      <c r="D5" s="3246"/>
      <c r="E5" s="3243" t="s">
        <v>2540</v>
      </c>
      <c r="F5" s="3244"/>
      <c r="G5" s="3245" t="s">
        <v>2541</v>
      </c>
      <c r="H5" s="3246"/>
      <c r="I5" s="3245" t="s">
        <v>2542</v>
      </c>
      <c r="J5" s="3246"/>
      <c r="K5" s="609"/>
      <c r="L5" s="1129"/>
      <c r="M5" s="1130"/>
      <c r="N5" s="1130"/>
      <c r="O5" s="1130"/>
      <c r="P5" s="3258"/>
      <c r="Q5" s="3259"/>
      <c r="R5" s="3241"/>
      <c r="S5" s="3242"/>
      <c r="T5" s="3241"/>
      <c r="U5" s="3242"/>
      <c r="V5" s="3264"/>
      <c r="W5" s="3264"/>
      <c r="X5" s="1812"/>
      <c r="Y5" s="3241"/>
      <c r="Z5" s="3242"/>
      <c r="AA5" s="3235"/>
      <c r="AB5" s="3235"/>
      <c r="AC5" s="3235"/>
    </row>
    <row r="6" spans="1:30" ht="15.75" thickBot="1">
      <c r="A6" s="405"/>
      <c r="B6" s="406"/>
      <c r="C6" s="3247" t="s">
        <v>2543</v>
      </c>
      <c r="D6" s="3248"/>
      <c r="E6" s="3249" t="s">
        <v>2543</v>
      </c>
      <c r="F6" s="3250"/>
      <c r="G6" s="3247" t="s">
        <v>2543</v>
      </c>
      <c r="H6" s="3248"/>
      <c r="I6" s="3247" t="s">
        <v>2543</v>
      </c>
      <c r="J6" s="3248"/>
      <c r="K6" s="609" t="s">
        <v>2544</v>
      </c>
      <c r="L6" s="1129"/>
      <c r="M6" s="1130"/>
      <c r="N6" s="1130"/>
      <c r="O6" s="1130"/>
      <c r="P6" s="3260"/>
      <c r="Q6" s="3261"/>
      <c r="R6" s="3241"/>
      <c r="S6" s="3242"/>
      <c r="T6" s="3262"/>
      <c r="U6" s="3263"/>
      <c r="V6" s="3264"/>
      <c r="W6" s="3264"/>
      <c r="X6" s="1812"/>
      <c r="Y6" s="3262"/>
      <c r="Z6" s="3263"/>
      <c r="AA6" s="3236"/>
      <c r="AB6" s="3236"/>
      <c r="AC6" s="3236"/>
    </row>
    <row r="7" spans="1:30" s="117" customFormat="1" ht="15.75" thickBot="1">
      <c r="A7" s="407" t="s">
        <v>2545</v>
      </c>
      <c r="B7" s="408"/>
      <c r="C7" s="409">
        <f>'数据-取费表'!B2</f>
        <v>43934</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237" t="s">
        <v>2546</v>
      </c>
      <c r="Q7" s="3265"/>
      <c r="R7" s="769" t="s">
        <v>17</v>
      </c>
      <c r="S7" s="770">
        <f t="shared" ref="S7:S15" si="0">F7</f>
        <v>0</v>
      </c>
      <c r="T7" s="769" t="s">
        <v>17</v>
      </c>
      <c r="U7" s="770">
        <f t="shared" ref="U7:U15" si="1">H7</f>
        <v>0</v>
      </c>
      <c r="V7" s="769" t="s">
        <v>17</v>
      </c>
      <c r="W7" s="770">
        <f t="shared" ref="W7:W15" si="2">J7</f>
        <v>0</v>
      </c>
      <c r="X7" s="771"/>
      <c r="Y7" s="3237" t="s">
        <v>2546</v>
      </c>
      <c r="Z7" s="3238"/>
      <c r="AA7" s="772" t="e">
        <f>D7/F7</f>
        <v>#DIV/0!</v>
      </c>
      <c r="AB7" s="772" t="e">
        <f>D7/H7</f>
        <v>#DIV/0!</v>
      </c>
      <c r="AC7" s="772" t="e">
        <f>D7/J7</f>
        <v>#DIV/0!</v>
      </c>
    </row>
    <row r="8" spans="1:30" s="117" customFormat="1" ht="15.75" thickBot="1">
      <c r="A8" s="407" t="s">
        <v>2547</v>
      </c>
      <c r="B8" s="408"/>
      <c r="C8" s="413" t="s">
        <v>2548</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37" t="s">
        <v>2549</v>
      </c>
      <c r="Q8" s="3238"/>
      <c r="R8" s="769" t="s">
        <v>17</v>
      </c>
      <c r="S8" s="770">
        <f t="shared" si="0"/>
        <v>0</v>
      </c>
      <c r="T8" s="769" t="s">
        <v>17</v>
      </c>
      <c r="U8" s="770">
        <f t="shared" si="1"/>
        <v>0</v>
      </c>
      <c r="V8" s="769" t="s">
        <v>17</v>
      </c>
      <c r="W8" s="770">
        <f t="shared" si="2"/>
        <v>0</v>
      </c>
      <c r="X8" s="771"/>
      <c r="Y8" s="3237" t="s">
        <v>2549</v>
      </c>
      <c r="Z8" s="3238"/>
      <c r="AA8" s="772" t="e">
        <f t="shared" ref="AA8:AA45" si="3">D8/F8</f>
        <v>#DIV/0!</v>
      </c>
      <c r="AB8" s="772" t="e">
        <f t="shared" ref="AB8:AB45" si="4">D8/H8</f>
        <v>#DIV/0!</v>
      </c>
      <c r="AC8" s="772" t="e">
        <f t="shared" ref="AC8:AC45" si="5">D8/J8</f>
        <v>#DIV/0!</v>
      </c>
    </row>
    <row r="9" spans="1:30" s="117" customFormat="1">
      <c r="A9" s="414" t="s">
        <v>2550</v>
      </c>
      <c r="B9" s="71" t="s">
        <v>2551</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269" t="s">
        <v>2552</v>
      </c>
      <c r="Q9" s="1794" t="str">
        <f t="shared" ref="Q9:Q15" si="6">B9</f>
        <v>用途</v>
      </c>
      <c r="R9" s="769" t="s">
        <v>17</v>
      </c>
      <c r="S9" s="770">
        <f t="shared" si="0"/>
        <v>100</v>
      </c>
      <c r="T9" s="769" t="s">
        <v>17</v>
      </c>
      <c r="U9" s="770">
        <f t="shared" si="1"/>
        <v>100</v>
      </c>
      <c r="V9" s="769" t="s">
        <v>17</v>
      </c>
      <c r="W9" s="770">
        <f t="shared" si="2"/>
        <v>100</v>
      </c>
      <c r="X9" s="771"/>
      <c r="Y9" s="3084" t="s">
        <v>2553</v>
      </c>
      <c r="Z9" s="55" t="str">
        <f t="shared" ref="Z9:Z15" si="7">Q9</f>
        <v>用途</v>
      </c>
      <c r="AA9" s="772">
        <f t="shared" si="3"/>
        <v>1</v>
      </c>
      <c r="AB9" s="772">
        <f t="shared" si="4"/>
        <v>1</v>
      </c>
      <c r="AC9" s="772">
        <f t="shared" si="5"/>
        <v>1</v>
      </c>
    </row>
    <row r="10" spans="1:30" s="426" customFormat="1" ht="27">
      <c r="A10" s="420"/>
      <c r="B10" s="421" t="s">
        <v>2554</v>
      </c>
      <c r="C10" s="431"/>
      <c r="D10" s="135">
        <v>100</v>
      </c>
      <c r="E10" s="464"/>
      <c r="F10" s="135">
        <f ca="1">ROUND(100/'数据-取费表'!G16,0)</f>
        <v>122</v>
      </c>
      <c r="G10" s="462"/>
      <c r="H10" s="135">
        <f ca="1">ROUND(100/'数据-取费表'!G16,0)</f>
        <v>122</v>
      </c>
      <c r="I10" s="462"/>
      <c r="J10" s="135">
        <f ca="1">ROUND(100/'数据-取费表'!G16,0)</f>
        <v>122</v>
      </c>
      <c r="K10" s="671"/>
      <c r="L10" s="1134"/>
      <c r="M10" s="1135"/>
      <c r="N10" s="1135"/>
      <c r="O10" s="1136"/>
      <c r="P10" s="3269"/>
      <c r="Q10" s="1794" t="str">
        <f t="shared" si="6"/>
        <v>土地使用年限（年）</v>
      </c>
      <c r="R10" s="769" t="s">
        <v>17</v>
      </c>
      <c r="S10" s="770">
        <f t="shared" ca="1" si="0"/>
        <v>122</v>
      </c>
      <c r="T10" s="769" t="s">
        <v>17</v>
      </c>
      <c r="U10" s="770">
        <f t="shared" ca="1" si="1"/>
        <v>122</v>
      </c>
      <c r="V10" s="769" t="s">
        <v>17</v>
      </c>
      <c r="W10" s="770">
        <f t="shared" ca="1" si="2"/>
        <v>122</v>
      </c>
      <c r="X10" s="771"/>
      <c r="Y10" s="3084"/>
      <c r="Z10" s="55" t="str">
        <f t="shared" si="7"/>
        <v>土地使用年限（年）</v>
      </c>
      <c r="AA10" s="772">
        <f t="shared" ca="1" si="3"/>
        <v>0.81967213114754101</v>
      </c>
      <c r="AB10" s="772">
        <f t="shared" ca="1" si="4"/>
        <v>0.81967213114754101</v>
      </c>
      <c r="AC10" s="772">
        <f t="shared" ca="1" si="5"/>
        <v>0.81967213114754101</v>
      </c>
    </row>
    <row r="11" spans="1:30" ht="15">
      <c r="A11" s="427"/>
      <c r="B11" s="421" t="s">
        <v>2555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69"/>
      <c r="Q11" s="1794"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772" t="e">
        <f t="shared" si="5"/>
        <v>#N/A</v>
      </c>
    </row>
    <row r="12" spans="1:30" s="117" customFormat="1" ht="15">
      <c r="A12" s="430"/>
      <c r="B12" s="2599" t="s">
        <v>2744</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69"/>
      <c r="Q12" s="1794" t="str">
        <f t="shared" si="6"/>
        <v>配建</v>
      </c>
      <c r="R12" s="769" t="s">
        <v>17</v>
      </c>
      <c r="S12" s="770">
        <f t="shared" si="0"/>
        <v>100</v>
      </c>
      <c r="T12" s="769" t="s">
        <v>17</v>
      </c>
      <c r="U12" s="770">
        <f t="shared" si="1"/>
        <v>100</v>
      </c>
      <c r="V12" s="769" t="s">
        <v>17</v>
      </c>
      <c r="W12" s="770">
        <f t="shared" si="2"/>
        <v>100</v>
      </c>
      <c r="X12" s="771"/>
      <c r="Y12" s="3084"/>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69"/>
      <c r="Q13" s="1794">
        <f t="shared" si="6"/>
        <v>111</v>
      </c>
      <c r="R13" s="769" t="s">
        <v>17</v>
      </c>
      <c r="S13" s="770">
        <f t="shared" si="0"/>
        <v>100</v>
      </c>
      <c r="T13" s="769" t="s">
        <v>17</v>
      </c>
      <c r="U13" s="770">
        <f t="shared" si="1"/>
        <v>100</v>
      </c>
      <c r="V13" s="769" t="s">
        <v>17</v>
      </c>
      <c r="W13" s="770">
        <f t="shared" si="2"/>
        <v>100</v>
      </c>
      <c r="X13" s="771"/>
      <c r="Y13" s="3084"/>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69"/>
      <c r="Q14" s="1794">
        <f t="shared" si="6"/>
        <v>111</v>
      </c>
      <c r="R14" s="769" t="s">
        <v>17</v>
      </c>
      <c r="S14" s="770">
        <f t="shared" si="0"/>
        <v>100</v>
      </c>
      <c r="T14" s="769" t="s">
        <v>17</v>
      </c>
      <c r="U14" s="770">
        <f t="shared" si="1"/>
        <v>100</v>
      </c>
      <c r="V14" s="769" t="s">
        <v>17</v>
      </c>
      <c r="W14" s="770">
        <f t="shared" si="2"/>
        <v>100</v>
      </c>
      <c r="X14" s="771"/>
      <c r="Y14" s="3084"/>
      <c r="Z14" s="55">
        <f t="shared" si="7"/>
        <v>111</v>
      </c>
      <c r="AA14" s="772">
        <f>D14/F14</f>
        <v>1</v>
      </c>
      <c r="AB14" s="772">
        <f>D14/H14</f>
        <v>1</v>
      </c>
      <c r="AC14" s="772">
        <f>D14/J14</f>
        <v>1</v>
      </c>
    </row>
    <row r="15" spans="1:30" ht="99.75">
      <c r="A15" s="439" t="s">
        <v>2556</v>
      </c>
      <c r="B15" s="69" t="s">
        <v>2082</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71" t="s">
        <v>2557</v>
      </c>
      <c r="Q15" s="1809" t="str">
        <f t="shared" si="6"/>
        <v>居住社区成熟度</v>
      </c>
      <c r="R15" s="773" t="s">
        <v>17</v>
      </c>
      <c r="S15" s="774">
        <f t="shared" si="0"/>
        <v>100</v>
      </c>
      <c r="T15" s="773" t="s">
        <v>17</v>
      </c>
      <c r="U15" s="774">
        <f t="shared" si="1"/>
        <v>100</v>
      </c>
      <c r="V15" s="773" t="s">
        <v>17</v>
      </c>
      <c r="W15" s="774">
        <f t="shared" si="2"/>
        <v>100</v>
      </c>
      <c r="X15" s="1812"/>
      <c r="Y15" s="3271" t="s">
        <v>2557</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272"/>
      <c r="Q16" s="1809"/>
      <c r="R16" s="773"/>
      <c r="S16" s="774"/>
      <c r="T16" s="773"/>
      <c r="U16" s="774"/>
      <c r="V16" s="773"/>
      <c r="W16" s="774"/>
      <c r="X16" s="1812"/>
      <c r="Y16" s="3272"/>
      <c r="Z16" s="1813"/>
      <c r="AA16" s="1810">
        <v>1</v>
      </c>
      <c r="AB16" s="1810">
        <v>1</v>
      </c>
      <c r="AC16" s="1810">
        <v>1</v>
      </c>
    </row>
    <row r="17" spans="1:29" ht="71.25">
      <c r="A17" s="427"/>
      <c r="B17" s="450" t="s">
        <v>2650</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72"/>
      <c r="Q17" s="1809" t="str">
        <f>B17</f>
        <v>商业繁华度</v>
      </c>
      <c r="R17" s="773" t="s">
        <v>17</v>
      </c>
      <c r="S17" s="774">
        <f>F17</f>
        <v>100</v>
      </c>
      <c r="T17" s="773" t="s">
        <v>17</v>
      </c>
      <c r="U17" s="774">
        <f>H17</f>
        <v>100</v>
      </c>
      <c r="V17" s="773" t="s">
        <v>17</v>
      </c>
      <c r="W17" s="774">
        <f>J17</f>
        <v>100</v>
      </c>
      <c r="X17" s="1812"/>
      <c r="Y17" s="3272"/>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272"/>
      <c r="Q18" s="1809"/>
      <c r="R18" s="773"/>
      <c r="S18" s="774"/>
      <c r="T18" s="773"/>
      <c r="U18" s="774"/>
      <c r="V18" s="773"/>
      <c r="W18" s="774"/>
      <c r="X18" s="1812"/>
      <c r="Y18" s="3272"/>
      <c r="Z18" s="1813"/>
      <c r="AA18" s="1810">
        <v>1</v>
      </c>
      <c r="AB18" s="1810">
        <v>1</v>
      </c>
      <c r="AC18" s="1810">
        <v>1</v>
      </c>
    </row>
    <row r="19" spans="1:29" ht="71.25">
      <c r="A19" s="427"/>
      <c r="B19" s="450" t="s">
        <v>2684</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72"/>
      <c r="Q19" s="1809" t="str">
        <f>B19</f>
        <v>办公集聚程度</v>
      </c>
      <c r="R19" s="773" t="s">
        <v>17</v>
      </c>
      <c r="S19" s="774">
        <f>F19</f>
        <v>100</v>
      </c>
      <c r="T19" s="773" t="s">
        <v>17</v>
      </c>
      <c r="U19" s="774">
        <f>H19</f>
        <v>100</v>
      </c>
      <c r="V19" s="773" t="s">
        <v>17</v>
      </c>
      <c r="W19" s="774">
        <f>J19</f>
        <v>100</v>
      </c>
      <c r="X19" s="1812"/>
      <c r="Y19" s="3272"/>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272"/>
      <c r="Q20" s="1809"/>
      <c r="R20" s="773"/>
      <c r="S20" s="774"/>
      <c r="T20" s="773"/>
      <c r="U20" s="774"/>
      <c r="V20" s="773"/>
      <c r="W20" s="774"/>
      <c r="X20" s="1812"/>
      <c r="Y20" s="3272"/>
      <c r="Z20" s="1813"/>
      <c r="AA20" s="1810">
        <v>1</v>
      </c>
      <c r="AB20" s="1810">
        <v>1</v>
      </c>
      <c r="AC20" s="1810">
        <v>1</v>
      </c>
    </row>
    <row r="21" spans="1:29" ht="85.5">
      <c r="A21" s="427"/>
      <c r="B21" s="450" t="s">
        <v>2706</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72"/>
      <c r="Q21" s="1809" t="str">
        <f>B21</f>
        <v>交通便捷度</v>
      </c>
      <c r="R21" s="773" t="s">
        <v>17</v>
      </c>
      <c r="S21" s="774">
        <f>F21</f>
        <v>100</v>
      </c>
      <c r="T21" s="773" t="s">
        <v>17</v>
      </c>
      <c r="U21" s="774">
        <f>H21</f>
        <v>100</v>
      </c>
      <c r="V21" s="773" t="s">
        <v>17</v>
      </c>
      <c r="W21" s="774">
        <f>J21</f>
        <v>100</v>
      </c>
      <c r="X21" s="1812"/>
      <c r="Y21" s="3272"/>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272"/>
      <c r="Q22" s="1809"/>
      <c r="R22" s="773"/>
      <c r="S22" s="774"/>
      <c r="T22" s="773"/>
      <c r="U22" s="774"/>
      <c r="V22" s="773"/>
      <c r="W22" s="774"/>
      <c r="X22" s="1812"/>
      <c r="Y22" s="3272"/>
      <c r="Z22" s="1813"/>
      <c r="AA22" s="1810">
        <v>1</v>
      </c>
      <c r="AB22" s="1810">
        <v>1</v>
      </c>
      <c r="AC22" s="1810">
        <v>1</v>
      </c>
    </row>
    <row r="23" spans="1:29" ht="15">
      <c r="A23" s="403"/>
      <c r="B23" s="450" t="s">
        <v>2745</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72"/>
      <c r="Q23" s="1809" t="str">
        <f t="shared" ref="Q23:Q37" si="8">B23</f>
        <v>区域土地利用方向</v>
      </c>
      <c r="R23" s="773" t="s">
        <v>17</v>
      </c>
      <c r="S23" s="774">
        <f>F23</f>
        <v>100</v>
      </c>
      <c r="T23" s="773" t="s">
        <v>17</v>
      </c>
      <c r="U23" s="774">
        <f>H23</f>
        <v>100</v>
      </c>
      <c r="V23" s="773" t="s">
        <v>17</v>
      </c>
      <c r="W23" s="774">
        <f>J23</f>
        <v>100</v>
      </c>
      <c r="X23" s="1812"/>
      <c r="Y23" s="3272"/>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272"/>
      <c r="Q24" s="1809"/>
      <c r="R24" s="773"/>
      <c r="S24" s="774"/>
      <c r="T24" s="773"/>
      <c r="U24" s="774"/>
      <c r="V24" s="773"/>
      <c r="W24" s="774"/>
      <c r="X24" s="1812"/>
      <c r="Y24" s="3272"/>
      <c r="Z24" s="1813"/>
      <c r="AA24" s="1810"/>
      <c r="AB24" s="1810"/>
      <c r="AC24" s="1810"/>
    </row>
    <row r="25" spans="1:29" ht="57">
      <c r="A25" s="403"/>
      <c r="B25" s="1383" t="s">
        <v>2746</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72"/>
      <c r="Q25" s="1809" t="str">
        <f t="shared" si="8"/>
        <v>自然及人文环境状况</v>
      </c>
      <c r="R25" s="773" t="s">
        <v>17</v>
      </c>
      <c r="S25" s="774">
        <f>F25</f>
        <v>100</v>
      </c>
      <c r="T25" s="773" t="s">
        <v>17</v>
      </c>
      <c r="U25" s="774">
        <f>H25</f>
        <v>100</v>
      </c>
      <c r="V25" s="773" t="s">
        <v>17</v>
      </c>
      <c r="W25" s="774">
        <f>J25</f>
        <v>100</v>
      </c>
      <c r="X25" s="1812"/>
      <c r="Y25" s="3272"/>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272"/>
      <c r="Q26" s="1809"/>
      <c r="R26" s="773"/>
      <c r="S26" s="774"/>
      <c r="T26" s="773"/>
      <c r="U26" s="774"/>
      <c r="V26" s="773"/>
      <c r="W26" s="774"/>
      <c r="X26" s="1812"/>
      <c r="Y26" s="3272"/>
      <c r="Z26" s="1813"/>
      <c r="AA26" s="1810">
        <v>1</v>
      </c>
      <c r="AB26" s="1810">
        <v>1</v>
      </c>
      <c r="AC26" s="1810">
        <v>1</v>
      </c>
    </row>
    <row r="27" spans="1:29" s="117" customFormat="1" ht="42.75">
      <c r="A27" s="648"/>
      <c r="B27" s="1383" t="s">
        <v>2651</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72"/>
      <c r="Q27" s="1794" t="str">
        <f t="shared" si="8"/>
        <v>公共配套设施</v>
      </c>
      <c r="R27" s="769" t="s">
        <v>17</v>
      </c>
      <c r="S27" s="770">
        <f>F27</f>
        <v>100</v>
      </c>
      <c r="T27" s="769" t="s">
        <v>17</v>
      </c>
      <c r="U27" s="770">
        <f>H27</f>
        <v>100</v>
      </c>
      <c r="V27" s="769" t="s">
        <v>17</v>
      </c>
      <c r="W27" s="770">
        <f>J27</f>
        <v>100</v>
      </c>
      <c r="X27" s="771"/>
      <c r="Y27" s="3272"/>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272"/>
      <c r="Q28" s="1794"/>
      <c r="R28" s="769"/>
      <c r="S28" s="770"/>
      <c r="T28" s="769"/>
      <c r="U28" s="770"/>
      <c r="V28" s="769"/>
      <c r="W28" s="770"/>
      <c r="X28" s="771"/>
      <c r="Y28" s="3272"/>
      <c r="Z28" s="55"/>
      <c r="AA28" s="1810">
        <v>1</v>
      </c>
      <c r="AB28" s="1810">
        <v>1</v>
      </c>
      <c r="AC28" s="1810">
        <v>1</v>
      </c>
    </row>
    <row r="29" spans="1:29" s="117" customFormat="1" ht="28.5">
      <c r="A29" s="648"/>
      <c r="B29" s="1383" t="s">
        <v>2652</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72"/>
      <c r="Q29" s="1794" t="str">
        <f t="shared" ref="Q29" si="9">B29</f>
        <v>基础设施水平</v>
      </c>
      <c r="R29" s="769" t="s">
        <v>17</v>
      </c>
      <c r="S29" s="770">
        <f>F29</f>
        <v>100</v>
      </c>
      <c r="T29" s="769" t="s">
        <v>17</v>
      </c>
      <c r="U29" s="770">
        <f>H29</f>
        <v>100</v>
      </c>
      <c r="V29" s="769" t="s">
        <v>17</v>
      </c>
      <c r="W29" s="770">
        <f>J29</f>
        <v>100</v>
      </c>
      <c r="X29" s="771"/>
      <c r="Y29" s="3272"/>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272"/>
      <c r="Q30" s="1794"/>
      <c r="R30" s="769"/>
      <c r="S30" s="770"/>
      <c r="T30" s="769"/>
      <c r="U30" s="770"/>
      <c r="V30" s="769"/>
      <c r="W30" s="770"/>
      <c r="X30" s="771"/>
      <c r="Y30" s="3272"/>
      <c r="Z30" s="55"/>
      <c r="AA30" s="1810">
        <v>1</v>
      </c>
      <c r="AB30" s="1810">
        <v>1</v>
      </c>
      <c r="AC30" s="1810">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7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72"/>
      <c r="Z31" s="1813" t="str">
        <f t="shared" ref="Z31:Z45" si="13">Q31</f>
        <v>临街状况</v>
      </c>
      <c r="AA31" s="1810">
        <f t="shared" si="3"/>
        <v>1</v>
      </c>
      <c r="AB31" s="1810">
        <f t="shared" si="4"/>
        <v>1</v>
      </c>
      <c r="AC31" s="1810">
        <f t="shared" si="5"/>
        <v>1</v>
      </c>
    </row>
    <row r="32" spans="1:29" ht="27">
      <c r="A32" s="427"/>
      <c r="B32" s="1383"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72"/>
      <c r="Q32" s="1809" t="str">
        <f t="shared" si="8"/>
        <v>毗邻道路的类型与等级</v>
      </c>
      <c r="R32" s="773" t="s">
        <v>17</v>
      </c>
      <c r="S32" s="774">
        <f t="shared" si="10"/>
        <v>100</v>
      </c>
      <c r="T32" s="773" t="s">
        <v>17</v>
      </c>
      <c r="U32" s="774">
        <f t="shared" si="11"/>
        <v>100</v>
      </c>
      <c r="V32" s="773" t="s">
        <v>17</v>
      </c>
      <c r="W32" s="774">
        <f t="shared" si="12"/>
        <v>100</v>
      </c>
      <c r="X32" s="1812"/>
      <c r="Y32" s="3272"/>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272"/>
      <c r="Q33" s="1809"/>
      <c r="R33" s="773"/>
      <c r="S33" s="774"/>
      <c r="T33" s="773"/>
      <c r="U33" s="774"/>
      <c r="V33" s="773"/>
      <c r="W33" s="774"/>
      <c r="X33" s="1812"/>
      <c r="Y33" s="3272"/>
      <c r="Z33" s="1813"/>
      <c r="AA33" s="1810">
        <v>1</v>
      </c>
      <c r="AB33" s="1810">
        <v>1</v>
      </c>
      <c r="AC33" s="1810">
        <v>1</v>
      </c>
    </row>
    <row r="34" spans="1:29" ht="15">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72"/>
      <c r="Q34" s="1809" t="str">
        <f t="shared" si="8"/>
        <v>土地级别</v>
      </c>
      <c r="R34" s="773" t="s">
        <v>17</v>
      </c>
      <c r="S34" s="774">
        <f t="shared" si="10"/>
        <v>100</v>
      </c>
      <c r="T34" s="773" t="s">
        <v>17</v>
      </c>
      <c r="U34" s="774">
        <f t="shared" si="11"/>
        <v>100</v>
      </c>
      <c r="V34" s="773" t="s">
        <v>17</v>
      </c>
      <c r="W34" s="774">
        <f t="shared" si="12"/>
        <v>100</v>
      </c>
      <c r="X34" s="1812"/>
      <c r="Y34" s="327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72"/>
      <c r="Q35" s="1809">
        <f t="shared" si="8"/>
        <v>111</v>
      </c>
      <c r="R35" s="773" t="s">
        <v>17</v>
      </c>
      <c r="S35" s="774">
        <f t="shared" si="10"/>
        <v>100</v>
      </c>
      <c r="T35" s="773" t="s">
        <v>17</v>
      </c>
      <c r="U35" s="774">
        <f t="shared" si="11"/>
        <v>100</v>
      </c>
      <c r="V35" s="773" t="s">
        <v>17</v>
      </c>
      <c r="W35" s="774">
        <f t="shared" si="12"/>
        <v>100</v>
      </c>
      <c r="X35" s="1812"/>
      <c r="Y35" s="327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95" t="s">
        <v>2562</v>
      </c>
      <c r="Q36" s="1809">
        <f t="shared" si="8"/>
        <v>111</v>
      </c>
      <c r="R36" s="773" t="s">
        <v>17</v>
      </c>
      <c r="S36" s="774">
        <f t="shared" si="10"/>
        <v>100</v>
      </c>
      <c r="T36" s="773" t="s">
        <v>17</v>
      </c>
      <c r="U36" s="774">
        <f t="shared" si="11"/>
        <v>100</v>
      </c>
      <c r="V36" s="773" t="s">
        <v>17</v>
      </c>
      <c r="W36" s="774">
        <f t="shared" si="12"/>
        <v>100</v>
      </c>
      <c r="X36" s="1812"/>
      <c r="Y36" s="3276" t="s">
        <v>2562</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76"/>
      <c r="Q37" s="1809">
        <f t="shared" si="8"/>
        <v>111</v>
      </c>
      <c r="R37" s="776" t="s">
        <v>17</v>
      </c>
      <c r="S37" s="777">
        <f t="shared" si="10"/>
        <v>100</v>
      </c>
      <c r="T37" s="776" t="s">
        <v>17</v>
      </c>
      <c r="U37" s="777">
        <f t="shared" si="11"/>
        <v>100</v>
      </c>
      <c r="V37" s="776" t="s">
        <v>17</v>
      </c>
      <c r="W37" s="777">
        <f t="shared" si="12"/>
        <v>100</v>
      </c>
      <c r="X37" s="778"/>
      <c r="Y37" s="3276"/>
      <c r="Z37" s="779">
        <f t="shared" si="13"/>
        <v>111</v>
      </c>
      <c r="AA37" s="1810">
        <f t="shared" si="3"/>
        <v>1</v>
      </c>
      <c r="AB37" s="1810">
        <f t="shared" si="4"/>
        <v>1</v>
      </c>
      <c r="AC37" s="1810">
        <f t="shared" si="5"/>
        <v>1</v>
      </c>
    </row>
    <row r="38" spans="1:29" ht="15">
      <c r="A38" s="471" t="s">
        <v>2560</v>
      </c>
      <c r="B38" s="455" t="s">
        <v>2748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76"/>
      <c r="Q38" s="1809" t="str">
        <f>B38</f>
        <v>宗地面积</v>
      </c>
      <c r="R38" s="773" t="s">
        <v>17</v>
      </c>
      <c r="S38" s="774" t="e">
        <f t="shared" si="10"/>
        <v>#N/A</v>
      </c>
      <c r="T38" s="773" t="s">
        <v>17</v>
      </c>
      <c r="U38" s="774" t="e">
        <f t="shared" si="11"/>
        <v>#N/A</v>
      </c>
      <c r="V38" s="773" t="s">
        <v>17</v>
      </c>
      <c r="W38" s="774" t="e">
        <f t="shared" si="12"/>
        <v>#N/A</v>
      </c>
      <c r="X38" s="1812"/>
      <c r="Y38" s="3276"/>
      <c r="Z38" s="1813" t="str">
        <f t="shared" si="13"/>
        <v>宗地面积</v>
      </c>
      <c r="AA38" s="1810" t="e">
        <f t="shared" si="3"/>
        <v>#N/A</v>
      </c>
      <c r="AB38" s="1810" t="e">
        <f t="shared" si="4"/>
        <v>#N/A</v>
      </c>
      <c r="AC38" s="1810" t="e">
        <f t="shared" si="5"/>
        <v>#N/A</v>
      </c>
    </row>
    <row r="39" spans="1:29" ht="15">
      <c r="A39" s="471"/>
      <c r="B39" s="421" t="s">
        <v>2749</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276"/>
      <c r="Q39" s="1809" t="str">
        <f t="shared" ref="Q39:Q45" si="14">B39</f>
        <v>宗地形状</v>
      </c>
      <c r="R39" s="773" t="s">
        <v>17</v>
      </c>
      <c r="S39" s="774">
        <f t="shared" si="10"/>
        <v>100</v>
      </c>
      <c r="T39" s="773" t="s">
        <v>17</v>
      </c>
      <c r="U39" s="774">
        <f t="shared" si="11"/>
        <v>100</v>
      </c>
      <c r="V39" s="773" t="s">
        <v>17</v>
      </c>
      <c r="W39" s="774">
        <f t="shared" si="12"/>
        <v>100</v>
      </c>
      <c r="X39" s="1812"/>
      <c r="Y39" s="3276"/>
      <c r="Z39" s="1813" t="str">
        <f t="shared" si="13"/>
        <v>宗地形状</v>
      </c>
      <c r="AA39" s="1810">
        <f t="shared" si="3"/>
        <v>1</v>
      </c>
      <c r="AB39" s="1810">
        <f t="shared" si="4"/>
        <v>1</v>
      </c>
      <c r="AC39" s="1810">
        <f t="shared" si="5"/>
        <v>1</v>
      </c>
    </row>
    <row r="40" spans="1:29" ht="15">
      <c r="A40" s="471"/>
      <c r="B40" s="421" t="s">
        <v>2750</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276"/>
      <c r="Q40" s="1809" t="str">
        <f t="shared" si="14"/>
        <v>临街宽度及深度</v>
      </c>
      <c r="R40" s="773" t="s">
        <v>17</v>
      </c>
      <c r="S40" s="774">
        <f t="shared" si="10"/>
        <v>100</v>
      </c>
      <c r="T40" s="773" t="s">
        <v>17</v>
      </c>
      <c r="U40" s="774">
        <f t="shared" si="11"/>
        <v>100</v>
      </c>
      <c r="V40" s="773" t="s">
        <v>17</v>
      </c>
      <c r="W40" s="774">
        <f t="shared" si="12"/>
        <v>100</v>
      </c>
      <c r="X40" s="1812"/>
      <c r="Y40" s="3276"/>
      <c r="Z40" s="1813" t="str">
        <f t="shared" si="13"/>
        <v>临街宽度及深度</v>
      </c>
      <c r="AA40" s="1810">
        <f t="shared" si="3"/>
        <v>1</v>
      </c>
      <c r="AB40" s="1810">
        <f t="shared" si="4"/>
        <v>1</v>
      </c>
      <c r="AC40" s="1810">
        <f t="shared" si="5"/>
        <v>1</v>
      </c>
    </row>
    <row r="41" spans="1:29" s="117" customFormat="1" ht="15">
      <c r="A41" s="472"/>
      <c r="B41" s="421" t="s">
        <v>2751</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276"/>
      <c r="Q41" s="1809" t="str">
        <f t="shared" si="14"/>
        <v>宗地开发程度</v>
      </c>
      <c r="R41" s="769" t="s">
        <v>17</v>
      </c>
      <c r="S41" s="770">
        <f t="shared" si="10"/>
        <v>100</v>
      </c>
      <c r="T41" s="769" t="s">
        <v>17</v>
      </c>
      <c r="U41" s="770">
        <f t="shared" si="11"/>
        <v>100</v>
      </c>
      <c r="V41" s="769" t="s">
        <v>17</v>
      </c>
      <c r="W41" s="770">
        <f t="shared" si="12"/>
        <v>100</v>
      </c>
      <c r="X41" s="771"/>
      <c r="Y41" s="3276"/>
      <c r="Z41" s="55" t="str">
        <f t="shared" si="13"/>
        <v>宗地开发程度</v>
      </c>
      <c r="AA41" s="772">
        <f t="shared" si="3"/>
        <v>1</v>
      </c>
      <c r="AB41" s="772">
        <f t="shared" si="4"/>
        <v>1</v>
      </c>
      <c r="AC41" s="772">
        <f t="shared" si="5"/>
        <v>1</v>
      </c>
    </row>
    <row r="42" spans="1:29" ht="15">
      <c r="A42" s="471"/>
      <c r="B42" s="421" t="s">
        <v>2752</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276" t="s">
        <v>2562</v>
      </c>
      <c r="Q42" s="1809" t="str">
        <f t="shared" si="14"/>
        <v>工程地质条件</v>
      </c>
      <c r="R42" s="773" t="s">
        <v>17</v>
      </c>
      <c r="S42" s="774">
        <f t="shared" si="10"/>
        <v>100</v>
      </c>
      <c r="T42" s="773" t="s">
        <v>17</v>
      </c>
      <c r="U42" s="774">
        <f t="shared" si="11"/>
        <v>100</v>
      </c>
      <c r="V42" s="773" t="s">
        <v>17</v>
      </c>
      <c r="W42" s="774">
        <f t="shared" si="12"/>
        <v>100</v>
      </c>
      <c r="X42" s="1812"/>
      <c r="Y42" s="3276" t="s">
        <v>2562</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76"/>
      <c r="Q43" s="1809">
        <f t="shared" si="14"/>
        <v>111</v>
      </c>
      <c r="R43" s="773" t="s">
        <v>17</v>
      </c>
      <c r="S43" s="774">
        <f t="shared" si="10"/>
        <v>100</v>
      </c>
      <c r="T43" s="773" t="s">
        <v>17</v>
      </c>
      <c r="U43" s="774">
        <f t="shared" si="11"/>
        <v>100</v>
      </c>
      <c r="V43" s="773" t="s">
        <v>17</v>
      </c>
      <c r="W43" s="774">
        <f t="shared" si="12"/>
        <v>100</v>
      </c>
      <c r="X43" s="1812"/>
      <c r="Y43" s="327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76"/>
      <c r="Q44" s="1809">
        <f t="shared" si="14"/>
        <v>111</v>
      </c>
      <c r="R44" s="773" t="s">
        <v>17</v>
      </c>
      <c r="S44" s="774">
        <f t="shared" si="10"/>
        <v>100</v>
      </c>
      <c r="T44" s="773" t="s">
        <v>17</v>
      </c>
      <c r="U44" s="774">
        <f t="shared" si="11"/>
        <v>100</v>
      </c>
      <c r="V44" s="773" t="s">
        <v>17</v>
      </c>
      <c r="W44" s="774">
        <f t="shared" si="12"/>
        <v>100</v>
      </c>
      <c r="X44" s="1812"/>
      <c r="Y44" s="3276"/>
      <c r="Z44" s="1813">
        <f t="shared" si="13"/>
        <v>111</v>
      </c>
      <c r="AA44" s="1810">
        <f t="shared" si="3"/>
        <v>1</v>
      </c>
      <c r="AB44" s="1810">
        <f t="shared" si="4"/>
        <v>1</v>
      </c>
      <c r="AC44" s="1810">
        <f t="shared" si="5"/>
        <v>1</v>
      </c>
    </row>
    <row r="45" spans="1:29" s="470" customFormat="1" ht="15.75"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76"/>
      <c r="Q45" s="1809">
        <f t="shared" si="14"/>
        <v>111</v>
      </c>
      <c r="R45" s="776" t="s">
        <v>17</v>
      </c>
      <c r="S45" s="777">
        <f t="shared" si="10"/>
        <v>100</v>
      </c>
      <c r="T45" s="776" t="s">
        <v>17</v>
      </c>
      <c r="U45" s="777">
        <f t="shared" si="11"/>
        <v>100</v>
      </c>
      <c r="V45" s="776" t="s">
        <v>17</v>
      </c>
      <c r="W45" s="777">
        <f t="shared" si="12"/>
        <v>100</v>
      </c>
      <c r="X45" s="778"/>
      <c r="Y45" s="3276"/>
      <c r="Z45" s="779">
        <f t="shared" si="13"/>
        <v>111</v>
      </c>
      <c r="AA45" s="1810">
        <f t="shared" si="3"/>
        <v>1</v>
      </c>
      <c r="AB45" s="1810">
        <f t="shared" si="4"/>
        <v>1</v>
      </c>
      <c r="AC45" s="1810">
        <f t="shared" si="5"/>
        <v>1</v>
      </c>
    </row>
    <row r="46" spans="1:29" ht="15">
      <c r="A46" s="478" t="s">
        <v>2717</v>
      </c>
      <c r="B46" s="2703" t="s">
        <v>2753</v>
      </c>
      <c r="C46" s="681" t="s">
        <v>1</v>
      </c>
      <c r="D46" s="480"/>
      <c r="E46" s="481"/>
      <c r="F46" s="482"/>
      <c r="G46" s="483"/>
      <c r="H46" s="484"/>
      <c r="I46" s="481"/>
      <c r="J46" s="484"/>
      <c r="K46" s="782"/>
      <c r="L46" s="1142"/>
      <c r="M46" s="1143"/>
      <c r="N46" s="1130"/>
      <c r="O46" s="1143"/>
      <c r="P46" s="3269" t="str">
        <f>A46</f>
        <v>成交单价</v>
      </c>
      <c r="Q46" s="3269"/>
      <c r="R46" s="3264">
        <f>E46</f>
        <v>0</v>
      </c>
      <c r="S46" s="3264"/>
      <c r="T46" s="3264">
        <f>G46</f>
        <v>0</v>
      </c>
      <c r="U46" s="3264"/>
      <c r="V46" s="3264">
        <f>I46</f>
        <v>0</v>
      </c>
      <c r="W46" s="3264"/>
      <c r="X46" s="758"/>
      <c r="Y46" s="780"/>
      <c r="Z46" s="758"/>
      <c r="AA46" s="758"/>
      <c r="AB46" s="758"/>
      <c r="AC46" s="758"/>
    </row>
    <row r="47" spans="1:29" ht="15.75" thickBot="1">
      <c r="A47" s="485" t="s">
        <v>2666</v>
      </c>
      <c r="B47" s="682"/>
      <c r="C47" s="489" t="e">
        <f>R48</f>
        <v>#DIV/0!</v>
      </c>
      <c r="D47" s="488"/>
      <c r="E47" s="489" t="e">
        <f>R47</f>
        <v>#DIV/0!</v>
      </c>
      <c r="F47" s="490"/>
      <c r="G47" s="487" t="e">
        <f>T47</f>
        <v>#DIV/0!</v>
      </c>
      <c r="H47" s="488"/>
      <c r="I47" s="489" t="e">
        <f>V47</f>
        <v>#DIV/0!</v>
      </c>
      <c r="J47" s="488"/>
      <c r="K47" s="783"/>
      <c r="L47" s="1142"/>
      <c r="M47" s="1143"/>
      <c r="N47" s="1143"/>
      <c r="O47" s="1143"/>
      <c r="P47" s="3269" t="str">
        <f>A47</f>
        <v>比较价值（元/平方米）</v>
      </c>
      <c r="Q47" s="3269"/>
      <c r="R47" s="3296" t="e">
        <f>ROUND(PRODUCT(R46,AA7:AA45),0)</f>
        <v>#DIV/0!</v>
      </c>
      <c r="S47" s="3296"/>
      <c r="T47" s="3296" t="e">
        <f>ROUND(PRODUCT(T46,AB7:AB45),0)</f>
        <v>#DIV/0!</v>
      </c>
      <c r="U47" s="3296"/>
      <c r="V47" s="3296" t="e">
        <f>ROUND(PRODUCT(V46,AC7:AC45),0)</f>
        <v>#DIV/0!</v>
      </c>
      <c r="W47" s="3296"/>
      <c r="X47" s="758"/>
      <c r="Y47" s="758"/>
      <c r="Z47" s="758"/>
      <c r="AA47" s="758"/>
      <c r="AB47" s="758"/>
      <c r="AC47" s="758"/>
    </row>
    <row r="48" spans="1:29" ht="15.75" thickBot="1">
      <c r="A48" s="491" t="s">
        <v>2754</v>
      </c>
      <c r="B48" s="492"/>
      <c r="C48" s="493" t="e">
        <f>R48</f>
        <v>#DIV/0!</v>
      </c>
      <c r="D48" s="493"/>
      <c r="E48" s="493"/>
      <c r="F48" s="493"/>
      <c r="G48" s="493"/>
      <c r="H48" s="493"/>
      <c r="I48" s="493"/>
      <c r="J48" s="493"/>
      <c r="K48" s="784"/>
      <c r="L48" s="1142"/>
      <c r="M48" s="1143"/>
      <c r="N48" s="1143"/>
      <c r="O48" s="1143"/>
      <c r="P48" s="3266" t="str">
        <f>A48</f>
        <v>估价对象XX用房的比较价值（楼面单价，元/平方米）</v>
      </c>
      <c r="Q48" s="3267"/>
      <c r="R48" s="3297" t="e">
        <f>ROUND(AVERAGE(R47:V47),0)</f>
        <v>#DIV/0!</v>
      </c>
      <c r="S48" s="3297"/>
      <c r="T48" s="3297"/>
      <c r="U48" s="3297"/>
      <c r="V48" s="3297"/>
      <c r="W48" s="329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2755</v>
      </c>
      <c r="B55" s="684" t="s">
        <v>2756</v>
      </c>
      <c r="C55" s="2704" t="s">
        <v>2757</v>
      </c>
      <c r="D55" s="2705" t="s">
        <v>2758</v>
      </c>
      <c r="E55" s="685" t="s">
        <v>2759</v>
      </c>
      <c r="F55" s="1106" t="s">
        <v>2760</v>
      </c>
      <c r="G55" s="3252" t="s">
        <v>2761</v>
      </c>
      <c r="H55" s="3298"/>
      <c r="I55" s="143" t="s">
        <v>2762</v>
      </c>
      <c r="J55" s="2706">
        <f>项目基本情况!F35</f>
        <v>0</v>
      </c>
      <c r="K55" s="2707" t="s">
        <v>2763</v>
      </c>
      <c r="L55" s="1105"/>
      <c r="M55" s="1143"/>
      <c r="N55" s="1143"/>
      <c r="O55" s="1143"/>
    </row>
    <row r="56" spans="1:15" s="691" customFormat="1">
      <c r="A56" s="687" t="s">
        <v>2764</v>
      </c>
      <c r="B56" s="688" t="e">
        <f>C48</f>
        <v>#DIV/0!</v>
      </c>
      <c r="C56" s="689">
        <v>1</v>
      </c>
      <c r="D56" s="1162">
        <v>1</v>
      </c>
      <c r="E56" s="689">
        <f>'数据-汇总表'!E8+'数据-汇总表'!E9</f>
        <v>9251.5400000000009</v>
      </c>
      <c r="F56" s="1102" t="e">
        <f t="shared" ref="F56:F65" si="15">ROUND(B56*E56/10000,0)</f>
        <v>#DIV/0!</v>
      </c>
      <c r="G56" s="3251"/>
      <c r="H56" s="3269"/>
      <c r="I56" s="1107">
        <v>1</v>
      </c>
      <c r="J56" s="1110">
        <v>1</v>
      </c>
      <c r="K56" s="1144"/>
      <c r="L56" s="940"/>
      <c r="M56" s="940"/>
      <c r="N56" s="940"/>
      <c r="O56" s="940"/>
    </row>
    <row r="57" spans="1:15" s="691" customFormat="1">
      <c r="A57" s="692" t="s">
        <v>2765</v>
      </c>
      <c r="B57" s="261" t="e">
        <f>ROUND($C$48*C57*D57,0)</f>
        <v>#DIV/0!</v>
      </c>
      <c r="C57" s="199">
        <f t="shared" ref="C57:C65" si="16">IF($C$55="北京市系数",I57,J57)</f>
        <v>0</v>
      </c>
      <c r="D57" s="1163">
        <v>0.25</v>
      </c>
      <c r="E57" s="693"/>
      <c r="F57" s="1102" t="e">
        <f t="shared" si="15"/>
        <v>#DIV/0!</v>
      </c>
      <c r="G57" s="3299" t="s">
        <v>2766</v>
      </c>
      <c r="H57" s="1103">
        <f>项目基本情况!B37</f>
        <v>0</v>
      </c>
      <c r="I57" s="1107">
        <f>SUMIF(修正!A45:A56,H57,修正!B45:B56)</f>
        <v>0</v>
      </c>
      <c r="J57" s="1111"/>
      <c r="K57" s="1143"/>
      <c r="L57" s="940"/>
      <c r="M57" s="940"/>
      <c r="N57" s="940"/>
      <c r="O57" s="940"/>
    </row>
    <row r="58" spans="1:15" s="691" customFormat="1">
      <c r="A58" s="692" t="s">
        <v>2767</v>
      </c>
      <c r="B58" s="261" t="e">
        <f t="shared" ref="B58:B65" si="17">ROUND($C$48*C58*D58,0)</f>
        <v>#DIV/0!</v>
      </c>
      <c r="C58" s="199">
        <f t="shared" si="16"/>
        <v>0</v>
      </c>
      <c r="D58" s="1163">
        <v>0.25</v>
      </c>
      <c r="E58" s="693"/>
      <c r="F58" s="1102" t="e">
        <f t="shared" si="15"/>
        <v>#DIV/0!</v>
      </c>
      <c r="G58" s="3299"/>
      <c r="H58" s="1103">
        <f>项目基本情况!B37</f>
        <v>0</v>
      </c>
      <c r="I58" s="1107">
        <f>SUMIF(修正!A45:A56,H58,修正!C45:C56)</f>
        <v>0</v>
      </c>
      <c r="J58" s="1111"/>
      <c r="K58" s="1144"/>
      <c r="L58" s="940"/>
      <c r="M58" s="940"/>
      <c r="N58" s="940"/>
      <c r="O58" s="940"/>
    </row>
    <row r="59" spans="1:15" s="691" customFormat="1">
      <c r="A59" s="692" t="s">
        <v>2768</v>
      </c>
      <c r="B59" s="261" t="e">
        <f t="shared" si="17"/>
        <v>#DIV/0!</v>
      </c>
      <c r="C59" s="199">
        <f t="shared" si="16"/>
        <v>0</v>
      </c>
      <c r="D59" s="1163">
        <v>0.25</v>
      </c>
      <c r="E59" s="693"/>
      <c r="F59" s="1102" t="e">
        <f t="shared" si="15"/>
        <v>#DIV/0!</v>
      </c>
      <c r="G59" s="3299"/>
      <c r="H59" s="1103">
        <f>项目基本情况!B37</f>
        <v>0</v>
      </c>
      <c r="I59" s="1107">
        <f>SUMIF(修正!A45:A56,H59,修正!D45:D56)</f>
        <v>0</v>
      </c>
      <c r="J59" s="1111"/>
      <c r="K59" s="1143"/>
      <c r="L59" s="940"/>
      <c r="M59" s="940"/>
      <c r="N59" s="940"/>
      <c r="O59" s="940"/>
    </row>
    <row r="60" spans="1:15" s="691" customFormat="1">
      <c r="A60" s="692" t="s">
        <v>2769</v>
      </c>
      <c r="B60" s="261" t="e">
        <f t="shared" si="17"/>
        <v>#DIV/0!</v>
      </c>
      <c r="C60" s="199">
        <f t="shared" si="16"/>
        <v>0</v>
      </c>
      <c r="D60" s="1163">
        <v>0.25</v>
      </c>
      <c r="E60" s="693"/>
      <c r="F60" s="1102" t="e">
        <f t="shared" si="15"/>
        <v>#DIV/0!</v>
      </c>
      <c r="G60" s="3299"/>
      <c r="H60" s="1103">
        <f>项目基本情况!B37</f>
        <v>0</v>
      </c>
      <c r="I60" s="1107">
        <f>SUMIF(修正!A45:A56,H60,修正!E45:E56)</f>
        <v>0</v>
      </c>
      <c r="J60" s="1111"/>
      <c r="K60" s="1144"/>
      <c r="L60" s="940"/>
      <c r="M60" s="940"/>
      <c r="N60" s="940"/>
      <c r="O60" s="940"/>
    </row>
    <row r="61" spans="1:15" s="691" customFormat="1">
      <c r="A61" s="692" t="s">
        <v>2770</v>
      </c>
      <c r="B61" s="261" t="e">
        <f t="shared" si="17"/>
        <v>#DIV/0!</v>
      </c>
      <c r="C61" s="199">
        <f t="shared" si="16"/>
        <v>0</v>
      </c>
      <c r="D61" s="1163">
        <v>0.25</v>
      </c>
      <c r="E61" s="260">
        <f>'数据-汇总表'!E11</f>
        <v>0</v>
      </c>
      <c r="F61" s="1102" t="e">
        <f t="shared" si="15"/>
        <v>#DIV/0!</v>
      </c>
      <c r="G61" s="2708" t="s">
        <v>2771</v>
      </c>
      <c r="H61" s="1103">
        <f>项目基本情况!C37</f>
        <v>0</v>
      </c>
      <c r="I61" s="1107">
        <f>SUMIF(修正!A45:A56,H61,修正!F45:F56)</f>
        <v>0</v>
      </c>
      <c r="J61" s="1111"/>
      <c r="K61" s="1143"/>
      <c r="L61" s="940"/>
      <c r="M61" s="940"/>
      <c r="N61" s="940"/>
      <c r="O61" s="940"/>
    </row>
    <row r="62" spans="1:15" s="691" customFormat="1">
      <c r="A62" s="692" t="s">
        <v>2772</v>
      </c>
      <c r="B62" s="261" t="e">
        <f t="shared" si="17"/>
        <v>#DIV/0!</v>
      </c>
      <c r="C62" s="199">
        <f t="shared" si="16"/>
        <v>0</v>
      </c>
      <c r="D62" s="1163">
        <v>0.25</v>
      </c>
      <c r="E62" s="260">
        <f>'数据-汇总表'!E12</f>
        <v>0</v>
      </c>
      <c r="F62" s="1102" t="e">
        <f t="shared" si="15"/>
        <v>#DIV/0!</v>
      </c>
      <c r="G62" s="1108" t="s">
        <v>2773</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2774</v>
      </c>
      <c r="B63" s="261" t="e">
        <f t="shared" si="17"/>
        <v>#DIV/0!</v>
      </c>
      <c r="C63" s="199">
        <f t="shared" si="16"/>
        <v>0</v>
      </c>
      <c r="D63" s="1163">
        <v>0.25</v>
      </c>
      <c r="E63" s="260">
        <f>'数据-汇总表'!E13</f>
        <v>0</v>
      </c>
      <c r="F63" s="1102" t="e">
        <f t="shared" si="15"/>
        <v>#DIV/0!</v>
      </c>
      <c r="G63" s="1108" t="s">
        <v>2775</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2776</v>
      </c>
      <c r="B64" s="261" t="e">
        <f t="shared" si="17"/>
        <v>#DIV/0!</v>
      </c>
      <c r="C64" s="199">
        <f t="shared" si="16"/>
        <v>0</v>
      </c>
      <c r="D64" s="1163">
        <v>0.25</v>
      </c>
      <c r="E64" s="260">
        <f>'数据-汇总表'!E14</f>
        <v>0</v>
      </c>
      <c r="F64" s="1102" t="e">
        <f t="shared" si="15"/>
        <v>#DIV/0!</v>
      </c>
      <c r="G64" s="2708" t="s">
        <v>2766</v>
      </c>
      <c r="H64" s="1103">
        <f>项目基本情况!B37</f>
        <v>0</v>
      </c>
      <c r="I64" s="1107">
        <f>SUMIF(修正!A45:A56,H64,修正!H45:H56)</f>
        <v>0</v>
      </c>
      <c r="J64" s="1111"/>
      <c r="K64" s="1144"/>
      <c r="L64" s="940"/>
      <c r="M64" s="940"/>
      <c r="N64" s="940"/>
      <c r="O64" s="940"/>
    </row>
    <row r="65" spans="1:17" s="691" customFormat="1" ht="15" thickBot="1">
      <c r="A65" s="692" t="s">
        <v>2777</v>
      </c>
      <c r="B65" s="261" t="e">
        <f t="shared" si="17"/>
        <v>#DIV/0!</v>
      </c>
      <c r="C65" s="199">
        <f t="shared" si="16"/>
        <v>0</v>
      </c>
      <c r="D65" s="1163">
        <v>0.25</v>
      </c>
      <c r="E65" s="260">
        <f>'数据-汇总表'!E15</f>
        <v>0</v>
      </c>
      <c r="F65" s="1102" t="e">
        <f t="shared" si="15"/>
        <v>#DIV/0!</v>
      </c>
      <c r="G65" s="2709" t="s">
        <v>2771</v>
      </c>
      <c r="H65" s="1113">
        <f>项目基本情况!C37</f>
        <v>0</v>
      </c>
      <c r="I65" s="1109">
        <f>SUMIF(修正!A45:A56,H65,修正!H45:H56)</f>
        <v>0</v>
      </c>
      <c r="J65" s="1112"/>
      <c r="K65" s="1143"/>
      <c r="L65" s="940"/>
      <c r="M65" s="940"/>
      <c r="N65" s="940"/>
      <c r="O65" s="940"/>
    </row>
    <row r="66" spans="1:17" s="691" customFormat="1" ht="13.5" thickBot="1">
      <c r="A66" s="694" t="s">
        <v>2778</v>
      </c>
      <c r="B66" s="695" t="s">
        <v>28</v>
      </c>
      <c r="C66" s="695" t="s">
        <v>29</v>
      </c>
      <c r="D66" s="695" t="s">
        <v>1025</v>
      </c>
      <c r="E66" s="695">
        <f>IF(B46="楼面地价",SUM(E56:E65),'数据-汇总表'!D3)</f>
        <v>9251.5400000000009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2020-4-1</v>
      </c>
      <c r="D68" s="760">
        <f>EDATE(C68,-3)</f>
        <v>43831</v>
      </c>
      <c r="E68" s="760">
        <f>EDATE(D68,-3)</f>
        <v>43739</v>
      </c>
      <c r="F68" s="760">
        <f t="shared" ref="F68:O68" si="18">EDATE(E68,-3)</f>
        <v>43647</v>
      </c>
      <c r="G68" s="760">
        <f t="shared" si="18"/>
        <v>43556</v>
      </c>
      <c r="H68" s="760">
        <f t="shared" si="18"/>
        <v>43466</v>
      </c>
      <c r="I68" s="760">
        <f t="shared" si="18"/>
        <v>43374</v>
      </c>
      <c r="J68" s="760">
        <f t="shared" si="18"/>
        <v>43282</v>
      </c>
      <c r="K68" s="760">
        <f t="shared" si="18"/>
        <v>43191</v>
      </c>
      <c r="L68" s="760">
        <f t="shared" si="18"/>
        <v>43101</v>
      </c>
      <c r="M68" s="760">
        <f t="shared" si="18"/>
        <v>43009</v>
      </c>
      <c r="N68" s="760">
        <f t="shared" si="18"/>
        <v>42917</v>
      </c>
      <c r="O68" s="760">
        <f t="shared" si="18"/>
        <v>42826</v>
      </c>
    </row>
    <row r="69" spans="1:17" ht="21.75" thickBot="1">
      <c r="A69" s="762" t="s">
        <v>2671</v>
      </c>
      <c r="B69" s="758"/>
      <c r="C69" s="763"/>
      <c r="D69" s="763"/>
      <c r="E69" s="763"/>
      <c r="F69" s="764"/>
      <c r="G69" s="764"/>
      <c r="H69" s="763"/>
      <c r="I69" s="763"/>
      <c r="J69" s="1158"/>
      <c r="K69" s="1159"/>
      <c r="L69" s="1160"/>
      <c r="M69" s="1158"/>
      <c r="N69" s="1158"/>
      <c r="O69" s="1158"/>
      <c r="P69" s="502"/>
      <c r="Q69" s="503"/>
    </row>
    <row r="70" spans="1:17" s="507" customFormat="1" ht="15">
      <c r="A70" s="2710" t="s">
        <v>2779</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11" t="s">
        <v>2780</v>
      </c>
      <c r="B71" s="331" t="str">
        <f>"北京市平均增长率"&amp;TEXT(SUMIF(基准地价修正!N21:N25,A71,基准地价修正!P21:P25),"0.00%")</f>
        <v>北京市平均增长率2.02%</v>
      </c>
      <c r="C71" s="602">
        <v>100</v>
      </c>
      <c r="D71" s="594"/>
      <c r="E71" s="594"/>
      <c r="F71" s="594"/>
      <c r="G71" s="594"/>
      <c r="H71" s="594"/>
      <c r="I71" s="594"/>
      <c r="J71" s="594"/>
      <c r="K71" s="594"/>
      <c r="L71" s="594"/>
      <c r="M71" s="1566"/>
      <c r="N71" s="594"/>
      <c r="O71" s="1567"/>
      <c r="P71" s="503"/>
    </row>
    <row r="72" spans="1:17" s="117" customFormat="1" ht="15.75" thickBot="1">
      <c r="A72" s="514" t="s">
        <v>2582</v>
      </c>
      <c r="B72" s="515"/>
      <c r="C72" s="516"/>
      <c r="D72" s="517"/>
      <c r="E72" s="517"/>
      <c r="F72" s="517"/>
      <c r="G72" s="517"/>
      <c r="H72" s="517"/>
      <c r="I72" s="517"/>
      <c r="J72" s="517"/>
      <c r="K72" s="517"/>
      <c r="L72" s="517"/>
      <c r="M72" s="518"/>
      <c r="N72" s="517"/>
      <c r="O72" s="1161"/>
      <c r="P72" s="503"/>
      <c r="Q72" s="503"/>
    </row>
    <row r="73" spans="1:17" s="117" customFormat="1" ht="15">
      <c r="A73" s="520" t="s">
        <v>2547</v>
      </c>
      <c r="B73" s="509"/>
      <c r="C73" s="521" t="s">
        <v>2649</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2585</v>
      </c>
      <c r="B75" s="527" t="s">
        <v>2551</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2554</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2782</v>
      </c>
      <c r="C96" s="577" t="s">
        <v>2594</v>
      </c>
      <c r="D96" s="577" t="s">
        <v>2595</v>
      </c>
      <c r="E96" s="577" t="s">
        <v>2596</v>
      </c>
      <c r="F96" s="577" t="s">
        <v>2597</v>
      </c>
      <c r="G96" s="577" t="s">
        <v>2598</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2783</v>
      </c>
      <c r="C98" s="572" t="s">
        <v>2594</v>
      </c>
      <c r="D98" s="572" t="s">
        <v>2595</v>
      </c>
      <c r="E98" s="572" t="s">
        <v>2596</v>
      </c>
      <c r="F98" s="572" t="s">
        <v>2597</v>
      </c>
      <c r="G98" s="572" t="s">
        <v>2598</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2688</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2747</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2560</v>
      </c>
      <c r="B116" s="527" t="s">
        <v>2788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2789</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2790</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2791</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2792</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52" t="s">
        <v>2643</v>
      </c>
      <c r="D4" s="3253"/>
      <c r="E4" s="3254" t="s">
        <v>2644</v>
      </c>
      <c r="F4" s="3255"/>
      <c r="G4" s="3252" t="s">
        <v>2645</v>
      </c>
      <c r="H4" s="3253"/>
      <c r="I4" s="3252" t="s">
        <v>2646</v>
      </c>
      <c r="J4" s="3253"/>
      <c r="K4" s="609" t="s">
        <v>2647</v>
      </c>
      <c r="L4" s="1129"/>
      <c r="M4" s="1130"/>
      <c r="N4" s="1130"/>
      <c r="O4" s="1130"/>
      <c r="P4" s="3256" t="s">
        <v>2648</v>
      </c>
      <c r="Q4" s="3257"/>
      <c r="R4" s="3239" t="s">
        <v>2644</v>
      </c>
      <c r="S4" s="3240"/>
      <c r="T4" s="3239" t="s">
        <v>2645</v>
      </c>
      <c r="U4" s="3240"/>
      <c r="V4" s="3264" t="s">
        <v>2646</v>
      </c>
      <c r="W4" s="3264"/>
      <c r="X4" s="1812"/>
      <c r="Y4" s="3239" t="s">
        <v>2648</v>
      </c>
      <c r="Z4" s="3240"/>
      <c r="AA4" s="3234" t="s">
        <v>2644</v>
      </c>
      <c r="AB4" s="3235" t="s">
        <v>2645</v>
      </c>
      <c r="AC4" s="3234" t="s">
        <v>2646</v>
      </c>
    </row>
    <row r="5" spans="1:29" ht="15">
      <c r="A5" s="403"/>
      <c r="B5" s="404"/>
      <c r="C5" s="3245" t="s">
        <v>2539</v>
      </c>
      <c r="D5" s="3246"/>
      <c r="E5" s="3243" t="s">
        <v>2540</v>
      </c>
      <c r="F5" s="3244"/>
      <c r="G5" s="3245" t="s">
        <v>2541</v>
      </c>
      <c r="H5" s="3246"/>
      <c r="I5" s="3245" t="s">
        <v>2542</v>
      </c>
      <c r="J5" s="3246"/>
      <c r="K5" s="609"/>
      <c r="L5" s="1129"/>
      <c r="M5" s="1130"/>
      <c r="N5" s="1130"/>
      <c r="O5" s="1130"/>
      <c r="P5" s="3258"/>
      <c r="Q5" s="3259"/>
      <c r="R5" s="3241"/>
      <c r="S5" s="3242"/>
      <c r="T5" s="3241"/>
      <c r="U5" s="3242"/>
      <c r="V5" s="3264"/>
      <c r="W5" s="3264"/>
      <c r="X5" s="1812"/>
      <c r="Y5" s="3241"/>
      <c r="Z5" s="3242"/>
      <c r="AA5" s="3235"/>
      <c r="AB5" s="3235"/>
      <c r="AC5" s="3235"/>
    </row>
    <row r="6" spans="1:29" ht="15.75" thickBot="1">
      <c r="A6" s="405"/>
      <c r="B6" s="406"/>
      <c r="C6" s="3300" t="s">
        <v>2794</v>
      </c>
      <c r="D6" s="3301"/>
      <c r="E6" s="3302" t="s">
        <v>2794</v>
      </c>
      <c r="F6" s="3303"/>
      <c r="G6" s="3300" t="s">
        <v>2794</v>
      </c>
      <c r="H6" s="3301"/>
      <c r="I6" s="3300" t="s">
        <v>2794</v>
      </c>
      <c r="J6" s="3301"/>
      <c r="K6" s="609" t="s">
        <v>2544</v>
      </c>
      <c r="L6" s="1129"/>
      <c r="M6" s="1130"/>
      <c r="N6" s="1130"/>
      <c r="O6" s="1130"/>
      <c r="P6" s="3260"/>
      <c r="Q6" s="3261"/>
      <c r="R6" s="3241"/>
      <c r="S6" s="3242"/>
      <c r="T6" s="3262"/>
      <c r="U6" s="3263"/>
      <c r="V6" s="3264"/>
      <c r="W6" s="3264"/>
      <c r="X6" s="1812"/>
      <c r="Y6" s="3262"/>
      <c r="Z6" s="3263"/>
      <c r="AA6" s="3236"/>
      <c r="AB6" s="3236"/>
      <c r="AC6" s="3236"/>
    </row>
    <row r="7" spans="1:29" s="117" customFormat="1" ht="15.75" thickBot="1">
      <c r="A7" s="407" t="s">
        <v>2545</v>
      </c>
      <c r="B7" s="408"/>
      <c r="C7" s="409">
        <f>'数据-取费表'!B2</f>
        <v>43934</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237" t="s">
        <v>2546</v>
      </c>
      <c r="Q7" s="3265"/>
      <c r="R7" s="769" t="s">
        <v>17</v>
      </c>
      <c r="S7" s="770">
        <f t="shared" ref="S7:S15" si="0">F7</f>
        <v>0</v>
      </c>
      <c r="T7" s="769" t="s">
        <v>17</v>
      </c>
      <c r="U7" s="770">
        <f t="shared" ref="U7:U15" si="1">H7</f>
        <v>0</v>
      </c>
      <c r="V7" s="769" t="s">
        <v>17</v>
      </c>
      <c r="W7" s="770">
        <f t="shared" ref="W7:W15" si="2">J7</f>
        <v>0</v>
      </c>
      <c r="X7" s="771"/>
      <c r="Y7" s="3237" t="s">
        <v>2546</v>
      </c>
      <c r="Z7" s="3238"/>
      <c r="AA7" s="772" t="e">
        <f>D7/F7</f>
        <v>#DIV/0!</v>
      </c>
      <c r="AB7" s="772" t="e">
        <f>D7/H7</f>
        <v>#DIV/0!</v>
      </c>
      <c r="AC7" s="772" t="e">
        <f>D7/J7</f>
        <v>#DIV/0!</v>
      </c>
    </row>
    <row r="8" spans="1:29" s="117"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37" t="s">
        <v>2549</v>
      </c>
      <c r="Q8" s="3238"/>
      <c r="R8" s="769" t="s">
        <v>17</v>
      </c>
      <c r="S8" s="770">
        <f t="shared" si="0"/>
        <v>0</v>
      </c>
      <c r="T8" s="769" t="s">
        <v>17</v>
      </c>
      <c r="U8" s="770">
        <f t="shared" si="1"/>
        <v>0</v>
      </c>
      <c r="V8" s="769" t="s">
        <v>17</v>
      </c>
      <c r="W8" s="770">
        <f t="shared" si="2"/>
        <v>0</v>
      </c>
      <c r="X8" s="771"/>
      <c r="Y8" s="3237" t="s">
        <v>2549</v>
      </c>
      <c r="Z8" s="3238"/>
      <c r="AA8" s="772" t="e">
        <f t="shared" ref="AA8:AA40" si="3">D8/F8</f>
        <v>#DIV/0!</v>
      </c>
      <c r="AB8" s="772" t="e">
        <f t="shared" ref="AB8:AB40" si="4">D8/H8</f>
        <v>#DIV/0!</v>
      </c>
      <c r="AC8" s="772" t="e">
        <f t="shared" ref="AC8:AC40" si="5">D8/J8</f>
        <v>#DIV/0!</v>
      </c>
    </row>
    <row r="9" spans="1:29" s="117" customFormat="1">
      <c r="A9" s="414" t="s">
        <v>2550</v>
      </c>
      <c r="B9" s="71" t="s">
        <v>2551</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269" t="s">
        <v>2552</v>
      </c>
      <c r="Q9" s="1794" t="str">
        <f t="shared" ref="Q9:Q15" si="6">B9</f>
        <v>用途</v>
      </c>
      <c r="R9" s="769" t="s">
        <v>17</v>
      </c>
      <c r="S9" s="770">
        <f t="shared" si="0"/>
        <v>100</v>
      </c>
      <c r="T9" s="769" t="s">
        <v>17</v>
      </c>
      <c r="U9" s="770">
        <f t="shared" si="1"/>
        <v>100</v>
      </c>
      <c r="V9" s="769" t="s">
        <v>17</v>
      </c>
      <c r="W9" s="770">
        <f t="shared" si="2"/>
        <v>100</v>
      </c>
      <c r="X9" s="771"/>
      <c r="Y9" s="3084" t="s">
        <v>2553</v>
      </c>
      <c r="Z9" s="55" t="str">
        <f t="shared" ref="Z9:Z15" si="7">Q9</f>
        <v>用途</v>
      </c>
      <c r="AA9" s="772">
        <f t="shared" si="3"/>
        <v>1</v>
      </c>
      <c r="AB9" s="772">
        <f t="shared" si="4"/>
        <v>1</v>
      </c>
      <c r="AC9" s="772">
        <f t="shared" si="5"/>
        <v>1</v>
      </c>
    </row>
    <row r="10" spans="1:29" s="426" customFormat="1" ht="27">
      <c r="A10" s="420"/>
      <c r="B10" s="421" t="s">
        <v>2554</v>
      </c>
      <c r="C10" s="431"/>
      <c r="D10" s="135">
        <v>100</v>
      </c>
      <c r="E10" s="431"/>
      <c r="F10" s="135">
        <f ca="1">ROUND(100/'数据-取费表'!G16,0)</f>
        <v>122</v>
      </c>
      <c r="G10" s="431"/>
      <c r="H10" s="135">
        <f ca="1">ROUND(100/'数据-取费表'!G16,0)</f>
        <v>122</v>
      </c>
      <c r="I10" s="431"/>
      <c r="J10" s="135">
        <f ca="1">ROUND(100/'数据-取费表'!G16,0)</f>
        <v>122</v>
      </c>
      <c r="K10" s="671"/>
      <c r="L10" s="1134"/>
      <c r="M10" s="1135"/>
      <c r="N10" s="1135"/>
      <c r="O10" s="1136"/>
      <c r="P10" s="3269"/>
      <c r="Q10" s="1794" t="str">
        <f t="shared" si="6"/>
        <v>土地使用年限（年）</v>
      </c>
      <c r="R10" s="769" t="s">
        <v>17</v>
      </c>
      <c r="S10" s="770">
        <f t="shared" ca="1" si="0"/>
        <v>122</v>
      </c>
      <c r="T10" s="769" t="s">
        <v>17</v>
      </c>
      <c r="U10" s="770">
        <f t="shared" ca="1" si="1"/>
        <v>122</v>
      </c>
      <c r="V10" s="769" t="s">
        <v>17</v>
      </c>
      <c r="W10" s="770">
        <f t="shared" ca="1" si="2"/>
        <v>122</v>
      </c>
      <c r="X10" s="771"/>
      <c r="Y10" s="3084"/>
      <c r="Z10" s="55" t="str">
        <f t="shared" si="7"/>
        <v>土地使用年限（年）</v>
      </c>
      <c r="AA10" s="772">
        <f t="shared" ca="1" si="3"/>
        <v>0.81967213114754101</v>
      </c>
      <c r="AB10" s="772">
        <f t="shared" ca="1" si="4"/>
        <v>0.81967213114754101</v>
      </c>
      <c r="AC10" s="772">
        <f t="shared" ca="1" si="5"/>
        <v>0.81967213114754101</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69"/>
      <c r="Q11" s="1794"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69"/>
      <c r="Q12" s="1794">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69"/>
      <c r="Q13" s="1794">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69"/>
      <c r="Q14" s="1794">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772">
        <f t="shared" si="5"/>
        <v>1</v>
      </c>
    </row>
    <row r="15" spans="1:29" ht="57">
      <c r="A15" s="439" t="s">
        <v>2556</v>
      </c>
      <c r="B15" s="628" t="s">
        <v>2795</v>
      </c>
      <c r="C15" s="2692" t="str">
        <f>估价对象房地状况!G15</f>
        <v>估价对象位于昌平区回龙观镇二拨子村北，周边有二拨子工业园、北京龙祥制版集团工业园等，产业集聚程度一般。</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71" t="s">
        <v>2557</v>
      </c>
      <c r="Q15" s="1809" t="str">
        <f t="shared" si="6"/>
        <v>产业集聚程度</v>
      </c>
      <c r="R15" s="773" t="s">
        <v>17</v>
      </c>
      <c r="S15" s="774">
        <f t="shared" si="0"/>
        <v>100</v>
      </c>
      <c r="T15" s="773" t="s">
        <v>17</v>
      </c>
      <c r="U15" s="774">
        <f t="shared" si="1"/>
        <v>100</v>
      </c>
      <c r="V15" s="773" t="s">
        <v>17</v>
      </c>
      <c r="W15" s="774">
        <f t="shared" si="2"/>
        <v>100</v>
      </c>
      <c r="X15" s="1812"/>
      <c r="Y15" s="3271" t="s">
        <v>2557</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272"/>
      <c r="Q16" s="1809"/>
      <c r="R16" s="773"/>
      <c r="S16" s="774"/>
      <c r="T16" s="773"/>
      <c r="U16" s="774"/>
      <c r="V16" s="773"/>
      <c r="W16" s="774"/>
      <c r="X16" s="1812"/>
      <c r="Y16" s="3272"/>
      <c r="Z16" s="1813"/>
      <c r="AA16" s="1810">
        <v>1</v>
      </c>
      <c r="AB16" s="1810">
        <v>1</v>
      </c>
      <c r="AC16" s="1810">
        <v>1</v>
      </c>
    </row>
    <row r="17" spans="1:29" ht="85.5">
      <c r="A17" s="427"/>
      <c r="B17" s="630" t="s">
        <v>2706</v>
      </c>
      <c r="C17" s="2606" t="str">
        <f>估价对象房地状况!G16</f>
        <v>估价对象位于昌平区回龙观镇二拨子村北，紧邻城市高速路—京藏高速路，周边路网密集度较好，行车出入便捷度较好。周边1公里范围内有345路、625路、专121路等公交线路，公交便捷度较好，周边2公里范围内有地铁8号线、13号线、昌平线。综上分析，估价对象所在区位整体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72"/>
      <c r="Q17" s="1809" t="str">
        <f>B17</f>
        <v>交通便捷度</v>
      </c>
      <c r="R17" s="773" t="s">
        <v>17</v>
      </c>
      <c r="S17" s="774">
        <f>F17</f>
        <v>100</v>
      </c>
      <c r="T17" s="773" t="s">
        <v>17</v>
      </c>
      <c r="U17" s="774">
        <f>H17</f>
        <v>100</v>
      </c>
      <c r="V17" s="773" t="s">
        <v>17</v>
      </c>
      <c r="W17" s="774">
        <f>J17</f>
        <v>100</v>
      </c>
      <c r="X17" s="1812"/>
      <c r="Y17" s="3272"/>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272"/>
      <c r="Q18" s="1809"/>
      <c r="R18" s="773"/>
      <c r="S18" s="774"/>
      <c r="T18" s="773"/>
      <c r="U18" s="774"/>
      <c r="V18" s="773"/>
      <c r="W18" s="774"/>
      <c r="X18" s="1812"/>
      <c r="Y18" s="3272"/>
      <c r="Z18" s="1813"/>
      <c r="AA18" s="1810">
        <v>1</v>
      </c>
      <c r="AB18" s="1810">
        <v>1</v>
      </c>
      <c r="AC18" s="1810">
        <v>1</v>
      </c>
    </row>
    <row r="19" spans="1:29" ht="15">
      <c r="A19" s="427"/>
      <c r="B19" s="630" t="s">
        <v>2745</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72"/>
      <c r="Q19" s="1809" t="str">
        <f t="shared" ref="Q19:Q33" si="8">B19</f>
        <v>区域土地利用方向</v>
      </c>
      <c r="R19" s="773" t="s">
        <v>17</v>
      </c>
      <c r="S19" s="774">
        <f>F19</f>
        <v>100</v>
      </c>
      <c r="T19" s="773" t="s">
        <v>17</v>
      </c>
      <c r="U19" s="774">
        <f>H19</f>
        <v>100</v>
      </c>
      <c r="V19" s="773" t="s">
        <v>17</v>
      </c>
      <c r="W19" s="774">
        <f>J19</f>
        <v>100</v>
      </c>
      <c r="X19" s="1812"/>
      <c r="Y19" s="3272"/>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272"/>
      <c r="Q20" s="1809"/>
      <c r="R20" s="773"/>
      <c r="S20" s="774"/>
      <c r="T20" s="773"/>
      <c r="U20" s="774"/>
      <c r="V20" s="773"/>
      <c r="W20" s="774"/>
      <c r="X20" s="1812"/>
      <c r="Y20" s="3272"/>
      <c r="Z20" s="1813"/>
      <c r="AA20" s="1810"/>
      <c r="AB20" s="1810"/>
      <c r="AC20" s="1810"/>
    </row>
    <row r="21" spans="1:29" ht="71.25">
      <c r="A21" s="403"/>
      <c r="B21" s="630" t="s">
        <v>2796</v>
      </c>
      <c r="C21" s="2606" t="str">
        <f>估价对象房地状况!G18</f>
        <v>估价对象周边自然环境较好；周边无污染型企业，绿化较好，卫生条件良好，整体环境状况较好。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72"/>
      <c r="Q21" s="1809" t="str">
        <f t="shared" si="8"/>
        <v>环境状况</v>
      </c>
      <c r="R21" s="773" t="s">
        <v>17</v>
      </c>
      <c r="S21" s="774">
        <f>F21</f>
        <v>100</v>
      </c>
      <c r="T21" s="773" t="s">
        <v>17</v>
      </c>
      <c r="U21" s="774">
        <f>H21</f>
        <v>100</v>
      </c>
      <c r="V21" s="773" t="s">
        <v>17</v>
      </c>
      <c r="W21" s="774">
        <f>J21</f>
        <v>100</v>
      </c>
      <c r="X21" s="1812"/>
      <c r="Y21" s="3272"/>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272"/>
      <c r="Q22" s="1809"/>
      <c r="R22" s="773"/>
      <c r="S22" s="774"/>
      <c r="T22" s="773"/>
      <c r="U22" s="774"/>
      <c r="V22" s="773"/>
      <c r="W22" s="774"/>
      <c r="X22" s="1812"/>
      <c r="Y22" s="3272"/>
      <c r="Z22" s="1813"/>
      <c r="AA22" s="1810">
        <v>1</v>
      </c>
      <c r="AB22" s="1810">
        <v>1</v>
      </c>
      <c r="AC22" s="1810">
        <v>1</v>
      </c>
    </row>
    <row r="23" spans="1:29" s="117" customFormat="1" ht="42.75">
      <c r="A23" s="648"/>
      <c r="B23" s="632" t="s">
        <v>2651</v>
      </c>
      <c r="C23" s="2606" t="str">
        <f>估价对象房地状况!G19</f>
        <v>周边2公里内的公共服务配套设施齐备度一般，有购物场所（京客隆超市）、学校（华北电力大学、回龙观中心小学）、银行（北京农商银行、中国工商银行）、医院（回龙观社区卫生服务中心）、餐饮等公共服务配套设施。</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72"/>
      <c r="Q23" s="1794" t="str">
        <f t="shared" si="8"/>
        <v>公共配套设施</v>
      </c>
      <c r="R23" s="769" t="s">
        <v>17</v>
      </c>
      <c r="S23" s="770">
        <f>F23</f>
        <v>100</v>
      </c>
      <c r="T23" s="769" t="s">
        <v>17</v>
      </c>
      <c r="U23" s="770">
        <f>H23</f>
        <v>100</v>
      </c>
      <c r="V23" s="769" t="s">
        <v>17</v>
      </c>
      <c r="W23" s="770">
        <f>J23</f>
        <v>100</v>
      </c>
      <c r="X23" s="771"/>
      <c r="Y23" s="3272"/>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272"/>
      <c r="Q24" s="1794"/>
      <c r="R24" s="769"/>
      <c r="S24" s="770"/>
      <c r="T24" s="769"/>
      <c r="U24" s="770"/>
      <c r="V24" s="769"/>
      <c r="W24" s="770"/>
      <c r="X24" s="771"/>
      <c r="Y24" s="3272"/>
      <c r="Z24" s="55"/>
      <c r="AA24" s="772">
        <v>1</v>
      </c>
      <c r="AB24" s="772">
        <v>1</v>
      </c>
      <c r="AC24" s="772">
        <v>1</v>
      </c>
    </row>
    <row r="25" spans="1:29" s="117" customFormat="1" ht="28.5">
      <c r="A25" s="648"/>
      <c r="B25" s="632" t="s">
        <v>2652</v>
      </c>
      <c r="C25" s="2606" t="str">
        <f>估价对象房地状况!G20</f>
        <v>估价对象所在区域基础设施水平-七通</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72"/>
      <c r="Q25" s="1794" t="str">
        <f t="shared" ref="Q25" si="9">B25</f>
        <v>基础设施水平</v>
      </c>
      <c r="R25" s="769" t="s">
        <v>17</v>
      </c>
      <c r="S25" s="770">
        <f>F25</f>
        <v>100</v>
      </c>
      <c r="T25" s="769" t="s">
        <v>17</v>
      </c>
      <c r="U25" s="770">
        <f>H25</f>
        <v>100</v>
      </c>
      <c r="V25" s="769" t="s">
        <v>17</v>
      </c>
      <c r="W25" s="770">
        <f>J25</f>
        <v>100</v>
      </c>
      <c r="X25" s="771"/>
      <c r="Y25" s="3272"/>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272"/>
      <c r="Q26" s="1794"/>
      <c r="R26" s="769"/>
      <c r="S26" s="770"/>
      <c r="T26" s="769"/>
      <c r="U26" s="770"/>
      <c r="V26" s="769"/>
      <c r="W26" s="770"/>
      <c r="X26" s="771"/>
      <c r="Y26" s="3272"/>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7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72"/>
      <c r="Z27" s="1813" t="str">
        <f t="shared" ref="Z27:Z40" si="13">Q27</f>
        <v>临街状况</v>
      </c>
      <c r="AA27" s="1810">
        <f t="shared" si="3"/>
        <v>1</v>
      </c>
      <c r="AB27" s="1810">
        <f t="shared" si="4"/>
        <v>1</v>
      </c>
      <c r="AC27" s="1810">
        <f t="shared" si="5"/>
        <v>1</v>
      </c>
    </row>
    <row r="28" spans="1:29" ht="27">
      <c r="A28" s="427"/>
      <c r="B28" s="632" t="s">
        <v>2688</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72"/>
      <c r="Q28" s="1809" t="str">
        <f t="shared" si="8"/>
        <v>毗邻道路的类型与等级</v>
      </c>
      <c r="R28" s="773" t="s">
        <v>17</v>
      </c>
      <c r="S28" s="774">
        <f t="shared" si="10"/>
        <v>100</v>
      </c>
      <c r="T28" s="773" t="s">
        <v>17</v>
      </c>
      <c r="U28" s="774">
        <f t="shared" si="11"/>
        <v>100</v>
      </c>
      <c r="V28" s="773" t="s">
        <v>17</v>
      </c>
      <c r="W28" s="774">
        <f t="shared" si="12"/>
        <v>100</v>
      </c>
      <c r="X28" s="1812"/>
      <c r="Y28" s="3272"/>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272"/>
      <c r="Q29" s="1809"/>
      <c r="R29" s="773"/>
      <c r="S29" s="774"/>
      <c r="T29" s="773"/>
      <c r="U29" s="774"/>
      <c r="V29" s="773"/>
      <c r="W29" s="774"/>
      <c r="X29" s="1812"/>
      <c r="Y29" s="3272"/>
      <c r="Z29" s="1813"/>
      <c r="AA29" s="1810">
        <v>1</v>
      </c>
      <c r="AB29" s="1810">
        <v>1</v>
      </c>
      <c r="AC29" s="1810">
        <v>1</v>
      </c>
    </row>
    <row r="30" spans="1:29" ht="15">
      <c r="A30" s="427"/>
      <c r="B30" s="653" t="s">
        <v>2747</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72"/>
      <c r="Q30" s="1809" t="str">
        <f t="shared" si="8"/>
        <v>土地级别</v>
      </c>
      <c r="R30" s="773" t="s">
        <v>17</v>
      </c>
      <c r="S30" s="774">
        <f t="shared" si="10"/>
        <v>100</v>
      </c>
      <c r="T30" s="773" t="s">
        <v>17</v>
      </c>
      <c r="U30" s="774">
        <f t="shared" si="11"/>
        <v>100</v>
      </c>
      <c r="V30" s="773" t="s">
        <v>17</v>
      </c>
      <c r="W30" s="774">
        <f t="shared" si="12"/>
        <v>100</v>
      </c>
      <c r="X30" s="1812"/>
      <c r="Y30" s="3272"/>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72"/>
      <c r="Q31" s="1809">
        <f t="shared" si="8"/>
        <v>111</v>
      </c>
      <c r="R31" s="773" t="s">
        <v>17</v>
      </c>
      <c r="S31" s="774">
        <f t="shared" si="10"/>
        <v>100</v>
      </c>
      <c r="T31" s="773" t="s">
        <v>17</v>
      </c>
      <c r="U31" s="774">
        <f t="shared" si="11"/>
        <v>100</v>
      </c>
      <c r="V31" s="773" t="s">
        <v>17</v>
      </c>
      <c r="W31" s="774">
        <f t="shared" si="12"/>
        <v>100</v>
      </c>
      <c r="X31" s="1812"/>
      <c r="Y31" s="3272"/>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95" t="s">
        <v>2562</v>
      </c>
      <c r="Q32" s="1809">
        <f t="shared" si="8"/>
        <v>111</v>
      </c>
      <c r="R32" s="773" t="s">
        <v>17</v>
      </c>
      <c r="S32" s="774">
        <f t="shared" si="10"/>
        <v>100</v>
      </c>
      <c r="T32" s="773" t="s">
        <v>17</v>
      </c>
      <c r="U32" s="774">
        <f t="shared" si="11"/>
        <v>100</v>
      </c>
      <c r="V32" s="773" t="s">
        <v>17</v>
      </c>
      <c r="W32" s="774">
        <f t="shared" si="12"/>
        <v>100</v>
      </c>
      <c r="X32" s="1812"/>
      <c r="Y32" s="3276" t="s">
        <v>2562</v>
      </c>
      <c r="Z32" s="1813">
        <f t="shared" si="13"/>
        <v>111</v>
      </c>
      <c r="AA32" s="1810">
        <f t="shared" si="3"/>
        <v>1</v>
      </c>
      <c r="AB32" s="1810">
        <f t="shared" si="4"/>
        <v>1</v>
      </c>
      <c r="AC32" s="1810">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76"/>
      <c r="Q33" s="1809">
        <f t="shared" si="8"/>
        <v>111</v>
      </c>
      <c r="R33" s="776" t="s">
        <v>17</v>
      </c>
      <c r="S33" s="777">
        <f t="shared" si="10"/>
        <v>100</v>
      </c>
      <c r="T33" s="776" t="s">
        <v>17</v>
      </c>
      <c r="U33" s="777">
        <f t="shared" si="11"/>
        <v>100</v>
      </c>
      <c r="V33" s="776" t="s">
        <v>17</v>
      </c>
      <c r="W33" s="777">
        <f t="shared" si="12"/>
        <v>100</v>
      </c>
      <c r="X33" s="778"/>
      <c r="Y33" s="3276"/>
      <c r="Z33" s="779">
        <f t="shared" si="13"/>
        <v>111</v>
      </c>
      <c r="AA33" s="1810">
        <f t="shared" si="3"/>
        <v>1</v>
      </c>
      <c r="AB33" s="1810">
        <f t="shared" si="4"/>
        <v>1</v>
      </c>
      <c r="AC33" s="1810">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76"/>
      <c r="Q34" s="1809" t="str">
        <f>B34</f>
        <v>宗地面积</v>
      </c>
      <c r="R34" s="773" t="s">
        <v>17</v>
      </c>
      <c r="S34" s="774" t="e">
        <f t="shared" si="10"/>
        <v>#N/A</v>
      </c>
      <c r="T34" s="773" t="s">
        <v>17</v>
      </c>
      <c r="U34" s="774" t="e">
        <f t="shared" si="11"/>
        <v>#N/A</v>
      </c>
      <c r="V34" s="773" t="s">
        <v>17</v>
      </c>
      <c r="W34" s="774" t="e">
        <f t="shared" si="12"/>
        <v>#N/A</v>
      </c>
      <c r="X34" s="1812"/>
      <c r="Y34" s="3276"/>
      <c r="Z34" s="1813" t="str">
        <f t="shared" si="13"/>
        <v>宗地面积</v>
      </c>
      <c r="AA34" s="1810" t="e">
        <f t="shared" si="3"/>
        <v>#N/A</v>
      </c>
      <c r="AB34" s="1810" t="e">
        <f t="shared" si="4"/>
        <v>#N/A</v>
      </c>
      <c r="AC34" s="1810" t="e">
        <f t="shared" si="5"/>
        <v>#N/A</v>
      </c>
    </row>
    <row r="35" spans="1:29" ht="15">
      <c r="A35" s="471"/>
      <c r="B35" s="421" t="s">
        <v>2749</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276"/>
      <c r="Q35" s="1809" t="str">
        <f t="shared" ref="Q35:Q40" si="14">B35</f>
        <v>宗地形状</v>
      </c>
      <c r="R35" s="773" t="s">
        <v>17</v>
      </c>
      <c r="S35" s="774">
        <f t="shared" si="10"/>
        <v>100</v>
      </c>
      <c r="T35" s="773" t="s">
        <v>17</v>
      </c>
      <c r="U35" s="774">
        <f t="shared" si="11"/>
        <v>100</v>
      </c>
      <c r="V35" s="773" t="s">
        <v>17</v>
      </c>
      <c r="W35" s="774">
        <f t="shared" si="12"/>
        <v>100</v>
      </c>
      <c r="X35" s="1812"/>
      <c r="Y35" s="3276"/>
      <c r="Z35" s="1813" t="str">
        <f t="shared" si="13"/>
        <v>宗地形状</v>
      </c>
      <c r="AA35" s="1810">
        <f t="shared" si="3"/>
        <v>1</v>
      </c>
      <c r="AB35" s="1810">
        <f t="shared" si="4"/>
        <v>1</v>
      </c>
      <c r="AC35" s="1810">
        <f t="shared" si="5"/>
        <v>1</v>
      </c>
    </row>
    <row r="36" spans="1:29" s="117" customFormat="1" ht="15">
      <c r="A36" s="472"/>
      <c r="B36" s="421" t="s">
        <v>2751</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276"/>
      <c r="Q36" s="1809" t="str">
        <f t="shared" si="14"/>
        <v>宗地开发程度</v>
      </c>
      <c r="R36" s="769" t="s">
        <v>17</v>
      </c>
      <c r="S36" s="770">
        <f t="shared" si="10"/>
        <v>100</v>
      </c>
      <c r="T36" s="769" t="s">
        <v>17</v>
      </c>
      <c r="U36" s="770">
        <f t="shared" si="11"/>
        <v>100</v>
      </c>
      <c r="V36" s="769" t="s">
        <v>17</v>
      </c>
      <c r="W36" s="770">
        <f t="shared" si="12"/>
        <v>100</v>
      </c>
      <c r="X36" s="771"/>
      <c r="Y36" s="3276"/>
      <c r="Z36" s="55" t="str">
        <f t="shared" si="13"/>
        <v>宗地开发程度</v>
      </c>
      <c r="AA36" s="772">
        <f t="shared" si="3"/>
        <v>1</v>
      </c>
      <c r="AB36" s="772">
        <f t="shared" si="4"/>
        <v>1</v>
      </c>
      <c r="AC36" s="772">
        <f t="shared" si="5"/>
        <v>1</v>
      </c>
    </row>
    <row r="37" spans="1:29" ht="15">
      <c r="A37" s="471"/>
      <c r="B37" s="421" t="s">
        <v>2752</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276" t="s">
        <v>2562</v>
      </c>
      <c r="Q37" s="1809" t="str">
        <f t="shared" si="14"/>
        <v>工程地质条件</v>
      </c>
      <c r="R37" s="773" t="s">
        <v>17</v>
      </c>
      <c r="S37" s="774">
        <f t="shared" si="10"/>
        <v>100</v>
      </c>
      <c r="T37" s="773" t="s">
        <v>17</v>
      </c>
      <c r="U37" s="774">
        <f t="shared" si="11"/>
        <v>100</v>
      </c>
      <c r="V37" s="773" t="s">
        <v>17</v>
      </c>
      <c r="W37" s="774">
        <f t="shared" si="12"/>
        <v>100</v>
      </c>
      <c r="X37" s="1812"/>
      <c r="Y37" s="3276" t="s">
        <v>2562</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76"/>
      <c r="Q38" s="1809">
        <f t="shared" si="14"/>
        <v>111</v>
      </c>
      <c r="R38" s="773" t="s">
        <v>17</v>
      </c>
      <c r="S38" s="774">
        <f t="shared" si="10"/>
        <v>100</v>
      </c>
      <c r="T38" s="773" t="s">
        <v>17</v>
      </c>
      <c r="U38" s="774">
        <f t="shared" si="11"/>
        <v>100</v>
      </c>
      <c r="V38" s="773" t="s">
        <v>17</v>
      </c>
      <c r="W38" s="774">
        <f t="shared" si="12"/>
        <v>100</v>
      </c>
      <c r="X38" s="1812"/>
      <c r="Y38" s="327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76"/>
      <c r="Q39" s="1809">
        <f t="shared" si="14"/>
        <v>111</v>
      </c>
      <c r="R39" s="773" t="s">
        <v>17</v>
      </c>
      <c r="S39" s="774">
        <f t="shared" si="10"/>
        <v>100</v>
      </c>
      <c r="T39" s="773" t="s">
        <v>17</v>
      </c>
      <c r="U39" s="774">
        <f t="shared" si="11"/>
        <v>100</v>
      </c>
      <c r="V39" s="773" t="s">
        <v>17</v>
      </c>
      <c r="W39" s="774">
        <f t="shared" si="12"/>
        <v>100</v>
      </c>
      <c r="X39" s="1812"/>
      <c r="Y39" s="3276"/>
      <c r="Z39" s="1813">
        <f t="shared" si="13"/>
        <v>111</v>
      </c>
      <c r="AA39" s="1810">
        <f t="shared" si="3"/>
        <v>1</v>
      </c>
      <c r="AB39" s="1810">
        <f t="shared" si="4"/>
        <v>1</v>
      </c>
      <c r="AC39" s="1810">
        <f t="shared" si="5"/>
        <v>1</v>
      </c>
    </row>
    <row r="40" spans="1:29" s="470" customFormat="1" ht="15.75"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76"/>
      <c r="Q40" s="1809">
        <f t="shared" si="14"/>
        <v>111</v>
      </c>
      <c r="R40" s="776" t="s">
        <v>17</v>
      </c>
      <c r="S40" s="777">
        <f t="shared" si="10"/>
        <v>100</v>
      </c>
      <c r="T40" s="776" t="s">
        <v>17</v>
      </c>
      <c r="U40" s="777">
        <f t="shared" si="11"/>
        <v>100</v>
      </c>
      <c r="V40" s="776" t="s">
        <v>17</v>
      </c>
      <c r="W40" s="777">
        <f t="shared" si="12"/>
        <v>100</v>
      </c>
      <c r="X40" s="778"/>
      <c r="Y40" s="3276"/>
      <c r="Z40" s="779">
        <f t="shared" si="13"/>
        <v>111</v>
      </c>
      <c r="AA40" s="1810">
        <f t="shared" si="3"/>
        <v>1</v>
      </c>
      <c r="AB40" s="1810">
        <f t="shared" si="4"/>
        <v>1</v>
      </c>
      <c r="AC40" s="1810">
        <f t="shared" si="5"/>
        <v>1</v>
      </c>
    </row>
    <row r="41" spans="1:29" ht="15">
      <c r="A41" s="478" t="s">
        <v>2717</v>
      </c>
      <c r="B41" s="2703" t="s">
        <v>2797</v>
      </c>
      <c r="C41" s="681" t="s">
        <v>1</v>
      </c>
      <c r="D41" s="480"/>
      <c r="E41" s="481"/>
      <c r="F41" s="482"/>
      <c r="G41" s="483"/>
      <c r="H41" s="484"/>
      <c r="I41" s="481"/>
      <c r="J41" s="484"/>
      <c r="K41" s="782"/>
      <c r="L41" s="1142"/>
      <c r="M41" s="1130"/>
      <c r="N41" s="1130"/>
      <c r="O41" s="1143"/>
      <c r="P41" s="3269" t="str">
        <f>A41</f>
        <v>成交单价</v>
      </c>
      <c r="Q41" s="3269"/>
      <c r="R41" s="3264">
        <f>E41</f>
        <v>0</v>
      </c>
      <c r="S41" s="3264"/>
      <c r="T41" s="3264">
        <f>G41</f>
        <v>0</v>
      </c>
      <c r="U41" s="3264"/>
      <c r="V41" s="3264">
        <f>I41</f>
        <v>0</v>
      </c>
      <c r="W41" s="3264"/>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2"/>
      <c r="M42" s="1130"/>
      <c r="N42" s="1130"/>
      <c r="O42" s="1143"/>
      <c r="P42" s="3269" t="str">
        <f>A42</f>
        <v>比较价值（元/平方米）</v>
      </c>
      <c r="Q42" s="3269"/>
      <c r="R42" s="3296" t="e">
        <f>ROUND(PRODUCT(R41,AA7:AA40),0)</f>
        <v>#DIV/0!</v>
      </c>
      <c r="S42" s="3296"/>
      <c r="T42" s="3296" t="e">
        <f>ROUND(PRODUCT(T41,AB7:AB40),0)</f>
        <v>#DIV/0!</v>
      </c>
      <c r="U42" s="3296"/>
      <c r="V42" s="3296" t="e">
        <f>ROUND(PRODUCT(V41,AC7:AC40),0)</f>
        <v>#DIV/0!</v>
      </c>
      <c r="W42" s="3296"/>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2"/>
      <c r="M43" s="1130"/>
      <c r="N43" s="1130"/>
      <c r="O43" s="1143"/>
      <c r="P43" s="3266" t="str">
        <f>A43</f>
        <v>估价对象XX用房的比较价值（楼面单价，元/平方米）</v>
      </c>
      <c r="Q43" s="3267"/>
      <c r="R43" s="3297" t="e">
        <f>ROUND(AVERAGE(R42:V42),0)</f>
        <v>#DIV/0!</v>
      </c>
      <c r="S43" s="3297"/>
      <c r="T43" s="3297"/>
      <c r="U43" s="3297"/>
      <c r="V43" s="3297"/>
      <c r="W43" s="329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2755</v>
      </c>
      <c r="B50" s="684" t="s">
        <v>2756</v>
      </c>
      <c r="C50" s="2704" t="s">
        <v>2757</v>
      </c>
      <c r="D50" s="2705" t="s">
        <v>2758</v>
      </c>
      <c r="E50" s="685" t="s">
        <v>2759</v>
      </c>
      <c r="F50" s="686" t="s">
        <v>2760</v>
      </c>
      <c r="G50" s="3252" t="s">
        <v>2761</v>
      </c>
      <c r="H50" s="3298"/>
      <c r="I50" s="1813" t="s">
        <v>2798</v>
      </c>
      <c r="J50" s="1813">
        <f>项目基本情况!F35</f>
        <v>0</v>
      </c>
      <c r="K50" s="2707" t="s">
        <v>2763</v>
      </c>
      <c r="L50" s="1105"/>
      <c r="M50" s="1143"/>
      <c r="N50" s="1143"/>
      <c r="O50" s="1143"/>
    </row>
    <row r="51" spans="1:17" s="691" customFormat="1">
      <c r="A51" s="687" t="s">
        <v>2764</v>
      </c>
      <c r="B51" s="688" t="e">
        <f>C43</f>
        <v>#DIV/0!</v>
      </c>
      <c r="C51" s="689">
        <v>1</v>
      </c>
      <c r="D51" s="1162">
        <v>1</v>
      </c>
      <c r="E51" s="689">
        <f>'数据-汇总表'!E8+'数据-汇总表'!E9</f>
        <v>9251.5400000000009</v>
      </c>
      <c r="F51" s="690" t="e">
        <f t="shared" ref="F51:F60" si="15">ROUND(B51*E51/10000,0)</f>
        <v>#DIV/0!</v>
      </c>
      <c r="G51" s="3251"/>
      <c r="H51" s="3269"/>
      <c r="I51" s="941">
        <v>1</v>
      </c>
      <c r="J51" s="941">
        <v>1</v>
      </c>
      <c r="K51" s="1144"/>
      <c r="L51" s="940"/>
      <c r="M51" s="940"/>
      <c r="N51" s="940"/>
      <c r="O51" s="940"/>
    </row>
    <row r="52" spans="1:17" s="691" customFormat="1">
      <c r="A52" s="692" t="s">
        <v>2765</v>
      </c>
      <c r="B52" s="261" t="e">
        <f>ROUND($C$43*C52*D52,0)</f>
        <v>#DIV/0!</v>
      </c>
      <c r="C52" s="199">
        <f t="shared" ref="C52:C60" si="16">IF($C$50="北京市系数",I52,J52)</f>
        <v>0</v>
      </c>
      <c r="D52" s="1163">
        <v>0.25</v>
      </c>
      <c r="E52" s="693"/>
      <c r="F52" s="690" t="e">
        <f t="shared" si="15"/>
        <v>#DIV/0!</v>
      </c>
      <c r="G52" s="3299" t="s">
        <v>2766</v>
      </c>
      <c r="H52" s="1103">
        <f>项目基本情况!B37</f>
        <v>0</v>
      </c>
      <c r="I52" s="941">
        <f>SUMIF(修正!A45:A56,H52,修正!B45:B56)</f>
        <v>0</v>
      </c>
      <c r="J52" s="942"/>
      <c r="K52" s="1143"/>
      <c r="L52" s="940"/>
      <c r="M52" s="940"/>
      <c r="N52" s="940"/>
      <c r="O52" s="940"/>
    </row>
    <row r="53" spans="1:17" s="691" customFormat="1">
      <c r="A53" s="692" t="s">
        <v>2767</v>
      </c>
      <c r="B53" s="261" t="e">
        <f t="shared" ref="B53:B60" si="17">ROUND($C$43*C53*D53,0)</f>
        <v>#DIV/0!</v>
      </c>
      <c r="C53" s="199">
        <f t="shared" si="16"/>
        <v>0</v>
      </c>
      <c r="D53" s="1163">
        <v>0.25</v>
      </c>
      <c r="E53" s="693"/>
      <c r="F53" s="690" t="e">
        <f t="shared" si="15"/>
        <v>#DIV/0!</v>
      </c>
      <c r="G53" s="3299"/>
      <c r="H53" s="1103">
        <f>项目基本情况!B37</f>
        <v>0</v>
      </c>
      <c r="I53" s="941">
        <f>SUMIF(修正!A45:A56,H53,修正!C45:C56)</f>
        <v>0</v>
      </c>
      <c r="J53" s="942"/>
      <c r="K53" s="1144"/>
      <c r="L53" s="940"/>
      <c r="M53" s="940"/>
      <c r="N53" s="940"/>
      <c r="O53" s="940"/>
    </row>
    <row r="54" spans="1:17" s="691" customFormat="1">
      <c r="A54" s="692" t="s">
        <v>2768</v>
      </c>
      <c r="B54" s="261" t="e">
        <f t="shared" si="17"/>
        <v>#DIV/0!</v>
      </c>
      <c r="C54" s="199">
        <f t="shared" si="16"/>
        <v>0</v>
      </c>
      <c r="D54" s="1163">
        <v>0.25</v>
      </c>
      <c r="E54" s="693"/>
      <c r="F54" s="690" t="e">
        <f t="shared" si="15"/>
        <v>#DIV/0!</v>
      </c>
      <c r="G54" s="3299"/>
      <c r="H54" s="1103">
        <f>项目基本情况!B37</f>
        <v>0</v>
      </c>
      <c r="I54" s="941">
        <f>SUMIF(修正!A45:A56,H54,修正!D45:D56)</f>
        <v>0</v>
      </c>
      <c r="J54" s="942"/>
      <c r="K54" s="1143"/>
      <c r="L54" s="940"/>
      <c r="M54" s="940"/>
      <c r="N54" s="940"/>
      <c r="O54" s="940"/>
    </row>
    <row r="55" spans="1:17" s="691" customFormat="1">
      <c r="A55" s="692" t="s">
        <v>2769</v>
      </c>
      <c r="B55" s="261" t="e">
        <f t="shared" si="17"/>
        <v>#DIV/0!</v>
      </c>
      <c r="C55" s="199">
        <f t="shared" si="16"/>
        <v>0</v>
      </c>
      <c r="D55" s="1163">
        <v>0.25</v>
      </c>
      <c r="E55" s="693"/>
      <c r="F55" s="690" t="e">
        <f t="shared" si="15"/>
        <v>#DIV/0!</v>
      </c>
      <c r="G55" s="3299"/>
      <c r="H55" s="1103">
        <f>项目基本情况!B37</f>
        <v>0</v>
      </c>
      <c r="I55" s="941">
        <f>SUMIF(修正!A45:A56,H55,修正!E45:E56)</f>
        <v>0</v>
      </c>
      <c r="J55" s="942"/>
      <c r="K55" s="1144"/>
      <c r="L55" s="940"/>
      <c r="M55" s="940"/>
      <c r="N55" s="940"/>
      <c r="O55" s="940"/>
    </row>
    <row r="56" spans="1:17" s="691" customFormat="1">
      <c r="A56" s="692" t="s">
        <v>2770</v>
      </c>
      <c r="B56" s="261" t="e">
        <f t="shared" si="17"/>
        <v>#DIV/0!</v>
      </c>
      <c r="C56" s="199">
        <f t="shared" si="16"/>
        <v>0</v>
      </c>
      <c r="D56" s="1163">
        <v>0.25</v>
      </c>
      <c r="E56" s="260">
        <f>'数据-汇总表'!E11</f>
        <v>0</v>
      </c>
      <c r="F56" s="690" t="e">
        <f t="shared" si="15"/>
        <v>#DIV/0!</v>
      </c>
      <c r="G56" s="2708" t="s">
        <v>2771</v>
      </c>
      <c r="H56" s="1103">
        <f>项目基本情况!C37</f>
        <v>0</v>
      </c>
      <c r="I56" s="941">
        <f>SUMIF(修正!A45:A56,H56,修正!F45:F56)</f>
        <v>0</v>
      </c>
      <c r="J56" s="942"/>
      <c r="K56" s="1143"/>
      <c r="L56" s="940"/>
      <c r="M56" s="940"/>
      <c r="N56" s="940"/>
      <c r="O56" s="940"/>
    </row>
    <row r="57" spans="1:17" s="691" customFormat="1">
      <c r="A57" s="692" t="s">
        <v>2772</v>
      </c>
      <c r="B57" s="261" t="e">
        <f t="shared" si="17"/>
        <v>#DIV/0!</v>
      </c>
      <c r="C57" s="199">
        <f t="shared" si="16"/>
        <v>0</v>
      </c>
      <c r="D57" s="1163">
        <v>0.25</v>
      </c>
      <c r="E57" s="260">
        <f>'数据-汇总表'!E12</f>
        <v>0</v>
      </c>
      <c r="F57" s="690" t="e">
        <f t="shared" si="15"/>
        <v>#DIV/0!</v>
      </c>
      <c r="G57" s="1108" t="s">
        <v>2773</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2774</v>
      </c>
      <c r="B58" s="261" t="e">
        <f t="shared" si="17"/>
        <v>#DIV/0!</v>
      </c>
      <c r="C58" s="199">
        <f t="shared" si="16"/>
        <v>0</v>
      </c>
      <c r="D58" s="1163">
        <v>0.25</v>
      </c>
      <c r="E58" s="260">
        <f>'数据-汇总表'!E13</f>
        <v>0</v>
      </c>
      <c r="F58" s="690"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2776</v>
      </c>
      <c r="B59" s="261" t="e">
        <f t="shared" si="17"/>
        <v>#DIV/0!</v>
      </c>
      <c r="C59" s="199">
        <f t="shared" si="16"/>
        <v>0</v>
      </c>
      <c r="D59" s="1163">
        <v>0.25</v>
      </c>
      <c r="E59" s="260">
        <f>'数据-汇总表'!E14</f>
        <v>0</v>
      </c>
      <c r="F59" s="690" t="e">
        <f t="shared" si="15"/>
        <v>#DIV/0!</v>
      </c>
      <c r="G59" s="2708" t="s">
        <v>2766</v>
      </c>
      <c r="H59" s="1103">
        <f>项目基本情况!B37</f>
        <v>0</v>
      </c>
      <c r="I59" s="941">
        <f>SUMIF(修正!A45:A56,H59,修正!H45:H56)</f>
        <v>0</v>
      </c>
      <c r="J59" s="942"/>
      <c r="K59" s="1144"/>
      <c r="L59" s="940"/>
      <c r="M59" s="940"/>
      <c r="N59" s="940"/>
      <c r="O59" s="940"/>
    </row>
    <row r="60" spans="1:17" s="691" customFormat="1" ht="15" thickBot="1">
      <c r="A60" s="692" t="s">
        <v>2777</v>
      </c>
      <c r="B60" s="261" t="e">
        <f t="shared" si="17"/>
        <v>#DIV/0!</v>
      </c>
      <c r="C60" s="199">
        <f t="shared" si="16"/>
        <v>0</v>
      </c>
      <c r="D60" s="1163">
        <v>0.25</v>
      </c>
      <c r="E60" s="260">
        <f>'数据-汇总表'!E15</f>
        <v>0</v>
      </c>
      <c r="F60" s="690" t="e">
        <f t="shared" si="15"/>
        <v>#DIV/0!</v>
      </c>
      <c r="G60" s="2709" t="s">
        <v>2771</v>
      </c>
      <c r="H60" s="1113">
        <f>项目基本情况!C37</f>
        <v>0</v>
      </c>
      <c r="I60" s="941">
        <f>SUMIF(修正!A45:A56,H60,修正!H45:H56)</f>
        <v>0</v>
      </c>
      <c r="J60" s="942"/>
      <c r="K60" s="1143"/>
      <c r="L60" s="940"/>
      <c r="M60" s="940"/>
      <c r="N60" s="940"/>
      <c r="O60" s="940"/>
    </row>
    <row r="61" spans="1:17" s="691" customFormat="1" ht="15" thickBot="1">
      <c r="A61" s="694" t="s">
        <v>2778</v>
      </c>
      <c r="B61" s="695" t="s">
        <v>28</v>
      </c>
      <c r="C61" s="695" t="s">
        <v>29</v>
      </c>
      <c r="D61" s="695" t="s">
        <v>1025</v>
      </c>
      <c r="E61" s="695">
        <f>IF(B41="楼面地价",SUM(E51:E60),'数据-汇总表'!D3)</f>
        <v>7066.74</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2020-4-1</v>
      </c>
      <c r="D63" s="760">
        <f>EDATE(C63,-3)</f>
        <v>43831</v>
      </c>
      <c r="E63" s="760">
        <f>EDATE(D63,-3)</f>
        <v>43739</v>
      </c>
      <c r="F63" s="760">
        <f t="shared" ref="F63:O63" si="18">EDATE(E63,-3)</f>
        <v>43647</v>
      </c>
      <c r="G63" s="760">
        <f t="shared" si="18"/>
        <v>43556</v>
      </c>
      <c r="H63" s="760">
        <f t="shared" si="18"/>
        <v>43466</v>
      </c>
      <c r="I63" s="760">
        <f t="shared" si="18"/>
        <v>43374</v>
      </c>
      <c r="J63" s="760">
        <f t="shared" si="18"/>
        <v>43282</v>
      </c>
      <c r="K63" s="760">
        <f t="shared" si="18"/>
        <v>43191</v>
      </c>
      <c r="L63" s="760">
        <f t="shared" si="18"/>
        <v>43101</v>
      </c>
      <c r="M63" s="760">
        <f t="shared" si="18"/>
        <v>43009</v>
      </c>
      <c r="N63" s="760">
        <f t="shared" si="18"/>
        <v>42917</v>
      </c>
      <c r="O63" s="760">
        <f t="shared" si="18"/>
        <v>42826</v>
      </c>
    </row>
    <row r="64" spans="1:17" ht="21.75" thickBot="1">
      <c r="A64" s="762" t="s">
        <v>2671</v>
      </c>
      <c r="B64" s="758"/>
      <c r="C64" s="763"/>
      <c r="D64" s="763"/>
      <c r="E64" s="763"/>
      <c r="F64" s="764"/>
      <c r="G64" s="764"/>
      <c r="H64" s="763"/>
      <c r="I64" s="763"/>
      <c r="J64" s="763"/>
      <c r="K64" s="765"/>
      <c r="L64" s="766"/>
      <c r="M64" s="763"/>
      <c r="N64" s="763"/>
      <c r="O64" s="1158"/>
      <c r="P64" s="502"/>
      <c r="Q64" s="503"/>
    </row>
    <row r="65" spans="1:17" s="507" customFormat="1" ht="15">
      <c r="A65" s="2710" t="s">
        <v>2779</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15" t="s">
        <v>2799</v>
      </c>
      <c r="B66" s="331" t="str">
        <f>"北京市平均增长率"&amp;TEXT(基准地价修正!P24,"0.00%")</f>
        <v>北京市平均增长率1.29%</v>
      </c>
      <c r="C66" s="602">
        <v>100</v>
      </c>
      <c r="D66" s="594"/>
      <c r="E66" s="594"/>
      <c r="F66" s="594"/>
      <c r="G66" s="594"/>
      <c r="H66" s="594"/>
      <c r="I66" s="594"/>
      <c r="J66" s="594"/>
      <c r="K66" s="594"/>
      <c r="L66" s="594"/>
      <c r="M66" s="1566"/>
      <c r="N66" s="1566"/>
      <c r="O66" s="1568"/>
      <c r="P66" s="503"/>
    </row>
    <row r="67" spans="1:17" s="117" customFormat="1" ht="15.75" thickBot="1">
      <c r="A67" s="514" t="s">
        <v>2582</v>
      </c>
      <c r="B67" s="515"/>
      <c r="C67" s="516"/>
      <c r="D67" s="517"/>
      <c r="E67" s="517"/>
      <c r="F67" s="517"/>
      <c r="G67" s="517"/>
      <c r="H67" s="517"/>
      <c r="I67" s="517"/>
      <c r="J67" s="517"/>
      <c r="K67" s="517"/>
      <c r="L67" s="517"/>
      <c r="M67" s="518"/>
      <c r="N67" s="518"/>
      <c r="O67" s="519"/>
      <c r="P67" s="503"/>
      <c r="Q67" s="503"/>
    </row>
    <row r="68" spans="1:17" s="117" customFormat="1" ht="15">
      <c r="A68" s="520" t="s">
        <v>2547</v>
      </c>
      <c r="B68" s="509"/>
      <c r="C68" s="521" t="s">
        <v>2649</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2585</v>
      </c>
      <c r="B70" s="527" t="s">
        <v>2551</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2554</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2782</v>
      </c>
      <c r="C87" s="572" t="s">
        <v>2594</v>
      </c>
      <c r="D87" s="572" t="s">
        <v>2595</v>
      </c>
      <c r="E87" s="572" t="s">
        <v>2596</v>
      </c>
      <c r="F87" s="572" t="s">
        <v>2597</v>
      </c>
      <c r="G87" s="572" t="s">
        <v>2598</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2783</v>
      </c>
      <c r="C89" s="572" t="s">
        <v>2594</v>
      </c>
      <c r="D89" s="572" t="s">
        <v>2595</v>
      </c>
      <c r="E89" s="572" t="s">
        <v>2596</v>
      </c>
      <c r="F89" s="572" t="s">
        <v>2597</v>
      </c>
      <c r="G89" s="572" t="s">
        <v>2598</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2688</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2747</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2789</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2791</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2792</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3" workbookViewId="0">
      <selection activeCell="F50" sqref="F5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35"/>
      <c r="C1" s="241"/>
      <c r="D1" s="241"/>
      <c r="E1" s="241"/>
      <c r="F1" s="241"/>
      <c r="G1" s="1378">
        <f>MATCH(B1,'数据-取费表'!A6:A16,0)+5</f>
        <v>8</v>
      </c>
    </row>
    <row r="2" spans="1:9" s="243" customFormat="1" ht="18" customHeight="1">
      <c r="A2" s="244" t="s">
        <v>2324</v>
      </c>
      <c r="B2" s="245">
        <f ca="1">IF(D2="——",C52,C52-E2)</f>
        <v>4979</v>
      </c>
      <c r="C2" s="242" t="s">
        <v>2325</v>
      </c>
      <c r="D2" s="2546" t="s">
        <v>70</v>
      </c>
      <c r="E2" s="1439" t="e">
        <f ca="1">SUMIF(INDIRECT("'"&amp;G2&amp;"'"&amp;"!A:A"),"承租人权益价值",INDIRECT("'"&amp;G2&amp;"'"&amp;"!c:c"))</f>
        <v>#REF!</v>
      </c>
      <c r="F2" s="2547" t="s">
        <v>2325</v>
      </c>
      <c r="G2" s="2548"/>
    </row>
    <row r="3" spans="1:9" s="243" customFormat="1" ht="18" customHeight="1" thickBot="1">
      <c r="A3" s="246" t="s">
        <v>2326</v>
      </c>
      <c r="B3" s="247">
        <f ca="1">ROUND(B2*10000/(IF(B1="",'数据-汇总表'!E3,INDIRECT("'数据-取费表'!k"&amp;$G$1))),0)</f>
        <v>5331</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 ca="1">C6+C7+C8</f>
        <v>2064</v>
      </c>
      <c r="D5" s="254" t="s">
        <v>2331</v>
      </c>
      <c r="E5" s="255" t="s">
        <v>2332</v>
      </c>
      <c r="F5" s="255" t="s">
        <v>2333</v>
      </c>
      <c r="G5" s="256"/>
    </row>
    <row r="6" spans="1:9" s="257" customFormat="1" ht="13.5" customHeight="1">
      <c r="A6" s="948" t="s">
        <v>2334</v>
      </c>
      <c r="B6" s="258" t="s">
        <v>2335</v>
      </c>
      <c r="C6" s="259">
        <f ca="1">基准地价修正!E29</f>
        <v>1831</v>
      </c>
      <c r="D6" s="260"/>
      <c r="E6" s="261"/>
      <c r="F6" s="261"/>
      <c r="G6" s="262"/>
    </row>
    <row r="7" spans="1:9" s="257" customFormat="1" ht="13.5" customHeight="1">
      <c r="A7" s="948" t="s">
        <v>2336</v>
      </c>
      <c r="B7" s="258" t="s">
        <v>2337</v>
      </c>
      <c r="C7" s="263">
        <f ca="1">ROUND(C6*F7,0)</f>
        <v>56</v>
      </c>
      <c r="D7" s="263"/>
      <c r="E7" s="261"/>
      <c r="F7" s="264">
        <f>IF(项目基本情况!B8="出让",0,'数据-取费表'!B48+'数据-取费表'!B49)</f>
        <v>3.0499999999999999E-2</v>
      </c>
      <c r="G7" s="262"/>
    </row>
    <row r="8" spans="1:9" s="266" customFormat="1">
      <c r="A8" s="948" t="s">
        <v>2338</v>
      </c>
      <c r="B8" s="258" t="s">
        <v>2339</v>
      </c>
      <c r="C8" s="263">
        <f>IF(G8="已包含在土地购买价格中","0",IF(B1="",'数据-取费表'!B29,IF(G9="全部缴纳",C9+C10,H9)))</f>
        <v>177</v>
      </c>
      <c r="D8" s="265"/>
      <c r="E8" s="263"/>
      <c r="F8" s="264"/>
      <c r="G8" s="2549" t="s">
        <v>3078</v>
      </c>
    </row>
    <row r="9" spans="1:9" s="257" customFormat="1" ht="13.5" customHeight="1">
      <c r="A9" s="949" t="s">
        <v>800</v>
      </c>
      <c r="B9" s="267" t="s">
        <v>2340</v>
      </c>
      <c r="C9" s="268">
        <f ca="1">ROUND(D9*E9/10000,0)</f>
        <v>0</v>
      </c>
      <c r="D9" s="1031">
        <f ca="1">IF(B1="",'数据-汇总表'!E5,IF(INDIRECT("'数据-取费表'!c"&amp;$G$1)="住宅",INDIRECT("'数据-取费表'!k"&amp;$G$1),0))</f>
        <v>0</v>
      </c>
      <c r="E9" s="268">
        <f>'数据-取费表'!B27</f>
        <v>150</v>
      </c>
      <c r="F9" s="264"/>
      <c r="G9" s="2550" t="s">
        <v>3079</v>
      </c>
      <c r="H9" s="1389"/>
      <c r="I9" s="2551" t="s">
        <v>2341</v>
      </c>
    </row>
    <row r="10" spans="1:9" s="257" customFormat="1" ht="13.5" customHeight="1">
      <c r="A10" s="949" t="s">
        <v>801</v>
      </c>
      <c r="B10" s="267" t="s">
        <v>2342</v>
      </c>
      <c r="C10" s="268">
        <f ca="1">ROUND(D10*E10/10000,0)</f>
        <v>177</v>
      </c>
      <c r="D10" s="1031">
        <f ca="1">IF(B1="",'数据-汇总表'!E6,IF(INDIRECT("'数据-取费表'!c"&amp;$G$1)="住宅",INDIRECT("'数据-取费表'!s"&amp;$G$1),INDIRECT("'数据-取费表'!k"&amp;$G$1)+INDIRECT("'数据-取费表'!s"&amp;$G$1)))</f>
        <v>9339.3000000000011</v>
      </c>
      <c r="E10" s="268">
        <f>'数据-取费表'!B28</f>
        <v>190</v>
      </c>
      <c r="F10" s="264"/>
      <c r="G10" s="269"/>
    </row>
    <row r="11" spans="1:9" s="257" customFormat="1" ht="13.5" hidden="1" customHeight="1">
      <c r="A11" s="270" t="s">
        <v>7</v>
      </c>
      <c r="B11" s="258" t="s">
        <v>2343</v>
      </c>
      <c r="C11" s="254"/>
      <c r="D11" s="1033"/>
      <c r="E11" s="261"/>
      <c r="F11" s="261"/>
      <c r="G11" s="262"/>
    </row>
    <row r="12" spans="1:9" s="257" customFormat="1" ht="13.5" hidden="1" customHeight="1">
      <c r="A12" s="270" t="s">
        <v>8</v>
      </c>
      <c r="B12" s="258" t="s">
        <v>2344</v>
      </c>
      <c r="C12" s="254">
        <v>0</v>
      </c>
      <c r="D12" s="1033"/>
      <c r="E12" s="271"/>
      <c r="F12" s="264">
        <v>3.0499999999999999E-2</v>
      </c>
      <c r="G12" s="262"/>
    </row>
    <row r="13" spans="1:9" s="257" customFormat="1" ht="13.5" hidden="1" customHeight="1">
      <c r="A13" s="270" t="s">
        <v>9</v>
      </c>
      <c r="B13" s="258" t="s">
        <v>2345</v>
      </c>
      <c r="C13" s="254"/>
      <c r="D13" s="1033"/>
      <c r="E13" s="261"/>
      <c r="F13" s="261"/>
      <c r="G13" s="262"/>
    </row>
    <row r="14" spans="1:9" s="257" customFormat="1" ht="13.5" hidden="1" customHeight="1">
      <c r="A14" s="270" t="s">
        <v>10</v>
      </c>
      <c r="B14" s="258" t="s">
        <v>2346</v>
      </c>
      <c r="C14" s="254"/>
      <c r="D14" s="1033"/>
      <c r="E14" s="261"/>
      <c r="F14" s="261"/>
      <c r="G14" s="262" t="s">
        <v>2347</v>
      </c>
    </row>
    <row r="15" spans="1:9" s="257" customFormat="1" ht="13.5" hidden="1" customHeight="1">
      <c r="A15" s="270" t="s">
        <v>11</v>
      </c>
      <c r="B15" s="258" t="s">
        <v>2348</v>
      </c>
      <c r="C15" s="263"/>
      <c r="D15" s="1033"/>
      <c r="E15" s="261"/>
      <c r="F15" s="261"/>
      <c r="G15" s="262" t="s">
        <v>2349</v>
      </c>
    </row>
    <row r="16" spans="1:9" s="257" customFormat="1" ht="13.5" hidden="1" customHeight="1">
      <c r="A16" s="270" t="s">
        <v>12</v>
      </c>
      <c r="B16" s="258" t="s">
        <v>2346</v>
      </c>
      <c r="C16" s="263"/>
      <c r="D16" s="1033"/>
      <c r="E16" s="261"/>
      <c r="F16" s="261"/>
      <c r="G16" s="262"/>
    </row>
    <row r="17" spans="1:7" s="257" customFormat="1" ht="13.5" hidden="1" customHeight="1">
      <c r="A17" s="270" t="s">
        <v>13</v>
      </c>
      <c r="B17" s="258" t="s">
        <v>2350</v>
      </c>
      <c r="C17" s="272"/>
      <c r="D17" s="1034"/>
      <c r="E17" s="272"/>
      <c r="F17" s="272"/>
      <c r="G17" s="262" t="s">
        <v>2349</v>
      </c>
    </row>
    <row r="18" spans="1:7" s="257" customFormat="1" ht="13.5" hidden="1" customHeight="1">
      <c r="A18" s="270" t="s">
        <v>14</v>
      </c>
      <c r="B18" s="258" t="s">
        <v>2351</v>
      </c>
      <c r="C18" s="263">
        <v>0</v>
      </c>
      <c r="D18" s="1033"/>
      <c r="E18" s="261"/>
      <c r="F18" s="264">
        <v>3.0499999999999999E-2</v>
      </c>
      <c r="G18" s="262" t="s">
        <v>2352</v>
      </c>
    </row>
    <row r="19" spans="1:7" s="266" customFormat="1" ht="13.5" customHeight="1">
      <c r="A19" s="298" t="s">
        <v>2353</v>
      </c>
      <c r="B19" s="253" t="s">
        <v>2354</v>
      </c>
      <c r="C19" s="254" t="str">
        <f>IF(G19="已包含在土地取得成本中","0",ROUND(D19*E19/10000,0))</f>
        <v>0</v>
      </c>
      <c r="D19" s="1035">
        <f ca="1">D9+D10</f>
        <v>9339.3000000000011</v>
      </c>
      <c r="E19" s="254">
        <f>'数据-取费表'!B31</f>
        <v>200</v>
      </c>
      <c r="F19" s="274"/>
      <c r="G19" s="2549" t="s">
        <v>3080</v>
      </c>
    </row>
    <row r="20" spans="1:7" s="257" customFormat="1" ht="13.5" customHeight="1">
      <c r="A20" s="298" t="s">
        <v>2355</v>
      </c>
      <c r="B20" s="253" t="s">
        <v>2356</v>
      </c>
      <c r="C20" s="275">
        <f ca="1">ROUND((C5+C19)*F20,0)</f>
        <v>41</v>
      </c>
      <c r="D20" s="275"/>
      <c r="E20" s="275"/>
      <c r="F20" s="276">
        <f>'数据-取费表'!B37</f>
        <v>0.02</v>
      </c>
      <c r="G20" s="277" t="s">
        <v>2357</v>
      </c>
    </row>
    <row r="21" spans="1:7" s="257" customFormat="1" ht="13.5" customHeight="1">
      <c r="A21" s="298" t="s">
        <v>2358</v>
      </c>
      <c r="B21" s="253" t="s">
        <v>2359</v>
      </c>
      <c r="C21" s="278">
        <f>F21</f>
        <v>0.02</v>
      </c>
      <c r="D21" s="279" t="s">
        <v>2360</v>
      </c>
      <c r="E21" s="275"/>
      <c r="F21" s="276">
        <f>'数据-取费表'!B38</f>
        <v>0.02</v>
      </c>
      <c r="G21" s="277" t="s">
        <v>2361</v>
      </c>
    </row>
    <row r="22" spans="1:7" s="257" customFormat="1" ht="13.5" customHeight="1">
      <c r="A22" s="298" t="s">
        <v>2362</v>
      </c>
      <c r="B22" s="253" t="s">
        <v>2363</v>
      </c>
      <c r="C22" s="1353">
        <f ca="1">ROUND(SUM(C23:C25),0)</f>
        <v>91</v>
      </c>
      <c r="D22" s="278">
        <f ca="1">C26</f>
        <v>4.0000000000000002E-4</v>
      </c>
      <c r="E22" s="279" t="s">
        <v>2360</v>
      </c>
      <c r="F22" s="280">
        <f ca="1">'数据-取费表'!B40</f>
        <v>4.3499999999999997E-2</v>
      </c>
      <c r="G22" s="277" t="str">
        <f>IF('数据-取费表'!B22&lt;=1,"单利计息","复利计息")</f>
        <v>单利计息</v>
      </c>
    </row>
    <row r="23" spans="1:7" s="257" customFormat="1" ht="13.5" customHeight="1">
      <c r="A23" s="950" t="s">
        <v>2364</v>
      </c>
      <c r="B23" s="258" t="s">
        <v>2365</v>
      </c>
      <c r="C23" s="1354">
        <f ca="1">ROUND(IF('数据-取费表'!B22&lt;=1,C5*F22*'数据-取费表'!B23,C5*(POWER((1+F22),'数据-取费表'!B23)-1)),0)</f>
        <v>90</v>
      </c>
      <c r="D23" s="281"/>
      <c r="E23" s="281"/>
      <c r="F23" s="282"/>
      <c r="G23" s="283" t="s">
        <v>2366</v>
      </c>
    </row>
    <row r="24" spans="1:7" s="257" customFormat="1" ht="13.5" customHeight="1">
      <c r="A24" s="950" t="s">
        <v>2367</v>
      </c>
      <c r="B24" s="258" t="s">
        <v>2368</v>
      </c>
      <c r="C24" s="1354">
        <f ca="1">ROUND(IF('数据-取费表'!B22&lt;=1,C19*F22*('数据-取费表'!B19/2+'数据-取费表'!B21),C19*(POWER((1+F22),('数据-取费表'!B19/2+'数据-取费表'!B21))-1)),0)</f>
        <v>0</v>
      </c>
      <c r="D24" s="281"/>
      <c r="E24" s="281"/>
      <c r="F24" s="282"/>
      <c r="G24" s="283" t="s">
        <v>2369</v>
      </c>
    </row>
    <row r="25" spans="1:7" s="257" customFormat="1" ht="24">
      <c r="A25" s="950" t="s">
        <v>2370</v>
      </c>
      <c r="B25" s="258" t="s">
        <v>2371</v>
      </c>
      <c r="C25" s="1354">
        <f ca="1">ROUND(IF('数据-取费表'!B22&lt;=1,C20*F22*'数据-取费表'!B23/2,C20*(POWER((1+F22),'数据-取费表'!B23/2)-1)),0)</f>
        <v>1</v>
      </c>
      <c r="D25" s="281"/>
      <c r="E25" s="284"/>
      <c r="F25" s="282"/>
      <c r="G25" s="285" t="s">
        <v>2372</v>
      </c>
    </row>
    <row r="26" spans="1:7" s="257" customFormat="1">
      <c r="A26" s="950" t="s">
        <v>795</v>
      </c>
      <c r="B26" s="258" t="s">
        <v>2373</v>
      </c>
      <c r="C26" s="281">
        <f ca="1">ROUND(IF('数据-取费表'!B22&lt;=1,F21*F22*'数据-取费表'!B23/2,F21*(POWER((1+F22),'数据-取费表'!B23/2)-1)),4)</f>
        <v>4.0000000000000002E-4</v>
      </c>
      <c r="D26" s="281"/>
      <c r="E26" s="284"/>
      <c r="F26" s="282"/>
      <c r="G26" s="286"/>
    </row>
    <row r="27" spans="1:7" s="257" customFormat="1" ht="24.75">
      <c r="A27" s="298" t="s">
        <v>2374</v>
      </c>
      <c r="B27" s="287" t="s">
        <v>2375</v>
      </c>
      <c r="C27" s="288">
        <f ca="1">C28</f>
        <v>105</v>
      </c>
      <c r="D27" s="278">
        <f ca="1">C29</f>
        <v>1E-3</v>
      </c>
      <c r="E27" s="279" t="s">
        <v>2376</v>
      </c>
      <c r="F27" s="289">
        <f ca="1">IF(B1="",'数据-取费表'!Q16,INDIRECT("'数据-取费表'!q"&amp;$G$1))</f>
        <v>0.05</v>
      </c>
      <c r="G27" s="290" t="s">
        <v>2377</v>
      </c>
    </row>
    <row r="28" spans="1:7" s="257" customFormat="1" ht="13.5" customHeight="1">
      <c r="A28" s="950" t="s">
        <v>791</v>
      </c>
      <c r="B28" s="291" t="s">
        <v>2378</v>
      </c>
      <c r="C28" s="292">
        <f ca="1">ROUND((C5+C19+C20)*F27*'数据-取费表'!B21/'数据-取费表'!B20,0)</f>
        <v>105</v>
      </c>
      <c r="D28" s="278"/>
      <c r="E28" s="279"/>
      <c r="F28" s="289"/>
      <c r="G28" s="290"/>
    </row>
    <row r="29" spans="1:7" s="257" customFormat="1" ht="13.5" customHeight="1">
      <c r="A29" s="950" t="s">
        <v>792</v>
      </c>
      <c r="B29" s="291" t="s">
        <v>2379</v>
      </c>
      <c r="C29" s="281">
        <f ca="1">ROUND(C21*F27*'数据-取费表'!B21/'数据-取费表'!B20,4)</f>
        <v>1E-3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2484</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3114</v>
      </c>
      <c r="D33" s="275"/>
      <c r="E33" s="255"/>
      <c r="F33" s="284"/>
      <c r="G33" s="277"/>
    </row>
    <row r="34" spans="1:7" s="301" customFormat="1" ht="13.5" customHeight="1">
      <c r="A34" s="950" t="s">
        <v>791</v>
      </c>
      <c r="B34" s="258" t="s">
        <v>2387</v>
      </c>
      <c r="C34" s="263">
        <f ca="1">IF(B1="",IF(F34=100%,'数据-取费表'!M16,'数据-取费表'!O16),IF(F34=100%,INDIRECT("'数据-取费表'!m"&amp;$G$1)+INDIRECT("'数据-取费表'!t"&amp;$G$1),INDIRECT("'数据-取费表'!o"&amp;$G$1)+INDIRECT("'数据-取费表'!aq"&amp;$G$1)))</f>
        <v>2801</v>
      </c>
      <c r="D34" s="260"/>
      <c r="E34" s="263"/>
      <c r="F34" s="300">
        <f ca="1">IF('数据-取费表'!B24=0,1,IF(B1="",'数据-取费表'!N16,INDIRECT("'数据-取费表'!n"&amp;$G$1)))</f>
        <v>1</v>
      </c>
      <c r="G34" s="262" t="s">
        <v>2388</v>
      </c>
    </row>
    <row r="35" spans="1:7" ht="13.5" customHeight="1">
      <c r="A35" s="950" t="s">
        <v>796</v>
      </c>
      <c r="B35" s="258" t="s">
        <v>2389</v>
      </c>
      <c r="C35" s="263">
        <f ca="1">ROUND(C34*F35,0)</f>
        <v>84</v>
      </c>
      <c r="D35" s="263"/>
      <c r="E35" s="263"/>
      <c r="F35" s="302">
        <f>'数据-取费表'!B33</f>
        <v>0.03</v>
      </c>
      <c r="G35" s="262" t="s">
        <v>2390</v>
      </c>
    </row>
    <row r="36" spans="1:7" ht="24">
      <c r="A36" s="950"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2392</v>
      </c>
    </row>
    <row r="37" spans="1:7" s="301" customFormat="1" ht="13.5" customHeight="1">
      <c r="A37" s="950" t="s">
        <v>798</v>
      </c>
      <c r="B37" s="258" t="s">
        <v>2393</v>
      </c>
      <c r="C37" s="292">
        <f ca="1">ROUND(E37*D37*F34/10000,0)</f>
        <v>187</v>
      </c>
      <c r="D37" s="260">
        <f ca="1">D19</f>
        <v>9339.3000000000011</v>
      </c>
      <c r="E37" s="292">
        <f>'数据-取费表'!B35</f>
        <v>200</v>
      </c>
      <c r="F37" s="302"/>
      <c r="G37" s="304" t="s">
        <v>2394</v>
      </c>
    </row>
    <row r="38" spans="1:7" ht="13.5" customHeight="1">
      <c r="A38" s="950" t="s">
        <v>799</v>
      </c>
      <c r="B38" s="258" t="s">
        <v>2395</v>
      </c>
      <c r="C38" s="263">
        <f ca="1">ROUND(C34*F38,0)</f>
        <v>42</v>
      </c>
      <c r="D38" s="263"/>
      <c r="E38" s="263"/>
      <c r="F38" s="302">
        <f>'数据-取费表'!B36</f>
        <v>1.4999999999999999E-2</v>
      </c>
      <c r="G38" s="262" t="s">
        <v>2390</v>
      </c>
    </row>
    <row r="39" spans="1:7" s="257" customFormat="1" ht="13.5" customHeight="1">
      <c r="A39" s="298" t="s">
        <v>2396</v>
      </c>
      <c r="B39" s="253" t="s">
        <v>2397</v>
      </c>
      <c r="C39" s="275">
        <f ca="1">ROUND(C33*F20,0)</f>
        <v>62</v>
      </c>
      <c r="D39" s="275"/>
      <c r="E39" s="275"/>
      <c r="F39" s="276"/>
      <c r="G39" s="277" t="s">
        <v>2398</v>
      </c>
    </row>
    <row r="40" spans="1:7" s="257" customFormat="1" ht="13.5" customHeight="1">
      <c r="A40" s="298" t="s">
        <v>2399</v>
      </c>
      <c r="B40" s="253" t="s">
        <v>2400</v>
      </c>
      <c r="C40" s="1727">
        <f>F21</f>
        <v>0.02</v>
      </c>
      <c r="D40" s="279" t="s">
        <v>2401</v>
      </c>
      <c r="E40" s="275"/>
      <c r="F40" s="276"/>
      <c r="G40" s="277" t="s">
        <v>2402</v>
      </c>
    </row>
    <row r="41" spans="1:7" s="257" customFormat="1" ht="13.5" customHeight="1">
      <c r="A41" s="298" t="s">
        <v>2403</v>
      </c>
      <c r="B41" s="253" t="s">
        <v>2404</v>
      </c>
      <c r="C41" s="275">
        <f ca="1">ROUND(SUM(C42:C43),0)</f>
        <v>69</v>
      </c>
      <c r="D41" s="278">
        <f ca="1">C44</f>
        <v>4.0000000000000002E-4</v>
      </c>
      <c r="E41" s="279" t="s">
        <v>2401</v>
      </c>
      <c r="F41" s="280"/>
      <c r="G41" s="277" t="str">
        <f>IF('数据-取费表'!B22&lt;=1,"单利计息","复利计息")</f>
        <v>单利计息</v>
      </c>
    </row>
    <row r="42" spans="1:7" ht="13.5" customHeight="1">
      <c r="A42" s="950" t="s">
        <v>791</v>
      </c>
      <c r="B42" s="258" t="s">
        <v>2405</v>
      </c>
      <c r="C42" s="281">
        <f ca="1">ROUND(IF('数据-取费表'!B22&lt;=1,C33*F22*'数据-取费表'!B21/2,C33*(POWER((1+F22),'数据-取费表'!B21/2)-1)),0)</f>
        <v>68</v>
      </c>
      <c r="D42" s="281"/>
      <c r="E42" s="281"/>
      <c r="F42" s="282"/>
      <c r="G42" s="3204" t="s">
        <v>2406</v>
      </c>
    </row>
    <row r="43" spans="1:7" ht="13.5" customHeight="1">
      <c r="A43" s="950" t="s">
        <v>792</v>
      </c>
      <c r="B43" s="258" t="s">
        <v>2407</v>
      </c>
      <c r="C43" s="281">
        <f ca="1">ROUND(IF('数据-取费表'!B22&lt;=1,C39*F22*'数据-取费表'!B21/2,C39*(POWER((1+F22),'数据-取费表'!B21/2)-1)),0)</f>
        <v>1</v>
      </c>
      <c r="D43" s="281"/>
      <c r="E43" s="281"/>
      <c r="F43" s="282"/>
      <c r="G43" s="3205"/>
    </row>
    <row r="44" spans="1:7" ht="13.5" customHeight="1">
      <c r="A44" s="950" t="s">
        <v>793</v>
      </c>
      <c r="B44" s="258" t="s">
        <v>2408</v>
      </c>
      <c r="C44" s="281">
        <f ca="1">ROUND(IF('数据-取费表'!B22&lt;=1,C40*F22*'数据-取费表'!B21/2,C40*(POWER((1+F22),'数据-取费表'!B21/2)-1)),4)</f>
        <v>4.0000000000000002E-4</v>
      </c>
      <c r="D44" s="281"/>
      <c r="E44" s="281"/>
      <c r="F44" s="282"/>
      <c r="G44" s="3206"/>
    </row>
    <row r="45" spans="1:7" s="257" customFormat="1" ht="13.5" customHeight="1">
      <c r="A45" s="298" t="s">
        <v>2409</v>
      </c>
      <c r="B45" s="287" t="s">
        <v>2375</v>
      </c>
      <c r="C45" s="288">
        <f ca="1">C46</f>
        <v>159</v>
      </c>
      <c r="D45" s="278">
        <f ca="1">C47</f>
        <v>1E-3</v>
      </c>
      <c r="E45" s="279" t="s">
        <v>2401</v>
      </c>
      <c r="F45" s="289"/>
      <c r="G45" s="290" t="s">
        <v>2410</v>
      </c>
    </row>
    <row r="46" spans="1:7" s="257" customFormat="1" ht="13.5" customHeight="1">
      <c r="A46" s="950" t="s">
        <v>791</v>
      </c>
      <c r="B46" s="291" t="s">
        <v>2411</v>
      </c>
      <c r="C46" s="292">
        <f ca="1">ROUND((C33+C39)*F27,0)</f>
        <v>159</v>
      </c>
      <c r="D46" s="306"/>
      <c r="E46" s="279"/>
      <c r="F46" s="289"/>
      <c r="G46" s="290"/>
    </row>
    <row r="47" spans="1:7" s="257" customFormat="1" ht="13.5" customHeight="1">
      <c r="A47" s="950" t="s">
        <v>792</v>
      </c>
      <c r="B47" s="291" t="s">
        <v>2412</v>
      </c>
      <c r="C47" s="281">
        <f ca="1">ROUND(C40*F27,4)</f>
        <v>1E-3</v>
      </c>
      <c r="D47" s="306"/>
      <c r="E47" s="279"/>
      <c r="F47" s="289"/>
      <c r="G47" s="290"/>
    </row>
    <row r="48" spans="1:7" s="257" customFormat="1" ht="13.5" customHeight="1">
      <c r="A48" s="298" t="s">
        <v>2374</v>
      </c>
      <c r="B48" s="253" t="s">
        <v>2413</v>
      </c>
      <c r="C48" s="1727">
        <f>ROUND(F30/(1+'数据-取费表'!C42),4)</f>
        <v>5.2400000000000002E-2</v>
      </c>
      <c r="D48" s="279" t="s">
        <v>2401</v>
      </c>
      <c r="E48" s="275"/>
      <c r="F48" s="280"/>
      <c r="G48" s="277" t="s">
        <v>2414</v>
      </c>
    </row>
    <row r="49" spans="1:7" ht="16.5" customHeight="1">
      <c r="A49" s="298" t="s">
        <v>2380</v>
      </c>
      <c r="B49" s="253" t="s">
        <v>2415</v>
      </c>
      <c r="C49" s="275">
        <f ca="1">ROUND((C33+C39+C41+C45)/(1-C40-D41-D45-C48),0)</f>
        <v>3675</v>
      </c>
      <c r="D49" s="275"/>
      <c r="E49" s="275"/>
      <c r="F49" s="307"/>
      <c r="G49" s="277" t="s">
        <v>2416</v>
      </c>
    </row>
    <row r="50" spans="1:7" s="301" customFormat="1" ht="24">
      <c r="A50" s="298" t="s">
        <v>2417</v>
      </c>
      <c r="B50" s="253" t="s">
        <v>2418</v>
      </c>
      <c r="C50" s="275"/>
      <c r="D50" s="275"/>
      <c r="E50" s="275"/>
      <c r="F50" s="307">
        <f>IF('数据-取费表'!B24=0,'数据-取费表'!N16,1)</f>
        <v>0.67900000000000005</v>
      </c>
      <c r="G50" s="290" t="s">
        <v>2419</v>
      </c>
    </row>
    <row r="51" spans="1:7" ht="16.5" customHeight="1">
      <c r="A51" s="298" t="s">
        <v>2420</v>
      </c>
      <c r="B51" s="253" t="s">
        <v>2421</v>
      </c>
      <c r="C51" s="275">
        <f ca="1">ROUND(C49*F50,0)</f>
        <v>2495</v>
      </c>
      <c r="D51" s="275"/>
      <c r="E51" s="275"/>
      <c r="F51" s="307"/>
      <c r="G51" s="277" t="s">
        <v>2422</v>
      </c>
    </row>
    <row r="52" spans="1:7" s="251" customFormat="1" ht="16.5" thickBot="1">
      <c r="A52" s="308" t="s">
        <v>2423</v>
      </c>
      <c r="B52" s="309"/>
      <c r="C52" s="310">
        <f ca="1">C31+C51</f>
        <v>4979</v>
      </c>
      <c r="D52" s="309"/>
      <c r="E52" s="309"/>
      <c r="F52" s="309"/>
      <c r="G52" s="311"/>
    </row>
    <row r="55" spans="1:7" ht="15">
      <c r="B55" s="313" t="s">
        <v>2424</v>
      </c>
      <c r="C55" s="314"/>
    </row>
    <row r="56" spans="1:7">
      <c r="B56" s="316" t="s">
        <v>1507</v>
      </c>
      <c r="C56" s="318">
        <f ca="1">1-C57</f>
        <v>0.499</v>
      </c>
    </row>
    <row r="57" spans="1:7">
      <c r="B57" s="316" t="s">
        <v>1508</v>
      </c>
      <c r="C57" s="317">
        <f ca="1">ROUND(C51/C52,3)</f>
        <v>0.501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3" zoomScale="80" zoomScaleNormal="80" zoomScaleSheetLayoutView="96" workbookViewId="0">
      <selection activeCell="G89" sqref="G8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1" customWidth="1"/>
    <col min="33" max="36" width="9.375" style="2787" customWidth="1"/>
    <col min="37" max="38" width="9.375" style="2719" customWidth="1"/>
    <col min="39" max="16384" width="12" style="2719"/>
  </cols>
  <sheetData>
    <row r="1" spans="1:36" ht="28.5">
      <c r="A1" s="239" t="s">
        <v>2801</v>
      </c>
      <c r="B1" s="240"/>
      <c r="C1" s="244" t="s">
        <v>2802</v>
      </c>
      <c r="D1" s="387">
        <f>SUM(D29:D30,D33:D39)</f>
        <v>9251.5400000000009</v>
      </c>
      <c r="E1" s="2716"/>
      <c r="F1" s="2716"/>
      <c r="G1" s="2716"/>
      <c r="H1" s="2716"/>
      <c r="I1" s="2716"/>
      <c r="J1" s="2716"/>
      <c r="K1" s="1369"/>
      <c r="L1" s="2717" t="s">
        <v>2803</v>
      </c>
      <c r="M1" s="1079">
        <f>SUMPRODUCT((区片价!B5:B9=I2)*(区片价!C3:F3=E2)*(区片价!C5:F9))</f>
        <v>0</v>
      </c>
      <c r="N1" s="1082">
        <f>SUMPRODUCT((因素修正幅度!B5:B9=I2)*(因素修正幅度!C3:F3=E2)*(因素修正幅度!C5:F9))</f>
        <v>0</v>
      </c>
      <c r="O1" s="2718"/>
      <c r="P1" s="2718"/>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4" t="s">
        <v>2809</v>
      </c>
      <c r="B2" s="247">
        <f ca="1">C26</f>
        <v>1831</v>
      </c>
      <c r="C2" s="2720" t="s">
        <v>2810</v>
      </c>
      <c r="D2" s="2721" t="s">
        <v>2811</v>
      </c>
      <c r="E2" s="2722" t="s">
        <v>6</v>
      </c>
      <c r="F2" s="2721" t="s">
        <v>2812</v>
      </c>
      <c r="G2" s="2723" t="str">
        <f>IF(E2="商业",项目基本情况!B37,IF(E2="办公",项目基本情况!C37,IF(E2="住宅",项目基本情况!D37,项目基本情况!E37)))</f>
        <v>六级</v>
      </c>
      <c r="H2" s="2721" t="s">
        <v>2813</v>
      </c>
      <c r="I2" s="2723" t="str">
        <f>IF(E2="商业",项目基本情况!B38,IF(E2="办公",项目基本情况!C38,IF(E2="住宅",项目基本情况!D38,项目基本情况!E38)))</f>
        <v>Ⅵ-生命科学园</v>
      </c>
      <c r="J2" s="2724"/>
      <c r="K2" s="1369"/>
      <c r="L2" s="2725"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3859</v>
      </c>
      <c r="U2" s="1602"/>
      <c r="V2" s="1601">
        <f ca="1">ROUND(T2*U2/10000,0)</f>
        <v>0</v>
      </c>
      <c r="W2" s="1605"/>
      <c r="X2" s="1605"/>
      <c r="Y2" s="1605"/>
      <c r="Z2" s="1605"/>
      <c r="AA2" s="1605"/>
      <c r="AB2" s="1605"/>
      <c r="AC2" s="1606"/>
      <c r="AD2" s="1607"/>
      <c r="AE2" s="1607"/>
      <c r="AF2" s="1607"/>
      <c r="AG2" s="1607"/>
      <c r="AH2" s="1607"/>
      <c r="AI2" s="1607"/>
      <c r="AJ2" s="1608"/>
    </row>
    <row r="3" spans="1:36" ht="15.75">
      <c r="A3" s="246" t="s">
        <v>2815</v>
      </c>
      <c r="B3" s="247">
        <f ca="1">ROUND(B2*10000/D1,0)</f>
        <v>1979</v>
      </c>
      <c r="C3" s="2720" t="s">
        <v>2816</v>
      </c>
      <c r="D3" s="2721" t="s">
        <v>2817</v>
      </c>
      <c r="E3" s="2726" t="s">
        <v>3067</v>
      </c>
      <c r="F3" s="2727" t="s">
        <v>2818</v>
      </c>
      <c r="G3" s="915">
        <f>IF(F3="宗地容积率",'数据-汇总表'!I4,IF(F3="估价对象容积率",'数据-汇总表'!I6,'数据-汇总表'!I7))</f>
        <v>1.32</v>
      </c>
      <c r="H3" s="197" t="s">
        <v>2819</v>
      </c>
      <c r="I3" s="943"/>
      <c r="J3" s="2724" t="s">
        <v>2820</v>
      </c>
      <c r="K3" s="1369"/>
      <c r="L3" s="2725"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2770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20"/>
      <c r="B4" s="3321"/>
      <c r="C4" s="3321"/>
      <c r="D4" s="3322"/>
      <c r="E4" s="3322"/>
      <c r="F4" s="3322"/>
      <c r="G4" s="3322"/>
      <c r="H4" s="3322"/>
      <c r="I4" s="3322"/>
      <c r="J4" s="3323"/>
      <c r="K4" s="1369"/>
      <c r="L4" s="2725"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2235</v>
      </c>
      <c r="U4" s="1602"/>
      <c r="V4" s="1601">
        <f t="shared" ca="1" si="1"/>
        <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2823</v>
      </c>
      <c r="C5" s="916">
        <f>ROUND(IF(E2="商业",C6*C7+C16,(IF(E2="住宅",C6*C12+C16,C6+C16))),0)</f>
        <v>1800</v>
      </c>
      <c r="D5" s="1786">
        <f>ROUND(C6+C16,0)</f>
        <v>1800</v>
      </c>
      <c r="E5" s="1786"/>
      <c r="F5" s="2730"/>
      <c r="G5" s="2731"/>
      <c r="H5" s="2731"/>
      <c r="I5" s="2731"/>
      <c r="J5" s="2732"/>
      <c r="K5" s="2733"/>
      <c r="L5" s="2725"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1793</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2825</v>
      </c>
      <c r="B6" s="2739" t="s">
        <v>2826</v>
      </c>
      <c r="C6" s="917">
        <f>SUMIF(L1:L12,G2,M1:M12)</f>
        <v>1800</v>
      </c>
      <c r="D6" s="2740" t="s">
        <v>2827</v>
      </c>
      <c r="E6" s="2741"/>
      <c r="F6" s="2741"/>
      <c r="G6" s="2742"/>
      <c r="H6" s="2742"/>
      <c r="I6" s="2742"/>
      <c r="J6" s="2743"/>
      <c r="K6" s="1841"/>
      <c r="L6" s="2725" t="s">
        <v>2828</v>
      </c>
      <c r="M6" s="1080">
        <f>SUMPRODUCT((区片价!B110:B157=I2)*(区片价!C3:F3=E2)*(区片价!C110:F157))</f>
        <v>1800</v>
      </c>
      <c r="N6" s="1082">
        <f>SUMPRODUCT((因素修正幅度!B110:B157=I2)*(因素修正幅度!C3:F3=E2)*(因素修正幅度!C110:F157))</f>
        <v>0.05</v>
      </c>
      <c r="O6" s="1369"/>
      <c r="P6" s="1369"/>
      <c r="Q6" s="1369"/>
      <c r="R6" s="1601">
        <v>5</v>
      </c>
      <c r="S6" s="1601">
        <f>ROUND(IF(G3&gt;1,IF(R6&lt;7,SUMPRODUCT((B93:B98=R6)*(C92:N92=G2)*(C93:N98)),SUMIF(C92:N92,G2,C100:N100)),IF(R6&lt;7,SUMPRODUCT((B102:B107=R6)*(C92:N92=G2)*(C102:N107)),SUMIF(C92:N92,G2,C109:N109))),4)</f>
        <v>0.73709999999999998</v>
      </c>
      <c r="T6" s="1601">
        <f t="shared" ca="1" si="0"/>
        <v>1527</v>
      </c>
      <c r="U6" s="1602"/>
      <c r="V6" s="1601">
        <f t="shared" ca="1" si="1"/>
        <v>0</v>
      </c>
      <c r="W6" s="1605"/>
      <c r="X6" s="1605"/>
      <c r="Y6" s="1605"/>
      <c r="Z6" s="1605"/>
      <c r="AA6" s="1605"/>
      <c r="AB6" s="1605"/>
      <c r="AC6" s="2734"/>
      <c r="AD6" s="2735"/>
      <c r="AE6" s="2735"/>
      <c r="AF6" s="2735"/>
      <c r="AG6" s="2735"/>
      <c r="AH6" s="2735"/>
      <c r="AI6" s="2735"/>
      <c r="AJ6" s="2736"/>
    </row>
    <row r="7" spans="1:36" ht="24">
      <c r="A7" s="3304" t="str">
        <f>IF(E2="商业",IF(C8="不临58条商业街","",2),"")</f>
        <v/>
      </c>
      <c r="B7" s="2744" t="s">
        <v>2829</v>
      </c>
      <c r="C7" s="918" t="e">
        <f>IF(C8="不临58条商业街",1,ROUND(1+(1.6*E8+1.2*E9+0.8*E10+0.4*E11)*C9,4))</f>
        <v>#DIV/0!</v>
      </c>
      <c r="D7" s="2745" t="s">
        <v>2830</v>
      </c>
      <c r="E7" s="944"/>
      <c r="F7" s="2746"/>
      <c r="G7" s="2747"/>
      <c r="H7" s="2747"/>
      <c r="I7" s="2747"/>
      <c r="J7" s="2748"/>
      <c r="K7" s="1841"/>
      <c r="L7" s="2725"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1343</v>
      </c>
      <c r="U7" s="1602"/>
      <c r="V7" s="1601">
        <f t="shared" ca="1" si="1"/>
        <v>0</v>
      </c>
      <c r="W7" s="1815" t="s">
        <v>2832</v>
      </c>
      <c r="X7" s="1603" t="str">
        <f>G2</f>
        <v>六级</v>
      </c>
      <c r="Y7" s="1603" t="s">
        <v>2833</v>
      </c>
      <c r="Z7" s="1604">
        <f>G3</f>
        <v>1.32</v>
      </c>
      <c r="AA7" s="1605"/>
      <c r="AB7" s="1605"/>
      <c r="AC7" s="1606"/>
      <c r="AD7" s="1607"/>
      <c r="AE7" s="1607"/>
      <c r="AF7" s="1607"/>
      <c r="AG7" s="1607"/>
      <c r="AH7" s="1607"/>
      <c r="AI7" s="1607"/>
      <c r="AJ7" s="1608"/>
    </row>
    <row r="8" spans="1:36" ht="15">
      <c r="A8" s="3324"/>
      <c r="B8" s="197" t="s">
        <v>2834</v>
      </c>
      <c r="C8" s="2749"/>
      <c r="D8" s="919" t="s">
        <v>139</v>
      </c>
      <c r="E8" s="920" t="e">
        <f>ROUND(C11/E7,4)</f>
        <v>#DIV/0!</v>
      </c>
      <c r="F8" s="2750" t="s">
        <v>2835</v>
      </c>
      <c r="G8" s="2751"/>
      <c r="H8" s="2751"/>
      <c r="I8" s="2751"/>
      <c r="J8" s="2752"/>
      <c r="K8" s="1369"/>
      <c r="L8" s="2725"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17" t="s">
        <v>2837</v>
      </c>
      <c r="X8" s="3318"/>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324"/>
      <c r="B9" s="197" t="s">
        <v>2850</v>
      </c>
      <c r="C9" s="921">
        <f>SUMIF(修正!C59:C119,C8,修正!E59:E119)</f>
        <v>0</v>
      </c>
      <c r="D9" s="199" t="s">
        <v>140</v>
      </c>
      <c r="E9" s="199" t="e">
        <f>ROUND(C11/E7,4)</f>
        <v>#DIV/0!</v>
      </c>
      <c r="F9" s="2750" t="s">
        <v>2851</v>
      </c>
      <c r="G9" s="2751"/>
      <c r="H9" s="2751"/>
      <c r="I9" s="2751"/>
      <c r="J9" s="2752"/>
      <c r="K9" s="1369"/>
      <c r="L9" s="2725"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19"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4"/>
      <c r="B10" s="197" t="s">
        <v>2855</v>
      </c>
      <c r="C10" s="199">
        <f>SUMIF(修正!C59:C119,C8,修正!F59:F119)</f>
        <v>0</v>
      </c>
      <c r="D10" s="199" t="s">
        <v>141</v>
      </c>
      <c r="E10" s="199" t="e">
        <f>ROUND(C11/E7,4)</f>
        <v>#DIV/0!</v>
      </c>
      <c r="F10" s="2750" t="s">
        <v>2856</v>
      </c>
      <c r="G10" s="2751"/>
      <c r="H10" s="2751"/>
      <c r="I10" s="2751"/>
      <c r="J10" s="2752"/>
      <c r="K10" s="1369"/>
      <c r="L10" s="2725"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1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4"/>
      <c r="B11" s="2753" t="s">
        <v>2858</v>
      </c>
      <c r="C11" s="922">
        <f>C10/4</f>
        <v>0</v>
      </c>
      <c r="D11" s="922" t="s">
        <v>142</v>
      </c>
      <c r="E11" s="922" t="e">
        <f>ROUND(C11/E7,4)</f>
        <v>#DIV/0!</v>
      </c>
      <c r="F11" s="2754" t="s">
        <v>2859</v>
      </c>
      <c r="G11" s="2755"/>
      <c r="H11" s="2755"/>
      <c r="I11" s="2755"/>
      <c r="J11" s="2756"/>
      <c r="K11" s="1369"/>
      <c r="L11" s="2725"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19" t="s">
        <v>2861</v>
      </c>
      <c r="X11" s="1613" t="s">
        <v>2862</v>
      </c>
      <c r="Y11" s="1614">
        <f>$G$3</f>
        <v>1.32</v>
      </c>
      <c r="Z11" s="1614">
        <f t="shared" ref="Z11:AJ11" si="3">$G$3</f>
        <v>1.32</v>
      </c>
      <c r="AA11" s="1614">
        <f t="shared" si="3"/>
        <v>1.32</v>
      </c>
      <c r="AB11" s="1614">
        <f t="shared" si="3"/>
        <v>1.32</v>
      </c>
      <c r="AC11" s="1614">
        <f t="shared" si="3"/>
        <v>1.32</v>
      </c>
      <c r="AD11" s="1614">
        <f t="shared" si="3"/>
        <v>1.32</v>
      </c>
      <c r="AE11" s="1614">
        <f t="shared" si="3"/>
        <v>1.32</v>
      </c>
      <c r="AF11" s="1614">
        <f t="shared" si="3"/>
        <v>1.32</v>
      </c>
      <c r="AG11" s="1614">
        <f t="shared" si="3"/>
        <v>1.32</v>
      </c>
      <c r="AH11" s="1614">
        <f t="shared" si="3"/>
        <v>1.32</v>
      </c>
      <c r="AI11" s="1614">
        <f t="shared" si="3"/>
        <v>1.32</v>
      </c>
      <c r="AJ11" s="1614">
        <f t="shared" si="3"/>
        <v>1.32</v>
      </c>
    </row>
    <row r="12" spans="1:36" ht="25.5" thickBot="1">
      <c r="A12" s="3304" t="s">
        <v>2863</v>
      </c>
      <c r="B12" s="2757" t="s">
        <v>2864</v>
      </c>
      <c r="C12" s="918">
        <f>ROUND(C15*D15*E15*F15*G15*H15*I15*J15,4)</f>
        <v>1</v>
      </c>
      <c r="D12" s="2758" t="s">
        <v>2865</v>
      </c>
      <c r="E12" s="2759"/>
      <c r="F12" s="2759"/>
      <c r="G12" s="2760"/>
      <c r="H12" s="2760"/>
      <c r="I12" s="2760"/>
      <c r="J12" s="2761"/>
      <c r="K12" s="1369"/>
      <c r="L12" s="2762"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19"/>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5"/>
      <c r="B13" s="2763" t="s">
        <v>2868</v>
      </c>
      <c r="C13" s="2764" t="s">
        <v>2869</v>
      </c>
      <c r="D13" s="1807" t="s">
        <v>2870</v>
      </c>
      <c r="E13" s="1807" t="s">
        <v>2871</v>
      </c>
      <c r="F13" s="30" t="s">
        <v>2872</v>
      </c>
      <c r="G13" s="2765" t="s">
        <v>2873</v>
      </c>
      <c r="H13" s="2765" t="s">
        <v>2873</v>
      </c>
      <c r="I13" s="2765" t="s">
        <v>2873</v>
      </c>
      <c r="J13" s="2766" t="s">
        <v>2873</v>
      </c>
      <c r="K13" s="1369"/>
      <c r="L13" s="1369"/>
      <c r="M13" s="1369"/>
      <c r="N13" s="1369"/>
      <c r="O13" s="1369"/>
      <c r="P13" s="1369"/>
      <c r="Q13" s="1369"/>
      <c r="R13" s="1601">
        <v>12</v>
      </c>
      <c r="S13" s="1602"/>
      <c r="T13" s="1601">
        <f t="shared" ca="1" si="0"/>
        <v>0</v>
      </c>
      <c r="U13" s="1602"/>
      <c r="V13" s="1601">
        <f t="shared" ca="1" si="1"/>
        <v>0</v>
      </c>
      <c r="W13" s="3319"/>
      <c r="X13" s="1615"/>
      <c r="Y13" s="1612">
        <f>(-0.163*(Y12^2)-0.59*Y12+7617)*(10^(-4))/Y11</f>
        <v>0.57704545454545453</v>
      </c>
      <c r="Z13" s="1612">
        <f t="shared" ref="Z13:AJ13" si="5">(-0.163*(Z12^2)-0.59*Z12+7617)*(10^(-4))/Z11</f>
        <v>0.57704545454545453</v>
      </c>
      <c r="AA13" s="1612">
        <f t="shared" si="5"/>
        <v>0.57704545454545453</v>
      </c>
      <c r="AB13" s="1612">
        <f t="shared" si="5"/>
        <v>0.57704545454545453</v>
      </c>
      <c r="AC13" s="1612">
        <f t="shared" si="5"/>
        <v>0.57704545454545453</v>
      </c>
      <c r="AD13" s="1612">
        <f t="shared" si="5"/>
        <v>0.57704545454545453</v>
      </c>
      <c r="AE13" s="1612">
        <f t="shared" si="5"/>
        <v>0.57704545454545453</v>
      </c>
      <c r="AF13" s="1612">
        <f t="shared" si="5"/>
        <v>0.57704545454545453</v>
      </c>
      <c r="AG13" s="1612">
        <f t="shared" si="5"/>
        <v>0.57704545454545453</v>
      </c>
      <c r="AH13" s="1612">
        <f t="shared" si="5"/>
        <v>0.57704545454545453</v>
      </c>
      <c r="AI13" s="1612">
        <f t="shared" si="5"/>
        <v>0.57704545454545453</v>
      </c>
      <c r="AJ13" s="1612">
        <f t="shared" si="5"/>
        <v>0.57704545454545453</v>
      </c>
    </row>
    <row r="14" spans="1:36" ht="15">
      <c r="A14" s="3325"/>
      <c r="B14" s="2767"/>
      <c r="C14" s="2768"/>
      <c r="D14" s="2769"/>
      <c r="E14" s="2769"/>
      <c r="F14" s="2770"/>
      <c r="G14" s="2771" t="s">
        <v>2874</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26"/>
      <c r="B15" s="2775" t="s">
        <v>2875</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304" t="s">
        <v>2880</v>
      </c>
      <c r="B16" s="2744" t="s">
        <v>2881</v>
      </c>
      <c r="C16" s="2931">
        <f>ROUND(IF(F17="与级别开发程度一致",0,(G17-E17)/C17),0)</f>
        <v>0</v>
      </c>
      <c r="D16" s="3315" t="s">
        <v>2885</v>
      </c>
      <c r="E16" s="3316"/>
      <c r="F16" s="3315" t="s">
        <v>2882</v>
      </c>
      <c r="G16" s="3316"/>
      <c r="H16" s="2778" t="s">
        <v>3172</v>
      </c>
      <c r="I16" s="2778" t="s">
        <v>3173</v>
      </c>
      <c r="J16" s="2935" t="s">
        <v>3174</v>
      </c>
      <c r="K16" s="2778" t="s">
        <v>3175</v>
      </c>
      <c r="L16" s="2778" t="s">
        <v>3176</v>
      </c>
      <c r="M16" s="2778" t="s">
        <v>3177</v>
      </c>
      <c r="N16" s="2778" t="s">
        <v>3178</v>
      </c>
      <c r="O16" s="2779" t="s">
        <v>3179</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305"/>
      <c r="B17" s="2942" t="s">
        <v>2884</v>
      </c>
      <c r="C17" s="2943">
        <f>SUMPRODUCT((修正!A2:A5=E2)*(修正!B1:M1=G2)*(修正!B2:M5))</f>
        <v>1.2</v>
      </c>
      <c r="D17" s="228" t="str">
        <f>IF(OR(G2="八级",G2="九级",G2="十级",G2="十一级",G2="十二级"),"五通一平","七通一平")</f>
        <v>七通一平</v>
      </c>
      <c r="E17" s="2932">
        <f>SUMPRODUCT((修正!B1:M1=G2)*(修正!B15:M15))</f>
        <v>300</v>
      </c>
      <c r="F17" s="2933" t="s">
        <v>3068</v>
      </c>
      <c r="G17" s="2934">
        <f>SUM(H17:O17)</f>
        <v>300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50</v>
      </c>
      <c r="N17" s="2943">
        <f>SUMPRODUCT((七通一平=N16)*(修正!B1:M1=G2)*(修正!B6:M14))</f>
        <v>40</v>
      </c>
      <c r="O17" s="2945">
        <f>SUMPRODUCT((七通一平=O16)*(修正!B1:M1=G2)*(修正!B6:M14))</f>
        <v>15</v>
      </c>
      <c r="Q17" s="1369"/>
      <c r="R17" s="1369"/>
      <c r="S17" s="1369"/>
      <c r="T17" s="1369"/>
      <c r="U17" s="1369"/>
      <c r="V17" s="1369"/>
      <c r="W17" s="1369"/>
      <c r="X17" s="1369"/>
      <c r="Y17" s="1369"/>
      <c r="Z17" s="1370"/>
      <c r="AE17" s="2782"/>
      <c r="AF17" s="2782"/>
      <c r="AG17" s="2719"/>
      <c r="AH17" s="2719"/>
      <c r="AI17" s="2719"/>
      <c r="AJ17" s="2719"/>
    </row>
    <row r="18" spans="1:37" s="2737" customFormat="1" ht="15.75" thickBot="1">
      <c r="A18" s="2936" t="s">
        <v>808</v>
      </c>
      <c r="B18" s="2937" t="s">
        <v>2887</v>
      </c>
      <c r="C18" s="2938">
        <f>SUMIF(修正!C18:C39,E3,修正!E18:E39)</f>
        <v>1</v>
      </c>
      <c r="D18" s="2939"/>
      <c r="E18" s="2940"/>
      <c r="F18" s="2940"/>
      <c r="G18" s="2940"/>
      <c r="H18" s="2940"/>
      <c r="I18" s="2940"/>
      <c r="J18" s="2941"/>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25" thickBot="1">
      <c r="A19" s="2783" t="s">
        <v>809</v>
      </c>
      <c r="B19" s="2784" t="s">
        <v>2888</v>
      </c>
      <c r="C19" s="923">
        <f>ROUND(IF(H19="按公示增长率计算",SUMPRODUCT((地价!A3:A30=YEAR(G19)&amp;"-"&amp;ROUNDUP(MONTH(G19)/3,0))*(地价!X2:AB2=E2)*(地价!X3:AB30)),IF(H19="地价指数",M20/M19,(1+I19)^O19)),4)</f>
        <v>1.3777999999999999</v>
      </c>
      <c r="D19" s="2788" t="s">
        <v>2889</v>
      </c>
      <c r="E19" s="924">
        <v>41640</v>
      </c>
      <c r="F19" s="2788" t="s">
        <v>2890</v>
      </c>
      <c r="G19" s="925">
        <f>'数据-取费表'!B2</f>
        <v>43934</v>
      </c>
      <c r="H19" s="2789" t="s">
        <v>3069</v>
      </c>
      <c r="I19" s="926" t="str">
        <f>IF(H19="季度增幅（自定义）",SUMIF(N21:N24,E2,O21:O24),"")</f>
        <v/>
      </c>
      <c r="J19" s="2786"/>
      <c r="K19" s="1376"/>
      <c r="L19" s="2790" t="s">
        <v>2891</v>
      </c>
      <c r="M19" s="1733">
        <f>ROUND(SUMIF(地价!B2:F2,E2,地价!B30:F30),0)</f>
        <v>230</v>
      </c>
      <c r="N19" s="2791" t="s">
        <v>2892</v>
      </c>
      <c r="O19" s="927">
        <f>ROUNDDOWN(DATEDIF(E19,G19,"M")/3,0)</f>
        <v>25</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7.75" thickBot="1">
      <c r="A20" s="2795" t="s">
        <v>810</v>
      </c>
      <c r="B20" s="2796" t="s">
        <v>2893</v>
      </c>
      <c r="C20" s="928">
        <f ca="1">ROUND(POWER(1+G20,J20-I20)*(POWER(1+G20,I20)-1)/(POWER(1+G20,J20)-1),4)</f>
        <v>0.82099999999999995</v>
      </c>
      <c r="D20" s="2797" t="s">
        <v>2894</v>
      </c>
      <c r="E20" s="1767">
        <f ca="1">存贷款利率!D4/100</f>
        <v>4.3499999999999997E-2</v>
      </c>
      <c r="F20" s="2797" t="s">
        <v>2886</v>
      </c>
      <c r="G20" s="933">
        <f ca="1">SUMIF(M26:P26,E2,M28:P28)</f>
        <v>4.8000000000000001E-2</v>
      </c>
      <c r="H20" s="2797" t="s">
        <v>2895</v>
      </c>
      <c r="I20" s="934">
        <f>SUMIF('数据-取费表'!C6:C15,E2,'数据-取费表'!F6:F15)/COUNTIF('数据-取费表'!C6:C15,E2)</f>
        <v>28.92</v>
      </c>
      <c r="J20" s="935">
        <f>IF(E2="住宅",70,IF(E2="商业",40,50))</f>
        <v>50</v>
      </c>
      <c r="K20" s="1376"/>
      <c r="L20" s="2798" t="s">
        <v>2896</v>
      </c>
      <c r="M20" s="1734">
        <f>ROUND(SUMPRODUCT((地价!A4:A30=YEAR(G19)&amp;"-"&amp;ROUNDUP(MONTH(G19)/3,0))*(地价!B2:F2=E2)*(地价!B4:F30)),0)</f>
        <v>317</v>
      </c>
      <c r="N20" s="2799" t="s">
        <v>2897</v>
      </c>
      <c r="O20" s="2800" t="s">
        <v>2898</v>
      </c>
      <c r="P20" s="2801" t="s">
        <v>2899</v>
      </c>
      <c r="R20" s="1375"/>
      <c r="S20" s="1375"/>
      <c r="T20" s="1370"/>
      <c r="U20" s="1370"/>
      <c r="V20" s="1370"/>
      <c r="W20" s="1369"/>
      <c r="X20" s="1369"/>
      <c r="Y20" s="1369"/>
      <c r="Z20" s="1376"/>
      <c r="AA20" s="1377"/>
      <c r="AB20" s="1377"/>
      <c r="AC20" s="1377"/>
      <c r="AD20" s="1377"/>
      <c r="AE20" s="1377"/>
      <c r="AF20" s="1377"/>
    </row>
    <row r="21" spans="1:37" s="2737" customFormat="1" ht="15">
      <c r="A21" s="2802" t="s">
        <v>811</v>
      </c>
      <c r="B21" s="2803" t="s">
        <v>3070</v>
      </c>
      <c r="C21" s="936">
        <f>IF(B21="容积率修正",IF(G3&lt;=10,D22,J22),C23)</f>
        <v>0.95530000000000004</v>
      </c>
      <c r="D21" s="2804"/>
      <c r="E21" s="2804"/>
      <c r="F21" s="2804"/>
      <c r="G21" s="2804"/>
      <c r="H21" s="2804"/>
      <c r="I21" s="2804"/>
      <c r="J21" s="2805"/>
      <c r="K21" s="1376"/>
      <c r="N21" s="2806" t="s">
        <v>2900</v>
      </c>
      <c r="O21" s="1560"/>
      <c r="P21" s="1561">
        <f>SUMPRODUCT((地价!A3:A30=YEAR(G19)&amp;"-"&amp;ROUNDUP(MONTH(G19)/3,0))*(地价!AD2:AH2=N21)*(地价!AD3:AH30))</f>
        <v>1.29E-2</v>
      </c>
      <c r="R21" s="1375"/>
      <c r="S21" s="1375"/>
      <c r="T21" s="1370"/>
      <c r="U21" s="1370"/>
      <c r="V21" s="1370"/>
      <c r="W21" s="1369"/>
      <c r="X21" s="1369"/>
      <c r="Y21" s="1369"/>
      <c r="Z21" s="1376"/>
      <c r="AA21" s="1377"/>
      <c r="AB21" s="1377"/>
      <c r="AC21" s="1377"/>
      <c r="AD21" s="1377"/>
      <c r="AE21" s="1377"/>
      <c r="AF21" s="1377"/>
    </row>
    <row r="22" spans="1:37" s="2737" customFormat="1" ht="14.25">
      <c r="A22" s="2663" t="s">
        <v>2901</v>
      </c>
      <c r="B22" s="2807" t="s">
        <v>2902</v>
      </c>
      <c r="C22" s="1809" t="s">
        <v>2903</v>
      </c>
      <c r="D22" s="1809">
        <f>IF(E22=G22,F22,IF(G3&lt;=10,ROUND(F22+(H22-F22)*(G3-E22)/(G22-E22),4),"——"))</f>
        <v>0.95530000000000004</v>
      </c>
      <c r="E22" s="915">
        <f>ROUNDDOWN(G3,1)</f>
        <v>1.3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0.96140000000000003</v>
      </c>
      <c r="G22" s="915">
        <f>ROUNDUP(G3,1)</f>
        <v>1.4000000000000001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09" t="s">
        <v>155</v>
      </c>
      <c r="J22" s="937" t="str">
        <f>IF(G3&gt;10,D113,"——")</f>
        <v>——</v>
      </c>
      <c r="K22" s="1376"/>
      <c r="N22" s="2806" t="s">
        <v>2904</v>
      </c>
      <c r="O22" s="1560"/>
      <c r="P22" s="1561">
        <f>SUMPRODUCT((地价!A3:A30=YEAR(G19)&amp;"-"&amp;ROUNDUP(MONTH(G19)/3,0))*(地价!AD2:AH2=N22)*(地价!AD3:AH30))</f>
        <v>1.29E-2</v>
      </c>
      <c r="R22" s="1375"/>
      <c r="S22" s="1375"/>
      <c r="T22" s="1370"/>
      <c r="U22" s="1370"/>
      <c r="V22" s="1370"/>
      <c r="W22" s="1369"/>
      <c r="X22" s="1369"/>
      <c r="Y22" s="1369"/>
      <c r="Z22" s="1376"/>
      <c r="AA22" s="1377"/>
      <c r="AB22" s="1377"/>
      <c r="AC22" s="1377"/>
      <c r="AD22" s="1377"/>
      <c r="AE22" s="1377"/>
      <c r="AF22" s="1377"/>
    </row>
    <row r="23" spans="1:37" ht="27.75" thickBot="1">
      <c r="A23" s="2663" t="s">
        <v>2905</v>
      </c>
      <c r="B23" s="2808" t="s">
        <v>2906</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2907</v>
      </c>
      <c r="O23" s="1560"/>
      <c r="P23" s="1561">
        <f>SUMPRODUCT((地价!A3:A30=YEAR(G19)&amp;"-"&amp;ROUNDUP(MONTH(G19)/3,0))*(地价!AD2:AH2=N23)*(地价!AD3:AH30))</f>
        <v>2.0199999999999999E-2</v>
      </c>
      <c r="R23" s="1375"/>
      <c r="S23" s="1375"/>
      <c r="T23" s="1370"/>
      <c r="U23" s="1370"/>
      <c r="V23" s="1370"/>
      <c r="W23" s="1369"/>
      <c r="X23" s="1369"/>
      <c r="Y23" s="1369"/>
      <c r="Z23" s="1376"/>
      <c r="AA23" s="1377"/>
      <c r="AB23" s="1377"/>
      <c r="AC23" s="1377"/>
      <c r="AD23" s="1377"/>
      <c r="AK23" s="2787"/>
    </row>
    <row r="24" spans="1:37" s="2737" customFormat="1" ht="15.75" thickBot="1">
      <c r="A24" s="2795" t="s">
        <v>812</v>
      </c>
      <c r="B24" s="2784" t="s">
        <v>2908</v>
      </c>
      <c r="C24" s="923">
        <f>SUMIF(A45:A88,E2,B45:B88)</f>
        <v>1.0175000000000001</v>
      </c>
      <c r="D24" s="2785"/>
      <c r="E24" s="2814"/>
      <c r="F24" s="2814"/>
      <c r="G24" s="2814"/>
      <c r="H24" s="2814"/>
      <c r="I24" s="2814"/>
      <c r="J24" s="2815"/>
      <c r="K24" s="1376"/>
      <c r="N24" s="2816" t="s">
        <v>2909</v>
      </c>
      <c r="O24" s="1562"/>
      <c r="P24" s="1563">
        <f>SUMPRODUCT((地价!A3:A30=YEAR(G19)&amp;"-"&amp;ROUNDUP(MONTH(G19)/3,0))*(地价!AD2:AH2=N24)*(地价!AD3:AH30))</f>
        <v>1.29E-2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2910</v>
      </c>
      <c r="C25" s="929"/>
      <c r="D25" s="2747"/>
      <c r="E25" s="2747"/>
      <c r="F25" s="2818"/>
      <c r="G25" s="2747"/>
      <c r="H25" s="2747"/>
      <c r="I25" s="2747"/>
      <c r="J25" s="2748"/>
      <c r="K25" s="1369"/>
      <c r="N25" s="2819" t="s">
        <v>2911</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20"/>
      <c r="B26" s="2807" t="s">
        <v>2912</v>
      </c>
      <c r="C26" s="205">
        <f ca="1">E29+SUM(E33:E39)</f>
        <v>1831</v>
      </c>
      <c r="D26" s="2821"/>
      <c r="E26" s="2772"/>
      <c r="F26" s="2822"/>
      <c r="G26" s="2772"/>
      <c r="H26" s="2772"/>
      <c r="I26" s="2772"/>
      <c r="J26" s="2823"/>
      <c r="K26" s="1369"/>
      <c r="L26" s="2776" t="s">
        <v>2811</v>
      </c>
      <c r="M26" s="919" t="s">
        <v>2876</v>
      </c>
      <c r="N26" s="919" t="s">
        <v>2877</v>
      </c>
      <c r="O26" s="919" t="s">
        <v>2878</v>
      </c>
      <c r="P26" s="2777" t="s">
        <v>2879</v>
      </c>
      <c r="R26" s="1375"/>
      <c r="S26" s="1375"/>
      <c r="T26" s="1370"/>
      <c r="U26" s="1370"/>
      <c r="V26" s="1370"/>
      <c r="W26" s="1369"/>
      <c r="X26" s="1369"/>
      <c r="Y26" s="1369"/>
      <c r="Z26" s="1376"/>
      <c r="AA26" s="1377"/>
      <c r="AB26" s="1377"/>
      <c r="AC26" s="1377"/>
      <c r="AD26" s="1377"/>
    </row>
    <row r="27" spans="1:37" ht="15.75" thickBot="1">
      <c r="A27" s="2820"/>
      <c r="B27" s="2824" t="s">
        <v>2913</v>
      </c>
      <c r="C27" s="930">
        <f ca="1">E30+SUM(I33:I39)</f>
        <v>0</v>
      </c>
      <c r="D27" s="2825"/>
      <c r="E27" s="2826"/>
      <c r="F27" s="2827"/>
      <c r="G27" s="2826"/>
      <c r="H27" s="2826"/>
      <c r="I27" s="2826"/>
      <c r="J27" s="2828"/>
      <c r="K27" s="1369"/>
      <c r="L27" s="2780"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9"/>
      <c r="B28" s="2830" t="s">
        <v>2914</v>
      </c>
      <c r="C28" s="2831" t="s">
        <v>2915</v>
      </c>
      <c r="D28" s="2831" t="s">
        <v>2916</v>
      </c>
      <c r="E28" s="2832" t="s">
        <v>2917</v>
      </c>
      <c r="F28" s="2833"/>
      <c r="G28" s="2760"/>
      <c r="H28" s="2760"/>
      <c r="I28" s="2760"/>
      <c r="J28" s="2761"/>
      <c r="K28" s="1369"/>
      <c r="L28" s="2781" t="s">
        <v>2886</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2918</v>
      </c>
      <c r="C29" s="205">
        <f ca="1">ROUND(C5*C18*C19*C20*C21*C24,0)</f>
        <v>1979</v>
      </c>
      <c r="D29" s="2836">
        <f>'数据-汇总表'!E8</f>
        <v>9251.5400000000009</v>
      </c>
      <c r="E29" s="941">
        <f ca="1">ROUND(C29*D29/10000,0)</f>
        <v>1831</v>
      </c>
      <c r="F29" s="2837" t="s">
        <v>2919</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5" thickBot="1">
      <c r="A30" s="2840"/>
      <c r="B30" s="2841" t="s">
        <v>2920</v>
      </c>
      <c r="C30" s="228">
        <f ca="1">ROUND(IF(E2="工业",C29*M39,C29*M38),0)</f>
        <v>297</v>
      </c>
      <c r="D30" s="2842"/>
      <c r="E30" s="941">
        <f ca="1">ROUND(C30*D30/10000,0)</f>
        <v>0</v>
      </c>
      <c r="F30" s="2843" t="s">
        <v>2921</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24">
      <c r="A32" s="2834"/>
      <c r="B32" s="2850"/>
      <c r="C32" s="500" t="s">
        <v>2915</v>
      </c>
      <c r="D32" s="497" t="s">
        <v>2916</v>
      </c>
      <c r="E32" s="497" t="s">
        <v>2917</v>
      </c>
      <c r="F32" s="387" t="s">
        <v>2925</v>
      </c>
      <c r="G32" s="2851" t="s">
        <v>2915</v>
      </c>
      <c r="H32" s="2851" t="s">
        <v>2916</v>
      </c>
      <c r="I32" s="2851" t="s">
        <v>2917</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312" t="s">
        <v>2926</v>
      </c>
      <c r="B33" s="2852" t="s">
        <v>2927</v>
      </c>
      <c r="C33" s="205">
        <f ca="1">ROUND(D5*C19*C20*C24*F33,0)</f>
        <v>1450</v>
      </c>
      <c r="D33" s="2836"/>
      <c r="E33" s="199">
        <f ca="1">ROUND(C33*D33/10000,0)</f>
        <v>0</v>
      </c>
      <c r="F33" s="199">
        <f>SUMIF(修正!A45:A56,G2,修正!B45:B56)</f>
        <v>0.7</v>
      </c>
      <c r="G33" s="199">
        <f t="shared" ref="G33" ca="1" si="6">ROUND(IF(E2="工业",C33*$M$39,C33*$M$38),0)</f>
        <v>218</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3"/>
      <c r="B34" s="2764" t="s">
        <v>2928</v>
      </c>
      <c r="C34" s="205">
        <f ca="1">ROUND(D5*C19*C20*C24*F34,0)</f>
        <v>829</v>
      </c>
      <c r="D34" s="2836"/>
      <c r="E34" s="199">
        <f t="shared" ref="E34:E39" ca="1" si="7">ROUND(C34*D34/10000,0)</f>
        <v>0</v>
      </c>
      <c r="F34" s="199">
        <f>SUMIF(修正!A45:A56,G2,修正!C45:C56)</f>
        <v>0.4</v>
      </c>
      <c r="G34" s="199">
        <f ca="1">ROUND(IF(E2="工业",C34*$M$39,C34*$M$38),0)</f>
        <v>124</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3"/>
      <c r="B35" s="2764" t="s">
        <v>2929</v>
      </c>
      <c r="C35" s="205">
        <f ca="1">ROUND(D5*C19*C20*C24*F35,0)</f>
        <v>580</v>
      </c>
      <c r="D35" s="2836"/>
      <c r="E35" s="199">
        <f t="shared" ca="1" si="7"/>
        <v>0</v>
      </c>
      <c r="F35" s="199">
        <f>SUMIF(修正!A45:A56,G2,修正!D45:D56)</f>
        <v>0.28000000000000003</v>
      </c>
      <c r="G35" s="199">
        <f ca="1">ROUND(IF(E2="工业",C35*$M$39,C35*$M$38),0)</f>
        <v>87</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5" thickBot="1">
      <c r="A36" s="3314"/>
      <c r="B36" s="2764" t="s">
        <v>2930</v>
      </c>
      <c r="C36" s="205">
        <f ca="1">ROUND(D5*C19*C20*C24*F36,0)</f>
        <v>518</v>
      </c>
      <c r="D36" s="2836"/>
      <c r="E36" s="199">
        <f t="shared" ca="1" si="7"/>
        <v>0</v>
      </c>
      <c r="F36" s="199">
        <f>SUMIF(修正!A45:A56,G2,修正!E45:E56)</f>
        <v>0.25</v>
      </c>
      <c r="G36" s="199">
        <f ca="1">ROUND(IF(E2="工业",C36*$M$39,C36*$M$38),0)</f>
        <v>78</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2931</v>
      </c>
      <c r="C37" s="199">
        <f ca="1">ROUND(D5*C19*C20*C24*F37,0)</f>
        <v>518</v>
      </c>
      <c r="D37" s="2836"/>
      <c r="E37" s="199">
        <f t="shared" ca="1" si="7"/>
        <v>0</v>
      </c>
      <c r="F37" s="205">
        <f>SUMIF(修正!A45:A56,G2,修正!F45:F56)</f>
        <v>0.25</v>
      </c>
      <c r="G37" s="199">
        <f ca="1">ROUND(IF(E2="工业",C37*$M$39,C37*$M$38),0)</f>
        <v>78</v>
      </c>
      <c r="H37" s="199">
        <f t="shared" si="8"/>
        <v>0</v>
      </c>
      <c r="I37" s="199">
        <f t="shared" ca="1" si="9"/>
        <v>0</v>
      </c>
      <c r="J37" s="2853"/>
      <c r="K37" s="1369"/>
      <c r="L37" s="2855" t="s">
        <v>2932</v>
      </c>
      <c r="M37" s="2856"/>
      <c r="N37" s="1369"/>
      <c r="O37" s="1369"/>
      <c r="P37" s="1369"/>
      <c r="Q37" s="1369"/>
      <c r="R37" s="1369"/>
      <c r="S37" s="1369"/>
      <c r="T37" s="1369"/>
      <c r="U37" s="1369"/>
      <c r="V37" s="1369"/>
      <c r="W37" s="1369"/>
      <c r="X37" s="1369"/>
      <c r="Y37" s="1369"/>
      <c r="Z37" s="1370"/>
    </row>
    <row r="38" spans="1:37">
      <c r="A38" s="2854"/>
      <c r="B38" s="2764" t="s">
        <v>2933</v>
      </c>
      <c r="C38" s="199">
        <f ca="1">ROUND(D5*C19*C41*C24*F38,0)</f>
        <v>0</v>
      </c>
      <c r="D38" s="2836"/>
      <c r="E38" s="199">
        <f t="shared" ca="1" si="7"/>
        <v>0</v>
      </c>
      <c r="F38" s="205">
        <f>SUMIF(修正!A45:A56,G2,修正!G45:G56)</f>
        <v>0.25</v>
      </c>
      <c r="G38" s="199">
        <f ca="1">ROUND(IF(E2="工业",C38*$M$39,C38*$M$38),0)</f>
        <v>0</v>
      </c>
      <c r="H38" s="199">
        <f t="shared" si="8"/>
        <v>0</v>
      </c>
      <c r="I38" s="199">
        <f t="shared" ca="1" si="9"/>
        <v>0</v>
      </c>
      <c r="J38" s="2853"/>
      <c r="K38" s="1369"/>
      <c r="L38" s="1886" t="s">
        <v>2934</v>
      </c>
      <c r="M38" s="2857">
        <v>0.25</v>
      </c>
      <c r="N38" s="1369"/>
      <c r="O38" s="1369"/>
      <c r="P38" s="1369"/>
      <c r="Q38" s="1369"/>
      <c r="R38" s="1369"/>
      <c r="S38" s="1369"/>
      <c r="T38" s="1369"/>
      <c r="U38" s="1369"/>
      <c r="V38" s="1369"/>
      <c r="W38" s="1369"/>
      <c r="X38" s="1369"/>
      <c r="Y38" s="1369"/>
      <c r="Z38" s="1370"/>
    </row>
    <row r="39" spans="1:37" ht="13.5" thickBot="1">
      <c r="A39" s="2840"/>
      <c r="B39" s="2858" t="s">
        <v>2935</v>
      </c>
      <c r="C39" s="228">
        <f ca="1">ROUND(D5*C19*C41*C24*F39,0)</f>
        <v>0</v>
      </c>
      <c r="D39" s="2842"/>
      <c r="E39" s="228">
        <f t="shared" ca="1" si="7"/>
        <v>0</v>
      </c>
      <c r="F39" s="931">
        <f>SUMIF(修正!A45:A56,G2,修正!H45:H56)</f>
        <v>0.2</v>
      </c>
      <c r="G39" s="228">
        <f ca="1">ROUND(IF(E2="工业",C39*$M$39,C39*$M$38),0)</f>
        <v>0</v>
      </c>
      <c r="H39" s="228">
        <f t="shared" si="8"/>
        <v>0</v>
      </c>
      <c r="I39" s="228">
        <f t="shared" ca="1" si="9"/>
        <v>0</v>
      </c>
      <c r="J39" s="2859"/>
      <c r="K39" s="1369"/>
      <c r="L39" s="2860" t="s">
        <v>2879</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3043</v>
      </c>
      <c r="C41" s="387">
        <f ca="1">ROUND(POWER(1+E41,H41-G41)*(POWER(1+E41,G41)-1)/(POWER(1+E41,H41)-1),4)</f>
        <v>0</v>
      </c>
      <c r="D41" s="199" t="s">
        <v>2886</v>
      </c>
      <c r="E41" s="2928">
        <f ca="1">G20</f>
        <v>4.8000000000000001E-2</v>
      </c>
      <c r="F41" s="199" t="s">
        <v>2895</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2936</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hidden="1">
      <c r="A46" s="2865" t="s">
        <v>2937</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hidden="1">
      <c r="A47" s="2869" t="s">
        <v>2938</v>
      </c>
      <c r="B47" s="1808" t="s">
        <v>2939</v>
      </c>
      <c r="C47" s="1808" t="s">
        <v>2940</v>
      </c>
      <c r="D47" s="1808" t="s">
        <v>2941</v>
      </c>
      <c r="E47" s="818" t="s">
        <v>2942</v>
      </c>
      <c r="F47" s="2870" t="s">
        <v>2943</v>
      </c>
      <c r="G47" s="1808" t="s">
        <v>754</v>
      </c>
      <c r="H47" s="2871" t="s">
        <v>2944</v>
      </c>
      <c r="I47" s="1808" t="s">
        <v>2945</v>
      </c>
      <c r="J47" s="602" t="s">
        <v>2594</v>
      </c>
      <c r="K47" s="602" t="s">
        <v>2595</v>
      </c>
      <c r="L47" s="602" t="s">
        <v>2596</v>
      </c>
      <c r="M47" s="602" t="s">
        <v>2597</v>
      </c>
      <c r="N47" s="602" t="s">
        <v>2598</v>
      </c>
      <c r="AA47" s="1370"/>
      <c r="AB47" s="1370"/>
      <c r="AC47" s="1370"/>
      <c r="AD47" s="1370"/>
      <c r="AE47" s="1370"/>
      <c r="AF47" s="1370"/>
      <c r="AG47" s="1370"/>
      <c r="AH47" s="1370"/>
      <c r="AI47" s="1370"/>
      <c r="AJ47" s="1370"/>
      <c r="AK47" s="1370"/>
    </row>
    <row r="48" spans="1:37" s="1369" customFormat="1" ht="38.25" hidden="1">
      <c r="A48" s="2869" t="s">
        <v>2946</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69" t="s">
        <v>2947</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9" t="s">
        <v>2948</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69" t="s">
        <v>2949</v>
      </c>
      <c r="B51" s="2874" t="s">
        <v>2950</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9" t="s">
        <v>2951</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69" t="s">
        <v>2952</v>
      </c>
      <c r="B53" s="2875" t="s">
        <v>2953</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6" t="s">
        <v>2954</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6" t="s">
        <v>2955</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7" t="s">
        <v>2956</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65" t="s">
        <v>2957</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69" t="s">
        <v>2938</v>
      </c>
      <c r="B58" s="1808"/>
      <c r="C58" s="1808" t="s">
        <v>2940</v>
      </c>
      <c r="D58" s="1808" t="s">
        <v>2941</v>
      </c>
      <c r="E58" s="818" t="s">
        <v>2942</v>
      </c>
      <c r="F58" s="2870" t="s">
        <v>2958</v>
      </c>
      <c r="G58" s="1808" t="s">
        <v>754</v>
      </c>
      <c r="H58" s="2871" t="s">
        <v>2944</v>
      </c>
      <c r="I58" s="1808" t="s">
        <v>2945</v>
      </c>
      <c r="J58" s="602" t="s">
        <v>2594</v>
      </c>
      <c r="K58" s="602" t="s">
        <v>2595</v>
      </c>
      <c r="L58" s="602" t="s">
        <v>2596</v>
      </c>
      <c r="M58" s="602" t="s">
        <v>2597</v>
      </c>
      <c r="N58" s="602" t="s">
        <v>2598</v>
      </c>
      <c r="AA58" s="1370"/>
      <c r="AB58" s="1370"/>
      <c r="AC58" s="1370"/>
      <c r="AD58" s="1370"/>
      <c r="AE58" s="1370"/>
      <c r="AF58" s="1370"/>
      <c r="AG58" s="1370"/>
      <c r="AH58" s="1370"/>
      <c r="AI58" s="1370"/>
      <c r="AJ58" s="1370"/>
      <c r="AK58" s="1370"/>
    </row>
    <row r="59" spans="1:37" s="1369" customFormat="1" ht="38.25" hidden="1">
      <c r="A59" s="2869" t="s">
        <v>2959</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69" t="s">
        <v>2947</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9" t="s">
        <v>2948</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69" t="s">
        <v>2949</v>
      </c>
      <c r="B62" s="2874" t="s">
        <v>2950</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9" t="s">
        <v>2951</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69" t="s">
        <v>2952</v>
      </c>
      <c r="B64" s="2875" t="s">
        <v>2953</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69" t="s">
        <v>2954</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69" t="s">
        <v>2955</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7" t="s">
        <v>2956</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hidden="1">
      <c r="A68" s="2865" t="s">
        <v>2960</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69" t="s">
        <v>2938</v>
      </c>
      <c r="B69" s="1808"/>
      <c r="C69" s="1808" t="s">
        <v>2940</v>
      </c>
      <c r="D69" s="1808" t="s">
        <v>2941</v>
      </c>
      <c r="E69" s="818" t="s">
        <v>2942</v>
      </c>
      <c r="F69" s="2870" t="s">
        <v>2958</v>
      </c>
      <c r="G69" s="1808" t="s">
        <v>754</v>
      </c>
      <c r="H69" s="2871" t="s">
        <v>2944</v>
      </c>
      <c r="I69" s="1808" t="s">
        <v>2945</v>
      </c>
      <c r="J69" s="602" t="s">
        <v>2594</v>
      </c>
      <c r="K69" s="602" t="s">
        <v>2595</v>
      </c>
      <c r="L69" s="602" t="s">
        <v>2596</v>
      </c>
      <c r="M69" s="602" t="s">
        <v>2597</v>
      </c>
      <c r="N69" s="602" t="s">
        <v>2598</v>
      </c>
      <c r="AA69" s="1370"/>
      <c r="AB69" s="1370"/>
      <c r="AC69" s="1370"/>
      <c r="AD69" s="1370"/>
      <c r="AE69" s="1370"/>
      <c r="AF69" s="1370"/>
      <c r="AG69" s="1370"/>
      <c r="AH69" s="1370"/>
      <c r="AI69" s="1370"/>
      <c r="AJ69" s="1370"/>
      <c r="AK69" s="1370"/>
    </row>
    <row r="70" spans="1:37" s="1369" customFormat="1" ht="51" hidden="1">
      <c r="A70" s="2869" t="s">
        <v>2961</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69" t="s">
        <v>2947</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9" t="s">
        <v>2948</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69" t="s">
        <v>2962</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69" t="s">
        <v>2954</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69" t="s">
        <v>2955</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hidden="1">
      <c r="A76" s="2869" t="s">
        <v>2952</v>
      </c>
      <c r="B76" s="2875" t="s">
        <v>2953</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hidden="1">
      <c r="A77" s="2869" t="s">
        <v>2956</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24.75" hidden="1" thickBot="1">
      <c r="A78" s="2877" t="s">
        <v>2963</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5">
      <c r="A79" s="2865" t="s">
        <v>2964</v>
      </c>
      <c r="B79" s="2866">
        <f>1+E81</f>
        <v>1.0175000000000001</v>
      </c>
      <c r="C79" s="813"/>
      <c r="D79" s="813"/>
      <c r="E79" s="814"/>
      <c r="F79" s="2868"/>
      <c r="G79" s="6"/>
      <c r="H79" s="6"/>
      <c r="I79" s="6"/>
      <c r="J79" s="7"/>
      <c r="K79" s="7"/>
      <c r="L79" s="7"/>
      <c r="M79" s="7"/>
      <c r="N79" s="7"/>
      <c r="Z79" s="2719"/>
      <c r="AA79" s="2787"/>
      <c r="AG79" s="1371"/>
      <c r="AK79" s="2787"/>
    </row>
    <row r="80" spans="1:37" ht="24.75">
      <c r="A80" s="2869" t="s">
        <v>2938</v>
      </c>
      <c r="B80" s="1808"/>
      <c r="C80" s="1808" t="s">
        <v>2940</v>
      </c>
      <c r="D80" s="1808" t="s">
        <v>2941</v>
      </c>
      <c r="E80" s="818" t="s">
        <v>2942</v>
      </c>
      <c r="F80" s="2870" t="s">
        <v>2958</v>
      </c>
      <c r="G80" s="1808" t="s">
        <v>754</v>
      </c>
      <c r="H80" s="2871" t="s">
        <v>2944</v>
      </c>
      <c r="I80" s="1808" t="s">
        <v>2945</v>
      </c>
      <c r="J80" s="602" t="s">
        <v>2594</v>
      </c>
      <c r="K80" s="602" t="s">
        <v>2595</v>
      </c>
      <c r="L80" s="602" t="s">
        <v>2596</v>
      </c>
      <c r="M80" s="602" t="s">
        <v>2597</v>
      </c>
      <c r="N80" s="602" t="s">
        <v>2598</v>
      </c>
      <c r="Z80" s="2719"/>
      <c r="AA80" s="2787"/>
      <c r="AG80" s="1371"/>
      <c r="AK80" s="2787"/>
    </row>
    <row r="81" spans="1:37" ht="38.25">
      <c r="A81" s="2869" t="s">
        <v>2965</v>
      </c>
      <c r="B81" s="2873" t="str">
        <f>估价对象房地状况!G15</f>
        <v>估价对象位于昌平区回龙观镇二拨子村北，周边有二拨子工业园、北京龙祥制版集团工业园等，产业集聚程度一般。</v>
      </c>
      <c r="C81" s="2769" t="s">
        <v>3075</v>
      </c>
      <c r="D81" s="1285">
        <f t="shared" ref="D81:D88" si="25">SUMIF($J$80:$N$80,C81,J81:N81)</f>
        <v>0</v>
      </c>
      <c r="E81" s="820">
        <f>ROUND(SUM(D81:D88),4)</f>
        <v>1.7500000000000002E-2</v>
      </c>
      <c r="F81" s="2500">
        <f>IF(E2="工业",SUMIF(L1:L12,G2,N1:N12),"——")</f>
        <v>0.05</v>
      </c>
      <c r="G81" s="1283">
        <v>6.4999999999999997E-3</v>
      </c>
      <c r="H81" s="1287">
        <f t="shared" ref="H81:H88" si="26">IFERROR(ROUNDDOWN($F$81*I81/2,4),"——")</f>
        <v>6.4999999999999997E-3</v>
      </c>
      <c r="I81" s="819">
        <v>0.26</v>
      </c>
      <c r="J81" s="1284">
        <f t="shared" ref="J81:J88" si="27">K81+$G81</f>
        <v>1.2999999999999999E-2</v>
      </c>
      <c r="K81" s="1284">
        <f t="shared" ref="K81:K88" si="28">$L81+$G81</f>
        <v>6.4999999999999997E-3</v>
      </c>
      <c r="L81" s="1284">
        <v>0</v>
      </c>
      <c r="M81" s="1284">
        <f t="shared" ref="M81:N88" si="29">L81-$G81</f>
        <v>-6.4999999999999997E-3</v>
      </c>
      <c r="N81" s="1284">
        <f t="shared" si="29"/>
        <v>-1.2999999999999999E-2</v>
      </c>
      <c r="Z81" s="2719"/>
      <c r="AA81" s="2787"/>
      <c r="AG81" s="1371"/>
      <c r="AK81" s="2787"/>
    </row>
    <row r="82" spans="1:37" ht="51">
      <c r="A82" s="2869" t="s">
        <v>2947</v>
      </c>
      <c r="B82" s="2873" t="str">
        <f>估价对象房地状况!G16</f>
        <v>估价对象位于昌平区回龙观镇二拨子村北，紧邻城市高速路—京藏高速路，周边路网密集度较好，行车出入便捷度较好。周边1公里范围内有345路、625路、专121路等公交线路，公交便捷度较好，周边2公里范围内有地铁8号线、13号线、昌平线。综上分析，估价对象所在区位整体交通便捷度较好。</v>
      </c>
      <c r="C82" s="2769" t="s">
        <v>3076</v>
      </c>
      <c r="D82" s="1285">
        <f t="shared" si="25"/>
        <v>6.0000000000000001E-3</v>
      </c>
      <c r="E82" s="825"/>
      <c r="F82" s="2500"/>
      <c r="G82" s="1283">
        <v>6.0000000000000001E-3</v>
      </c>
      <c r="H82" s="1287">
        <f t="shared" si="26"/>
        <v>8.2000000000000007E-3</v>
      </c>
      <c r="I82" s="819">
        <v>0.33</v>
      </c>
      <c r="J82" s="1284">
        <f t="shared" si="27"/>
        <v>1.2E-2</v>
      </c>
      <c r="K82" s="1284">
        <f t="shared" si="28"/>
        <v>6.0000000000000001E-3</v>
      </c>
      <c r="L82" s="1284">
        <v>0</v>
      </c>
      <c r="M82" s="1284">
        <f t="shared" si="29"/>
        <v>-6.0000000000000001E-3</v>
      </c>
      <c r="N82" s="1284">
        <f t="shared" si="29"/>
        <v>-1.2E-2</v>
      </c>
      <c r="Z82" s="2719"/>
      <c r="AA82" s="2787"/>
      <c r="AG82" s="1371"/>
      <c r="AK82" s="2787"/>
    </row>
    <row r="83" spans="1:37" ht="24">
      <c r="A83" s="2869" t="s">
        <v>2948</v>
      </c>
      <c r="B83" s="2873">
        <f>估价对象房地状况!G17</f>
        <v>0</v>
      </c>
      <c r="C83" s="2769" t="s">
        <v>3075</v>
      </c>
      <c r="D83" s="1285">
        <f t="shared" si="25"/>
        <v>0</v>
      </c>
      <c r="E83" s="825"/>
      <c r="F83" s="2500"/>
      <c r="G83" s="1283">
        <v>1.1999999999999999E-3</v>
      </c>
      <c r="H83" s="1287">
        <f t="shared" si="26"/>
        <v>1.1999999999999999E-3</v>
      </c>
      <c r="I83" s="819">
        <v>0.05</v>
      </c>
      <c r="J83" s="1284">
        <f t="shared" si="27"/>
        <v>2.3999999999999998E-3</v>
      </c>
      <c r="K83" s="1284">
        <f t="shared" si="28"/>
        <v>1.1999999999999999E-3</v>
      </c>
      <c r="L83" s="1284">
        <v>0</v>
      </c>
      <c r="M83" s="1284">
        <f t="shared" si="29"/>
        <v>-1.1999999999999999E-3</v>
      </c>
      <c r="N83" s="1284">
        <f t="shared" si="29"/>
        <v>-2.3999999999999998E-3</v>
      </c>
      <c r="Z83" s="2719"/>
      <c r="AA83" s="2787"/>
      <c r="AG83" s="1371"/>
      <c r="AK83" s="2787"/>
    </row>
    <row r="84" spans="1:37" ht="14.25">
      <c r="A84" s="2869" t="s">
        <v>2962</v>
      </c>
      <c r="B84" s="2873">
        <f>估价对象房地状况!G22</f>
        <v>0</v>
      </c>
      <c r="C84" s="2769" t="s">
        <v>3077</v>
      </c>
      <c r="D84" s="1285">
        <f t="shared" si="25"/>
        <v>2E-3</v>
      </c>
      <c r="E84" s="825"/>
      <c r="F84" s="2500"/>
      <c r="G84" s="1283">
        <v>1E-3</v>
      </c>
      <c r="H84" s="1287">
        <f t="shared" si="26"/>
        <v>1E-3</v>
      </c>
      <c r="I84" s="819">
        <v>0.04</v>
      </c>
      <c r="J84" s="1284">
        <f t="shared" si="27"/>
        <v>2E-3</v>
      </c>
      <c r="K84" s="1284">
        <f t="shared" si="28"/>
        <v>1E-3</v>
      </c>
      <c r="L84" s="1284">
        <v>0</v>
      </c>
      <c r="M84" s="1284">
        <f t="shared" si="29"/>
        <v>-1E-3</v>
      </c>
      <c r="N84" s="1284">
        <f t="shared" si="29"/>
        <v>-2E-3</v>
      </c>
      <c r="Z84" s="2719"/>
      <c r="AA84" s="2787"/>
      <c r="AG84" s="1371"/>
      <c r="AK84" s="2787"/>
    </row>
    <row r="85" spans="1:37" ht="114.75">
      <c r="A85" s="2869" t="s">
        <v>2954</v>
      </c>
      <c r="B85" s="1724" t="str">
        <f>估价对象房地状况!G19</f>
        <v>周边2公里内的公共服务配套设施齐备度一般，有购物场所（京客隆超市）、学校（华北电力大学、回龙观中心小学）、银行（北京农商银行、中国工商银行）、医院（回龙观社区卫生服务中心）、餐饮等公共服务配套设施。</v>
      </c>
      <c r="C85" s="2769" t="s">
        <v>3076</v>
      </c>
      <c r="D85" s="1285">
        <f t="shared" si="25"/>
        <v>1.5E-3</v>
      </c>
      <c r="E85" s="825"/>
      <c r="F85" s="2500"/>
      <c r="G85" s="1283">
        <v>1.5E-3</v>
      </c>
      <c r="H85" s="1287">
        <f t="shared" si="26"/>
        <v>1.5E-3</v>
      </c>
      <c r="I85" s="819">
        <v>0.06</v>
      </c>
      <c r="J85" s="1284">
        <f t="shared" si="27"/>
        <v>3.0000000000000001E-3</v>
      </c>
      <c r="K85" s="1284">
        <f t="shared" si="28"/>
        <v>1.5E-3</v>
      </c>
      <c r="L85" s="1284">
        <v>0</v>
      </c>
      <c r="M85" s="1284">
        <f t="shared" si="29"/>
        <v>-1.5E-3</v>
      </c>
      <c r="N85" s="1284">
        <f t="shared" si="29"/>
        <v>-3.0000000000000001E-3</v>
      </c>
      <c r="Z85" s="2719"/>
      <c r="AA85" s="2787"/>
      <c r="AG85" s="1371"/>
      <c r="AK85" s="2787"/>
    </row>
    <row r="86" spans="1:37" ht="25.5">
      <c r="A86" s="2869" t="s">
        <v>2955</v>
      </c>
      <c r="B86" s="1724" t="str">
        <f>估价对象房地状况!G20</f>
        <v>估价对象所在区域基础设施水平-七通</v>
      </c>
      <c r="C86" s="2769" t="s">
        <v>3077</v>
      </c>
      <c r="D86" s="1285">
        <f t="shared" si="25"/>
        <v>6.0000000000000001E-3</v>
      </c>
      <c r="E86" s="825"/>
      <c r="F86" s="2500"/>
      <c r="G86" s="1283">
        <v>3.0000000000000001E-3</v>
      </c>
      <c r="H86" s="1287">
        <f t="shared" si="26"/>
        <v>3.7000000000000002E-3</v>
      </c>
      <c r="I86" s="819">
        <v>0.15</v>
      </c>
      <c r="J86" s="1284">
        <f t="shared" si="27"/>
        <v>6.0000000000000001E-3</v>
      </c>
      <c r="K86" s="1284">
        <f t="shared" si="28"/>
        <v>3.0000000000000001E-3</v>
      </c>
      <c r="L86" s="1284">
        <v>0</v>
      </c>
      <c r="M86" s="1284">
        <f t="shared" si="29"/>
        <v>-3.0000000000000001E-3</v>
      </c>
      <c r="N86" s="1284">
        <f t="shared" si="29"/>
        <v>-6.0000000000000001E-3</v>
      </c>
      <c r="Z86" s="2719"/>
      <c r="AA86" s="2787"/>
      <c r="AG86" s="1371"/>
      <c r="AK86" s="2787"/>
    </row>
    <row r="87" spans="1:37" ht="24">
      <c r="A87" s="2869" t="s">
        <v>2952</v>
      </c>
      <c r="B87" s="2875" t="s">
        <v>2966</v>
      </c>
      <c r="C87" s="2769" t="s">
        <v>3076</v>
      </c>
      <c r="D87" s="1285">
        <f t="shared" si="25"/>
        <v>1E-3</v>
      </c>
      <c r="E87" s="825"/>
      <c r="F87" s="2500"/>
      <c r="G87" s="1283">
        <v>1E-3</v>
      </c>
      <c r="H87" s="1287">
        <f t="shared" si="26"/>
        <v>1.1999999999999999E-3</v>
      </c>
      <c r="I87" s="819">
        <v>0.05</v>
      </c>
      <c r="J87" s="1284">
        <f t="shared" si="27"/>
        <v>2E-3</v>
      </c>
      <c r="K87" s="1284">
        <f t="shared" si="28"/>
        <v>1E-3</v>
      </c>
      <c r="L87" s="1284">
        <v>0</v>
      </c>
      <c r="M87" s="1284">
        <f t="shared" si="29"/>
        <v>-1E-3</v>
      </c>
      <c r="N87" s="1284">
        <f t="shared" si="29"/>
        <v>-2E-3</v>
      </c>
      <c r="Z87" s="2719"/>
      <c r="AA87" s="2787"/>
      <c r="AG87" s="1371"/>
      <c r="AK87" s="2787"/>
    </row>
    <row r="88" spans="1:37" ht="51.75" thickBot="1">
      <c r="A88" s="2877" t="s">
        <v>2967</v>
      </c>
      <c r="B88" s="2882" t="str">
        <f>估价对象房地状况!G18</f>
        <v>估价对象周边自然环境较好；周边无污染型企业，绿化较好，卫生条件良好，整体环境状况较好。</v>
      </c>
      <c r="C88" s="2769" t="s">
        <v>3076</v>
      </c>
      <c r="D88" s="1285">
        <f t="shared" si="25"/>
        <v>1E-3</v>
      </c>
      <c r="E88" s="826"/>
      <c r="F88" s="2500"/>
      <c r="G88" s="1283">
        <v>1E-3</v>
      </c>
      <c r="H88" s="1287">
        <f t="shared" si="26"/>
        <v>1.5E-3</v>
      </c>
      <c r="I88" s="823">
        <v>0.06</v>
      </c>
      <c r="J88" s="1284">
        <f t="shared" si="27"/>
        <v>2E-3</v>
      </c>
      <c r="K88" s="1284">
        <f t="shared" si="28"/>
        <v>1E-3</v>
      </c>
      <c r="L88" s="1284">
        <v>0</v>
      </c>
      <c r="M88" s="1284">
        <f t="shared" si="29"/>
        <v>-1E-3</v>
      </c>
      <c r="N88" s="1284">
        <f t="shared" si="29"/>
        <v>-2E-3</v>
      </c>
      <c r="Z88" s="2719"/>
      <c r="AA88" s="2787"/>
      <c r="AG88" s="1371"/>
      <c r="AK88" s="2787"/>
    </row>
    <row r="90" spans="1:37">
      <c r="A90" s="3306" t="s">
        <v>2968</v>
      </c>
      <c r="B90" s="3306"/>
      <c r="C90" s="3306"/>
      <c r="D90" s="3306"/>
      <c r="E90" s="3306"/>
      <c r="F90" s="3306"/>
      <c r="G90" s="3306"/>
      <c r="H90" s="3306"/>
      <c r="I90" s="3306"/>
      <c r="J90" s="3306"/>
      <c r="K90" s="2883"/>
      <c r="L90" s="2883"/>
      <c r="M90" s="2883"/>
      <c r="N90" s="2883"/>
    </row>
    <row r="91" spans="1:37">
      <c r="A91" s="3308" t="s">
        <v>2969</v>
      </c>
      <c r="B91" s="3308" t="s">
        <v>2970</v>
      </c>
      <c r="C91" s="2837" t="s">
        <v>2971</v>
      </c>
      <c r="D91" s="2838"/>
      <c r="E91" s="2838"/>
      <c r="F91" s="2838"/>
      <c r="G91" s="2838"/>
      <c r="H91" s="2838"/>
      <c r="I91" s="2838"/>
      <c r="J91" s="2884"/>
      <c r="K91" s="2885"/>
      <c r="L91" s="2885"/>
      <c r="M91" s="2885"/>
      <c r="N91" s="2885"/>
    </row>
    <row r="92" spans="1:37">
      <c r="A92" s="3308"/>
      <c r="B92" s="3308"/>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309"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1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1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1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1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1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10"/>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1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09" t="s">
        <v>2973</v>
      </c>
      <c r="B101" s="2890" t="s">
        <v>2974</v>
      </c>
      <c r="C101" s="2891">
        <f>$G$3</f>
        <v>1.32</v>
      </c>
      <c r="D101" s="2891">
        <f t="shared" ref="D101:N101" si="31">$G$3</f>
        <v>1.32</v>
      </c>
      <c r="E101" s="2891">
        <f t="shared" si="31"/>
        <v>1.32</v>
      </c>
      <c r="F101" s="2891">
        <f t="shared" si="31"/>
        <v>1.32</v>
      </c>
      <c r="G101" s="2891">
        <f t="shared" si="31"/>
        <v>1.32</v>
      </c>
      <c r="H101" s="2891">
        <f t="shared" si="31"/>
        <v>1.32</v>
      </c>
      <c r="I101" s="2891">
        <f t="shared" si="31"/>
        <v>1.32</v>
      </c>
      <c r="J101" s="2891">
        <f t="shared" si="31"/>
        <v>1.32</v>
      </c>
      <c r="K101" s="2891">
        <f t="shared" si="31"/>
        <v>1.32</v>
      </c>
      <c r="L101" s="2891">
        <f t="shared" si="31"/>
        <v>1.32</v>
      </c>
      <c r="M101" s="2891">
        <f t="shared" si="31"/>
        <v>1.32</v>
      </c>
      <c r="N101" s="2891">
        <f t="shared" si="31"/>
        <v>1.32</v>
      </c>
    </row>
    <row r="102" spans="1:14">
      <c r="A102" s="3310"/>
      <c r="B102" s="2886">
        <v>1</v>
      </c>
      <c r="C102" s="2887">
        <f>1.9362/C101</f>
        <v>1.4668181818181818</v>
      </c>
      <c r="D102" s="2887">
        <f>1.9362/D101</f>
        <v>1.4668181818181818</v>
      </c>
      <c r="E102" s="2887">
        <f>1.8629/E101</f>
        <v>1.4112878787878786</v>
      </c>
      <c r="F102" s="2887">
        <f>1.8629/F101</f>
        <v>1.4112878787878786</v>
      </c>
      <c r="G102" s="2887">
        <f>1.8629/G101</f>
        <v>1.4112878787878786</v>
      </c>
      <c r="H102" s="2887">
        <f>1.8629/H101</f>
        <v>1.4112878787878786</v>
      </c>
      <c r="I102" s="2887">
        <f>1.8629/I101</f>
        <v>1.4112878787878786</v>
      </c>
      <c r="J102" s="2887">
        <f>1.942/J101</f>
        <v>1.4712121212121212</v>
      </c>
      <c r="K102" s="2887">
        <f>1.942/K101</f>
        <v>1.4712121212121212</v>
      </c>
      <c r="L102" s="2887">
        <f>1.942/L101</f>
        <v>1.4712121212121212</v>
      </c>
      <c r="M102" s="2887">
        <f>1.942/M101</f>
        <v>1.4712121212121212</v>
      </c>
      <c r="N102" s="2887">
        <f>1.942/N101</f>
        <v>1.4712121212121212</v>
      </c>
    </row>
    <row r="103" spans="1:14">
      <c r="A103" s="3310"/>
      <c r="B103" s="2886">
        <v>2</v>
      </c>
      <c r="C103" s="2887">
        <f>1.4198/C101</f>
        <v>1.0756060606060605</v>
      </c>
      <c r="D103" s="2887">
        <f>1.4198/D101</f>
        <v>1.0756060606060605</v>
      </c>
      <c r="E103" s="2887">
        <f>1.3372/E101</f>
        <v>1.0130303030303029</v>
      </c>
      <c r="F103" s="2887">
        <f>1.3372/F101</f>
        <v>1.0130303030303029</v>
      </c>
      <c r="G103" s="2887">
        <f>1.3372/G101</f>
        <v>1.0130303030303029</v>
      </c>
      <c r="H103" s="2887">
        <f>1.3372/H101</f>
        <v>1.0130303030303029</v>
      </c>
      <c r="I103" s="2887">
        <f>1.3372/I101</f>
        <v>1.0130303030303029</v>
      </c>
      <c r="J103" s="2887">
        <f>1.2799/J101</f>
        <v>0.96962121212121211</v>
      </c>
      <c r="K103" s="2887">
        <f>1.2799/K101</f>
        <v>0.96962121212121211</v>
      </c>
      <c r="L103" s="2887">
        <f>1.2799/L101</f>
        <v>0.96962121212121211</v>
      </c>
      <c r="M103" s="2887">
        <f>1.2799/M101</f>
        <v>0.96962121212121211</v>
      </c>
      <c r="N103" s="2887">
        <f>1.2799/N101</f>
        <v>0.96962121212121211</v>
      </c>
    </row>
    <row r="104" spans="1:14">
      <c r="A104" s="3310"/>
      <c r="B104" s="2886">
        <v>3</v>
      </c>
      <c r="C104" s="2887">
        <f>1.1594/C101</f>
        <v>0.8783333333333333</v>
      </c>
      <c r="D104" s="2887">
        <f>1.1594/D101</f>
        <v>0.8783333333333333</v>
      </c>
      <c r="E104" s="2887">
        <f>1.0788/E101</f>
        <v>0.81727272727272726</v>
      </c>
      <c r="F104" s="2887">
        <f>1.0788/F101</f>
        <v>0.81727272727272726</v>
      </c>
      <c r="G104" s="2887">
        <f>1.0788/G101</f>
        <v>0.81727272727272726</v>
      </c>
      <c r="H104" s="2887">
        <f>1.0788/H101</f>
        <v>0.81727272727272726</v>
      </c>
      <c r="I104" s="2887">
        <f>1.0788/I101</f>
        <v>0.81727272727272726</v>
      </c>
      <c r="J104" s="2887">
        <f>1.0072/J101</f>
        <v>0.76303030303030306</v>
      </c>
      <c r="K104" s="2887">
        <f>1.0072/K101</f>
        <v>0.76303030303030306</v>
      </c>
      <c r="L104" s="2887">
        <f>1.0072/L101</f>
        <v>0.76303030303030306</v>
      </c>
      <c r="M104" s="2887">
        <f>1.0072/M101</f>
        <v>0.76303030303030306</v>
      </c>
      <c r="N104" s="2887">
        <f>1.0072/N101</f>
        <v>0.76303030303030306</v>
      </c>
    </row>
    <row r="105" spans="1:14">
      <c r="A105" s="3310"/>
      <c r="B105" s="2886">
        <v>4</v>
      </c>
      <c r="C105" s="2887">
        <f>0.9622/C101</f>
        <v>0.728939393939394</v>
      </c>
      <c r="D105" s="2887">
        <f>0.9622/D101</f>
        <v>0.728939393939394</v>
      </c>
      <c r="E105" s="2887">
        <f>0.8656/E101</f>
        <v>0.65575757575757576</v>
      </c>
      <c r="F105" s="2887">
        <f>0.8656/F101</f>
        <v>0.65575757575757576</v>
      </c>
      <c r="G105" s="2887">
        <f>0.8656/G101</f>
        <v>0.65575757575757576</v>
      </c>
      <c r="H105" s="2887">
        <f>0.8656/H101</f>
        <v>0.65575757575757576</v>
      </c>
      <c r="I105" s="2887">
        <f>0.8656/I101</f>
        <v>0.65575757575757576</v>
      </c>
      <c r="J105" s="2887">
        <f>0.7525/J101</f>
        <v>0.57007575757575746</v>
      </c>
      <c r="K105" s="2887">
        <f>0.7525/K101</f>
        <v>0.57007575757575746</v>
      </c>
      <c r="L105" s="2887">
        <f>0.7525/L101</f>
        <v>0.57007575757575746</v>
      </c>
      <c r="M105" s="2887">
        <f>0.7525/M101</f>
        <v>0.57007575757575746</v>
      </c>
      <c r="N105" s="2887">
        <f>0.7525/N101</f>
        <v>0.57007575757575746</v>
      </c>
    </row>
    <row r="106" spans="1:14">
      <c r="A106" s="3310"/>
      <c r="B106" s="2886">
        <v>5</v>
      </c>
      <c r="C106" s="2887">
        <f>0.8417/C101</f>
        <v>0.63765151515151508</v>
      </c>
      <c r="D106" s="2887">
        <f>0.8417/D101</f>
        <v>0.63765151515151508</v>
      </c>
      <c r="E106" s="2887">
        <f>0.7371/E101</f>
        <v>0.55840909090909085</v>
      </c>
      <c r="F106" s="2887">
        <f>0.7371/F101</f>
        <v>0.55840909090909085</v>
      </c>
      <c r="G106" s="2887">
        <f>0.7371/G101</f>
        <v>0.55840909090909085</v>
      </c>
      <c r="H106" s="2887">
        <f>0.7371/H101</f>
        <v>0.55840909090909085</v>
      </c>
      <c r="I106" s="2887">
        <f>0.7371/I101</f>
        <v>0.55840909090909085</v>
      </c>
      <c r="J106" s="2887">
        <f>0.5659/J101</f>
        <v>0.42871212121212116</v>
      </c>
      <c r="K106" s="2887">
        <f>0.5659/K101</f>
        <v>0.42871212121212116</v>
      </c>
      <c r="L106" s="2887">
        <f>0.5659/L101</f>
        <v>0.42871212121212116</v>
      </c>
      <c r="M106" s="2887">
        <f>0.5659/M101</f>
        <v>0.42871212121212116</v>
      </c>
      <c r="N106" s="2887">
        <f>0.5659/N101</f>
        <v>0.42871212121212116</v>
      </c>
    </row>
    <row r="107" spans="1:14">
      <c r="A107" s="3310"/>
      <c r="B107" s="2886">
        <v>6</v>
      </c>
      <c r="C107" s="2887">
        <f>0.7608/C101</f>
        <v>0.57636363636363641</v>
      </c>
      <c r="D107" s="2887">
        <f>0.7608/D101</f>
        <v>0.57636363636363641</v>
      </c>
      <c r="E107" s="2887">
        <f>0.6482/E101</f>
        <v>0.49106060606060603</v>
      </c>
      <c r="F107" s="2887">
        <f>0.6482/F101</f>
        <v>0.49106060606060603</v>
      </c>
      <c r="G107" s="2887">
        <f>0.6482/G101</f>
        <v>0.49106060606060603</v>
      </c>
      <c r="H107" s="2887">
        <f>0.6482/H101</f>
        <v>0.49106060606060603</v>
      </c>
      <c r="I107" s="2887">
        <f>0.6482/I101</f>
        <v>0.49106060606060603</v>
      </c>
      <c r="J107" s="2887">
        <f>0.4525/J101</f>
        <v>0.34280303030303028</v>
      </c>
      <c r="K107" s="2887">
        <f>0.4525/K101</f>
        <v>0.34280303030303028</v>
      </c>
      <c r="L107" s="2887">
        <f>0.4525/L101</f>
        <v>0.34280303030303028</v>
      </c>
      <c r="M107" s="2887">
        <f>0.4525/M101</f>
        <v>0.34280303030303028</v>
      </c>
      <c r="N107" s="2887">
        <f>0.4525/N101</f>
        <v>0.34280303030303028</v>
      </c>
    </row>
    <row r="108" spans="1:14">
      <c r="A108" s="3310"/>
      <c r="B108" s="3138"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11"/>
      <c r="B109" s="3139"/>
      <c r="C109" s="2889">
        <f>(-0.163*(C108^2)-0.59*C108+7617)*(10^(-4))/C101</f>
        <v>0.57704545454545453</v>
      </c>
      <c r="D109" s="2889">
        <f>(-0.163*(D108^2)-0.59*D108+7617)*(10^(-4))/D101</f>
        <v>0.57704545454545453</v>
      </c>
      <c r="E109" s="2889">
        <f>(-0.161*(E108^2)-7.509*E108+6533)*(10^(-4))/E101</f>
        <v>0.49492424242424238</v>
      </c>
      <c r="F109" s="2889">
        <f>(-0.161*(F108^2)-7.509*F108+6533)*(10^(-4))/F101</f>
        <v>0.49492424242424238</v>
      </c>
      <c r="G109" s="2889">
        <f>(-0.161*(G108^2)-7.509*G108+6533)*(10^(-4))/G101</f>
        <v>0.49492424242424238</v>
      </c>
      <c r="H109" s="2889">
        <f>(-0.161*(H108^2)-7.509*H108+6533)*(10^(-4))/H101</f>
        <v>0.49492424242424238</v>
      </c>
      <c r="I109" s="2889">
        <f>(-0.161*(I108^2)-7.509*I108+6533)*(10^(-4))/I101</f>
        <v>0.49492424242424238</v>
      </c>
      <c r="J109" s="2889">
        <f>(-0.214*(J108^2)-21.991*J108+4665)*(10^(-4))/J101</f>
        <v>0.35340909090909089</v>
      </c>
      <c r="K109" s="2889">
        <f>(-0.214*(K108^2)-21.991*K108+4665)*(10^(-4))/K101</f>
        <v>0.35340909090909089</v>
      </c>
      <c r="L109" s="2889">
        <f>(-0.214*(L108^2)-21.991*L108+4665)*(10^(-4))/L101</f>
        <v>0.35340909090909089</v>
      </c>
      <c r="M109" s="2889">
        <f>(-0.214*(M108^2)-21.991*M108+4665)*(10^(-4))/M101</f>
        <v>0.35340909090909089</v>
      </c>
      <c r="N109" s="2889">
        <f>(-0.214*(N108^2)-21.991*N108+4665)*(10^(-4))/N101</f>
        <v>0.35340909090909089</v>
      </c>
    </row>
    <row r="110" spans="1:14">
      <c r="A110" s="3307" t="s">
        <v>2976</v>
      </c>
      <c r="B110" s="3307"/>
      <c r="C110" s="3307"/>
      <c r="D110" s="3307"/>
      <c r="E110" s="3307"/>
      <c r="F110" s="3307"/>
      <c r="G110" s="3307"/>
      <c r="H110" s="3307"/>
      <c r="I110" s="3307"/>
      <c r="J110" s="3307"/>
      <c r="K110" s="2892"/>
      <c r="L110" s="2892"/>
      <c r="M110" s="2892"/>
      <c r="N110" s="2892"/>
    </row>
    <row r="112" spans="1:14" ht="13.5" thickBot="1"/>
    <row r="113" spans="1:13" ht="25.5" thickBot="1">
      <c r="A113" s="902" t="s">
        <v>2977</v>
      </c>
      <c r="B113" s="1286">
        <f>G3</f>
        <v>1.32</v>
      </c>
      <c r="C113" s="903" t="s">
        <v>2978</v>
      </c>
      <c r="D113" s="904">
        <f>SUMPRODUCT((A115:A118=F113)*(B114:M114=H113)*B115:M118)</f>
        <v>0.61380000000000001</v>
      </c>
      <c r="E113" s="2723" t="s">
        <v>2811</v>
      </c>
      <c r="F113" s="2894" t="str">
        <f>E2</f>
        <v>工业</v>
      </c>
      <c r="G113" s="2723" t="s">
        <v>2812</v>
      </c>
      <c r="H113" s="2894" t="str">
        <f>G2</f>
        <v>六级</v>
      </c>
      <c r="I113" s="2723"/>
      <c r="J113" s="2895"/>
      <c r="K113" s="2895"/>
      <c r="L113" s="2895"/>
      <c r="M113" s="2895"/>
    </row>
    <row r="114" spans="1:13">
      <c r="A114" s="907"/>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8" t="s">
        <v>2876</v>
      </c>
      <c r="B115" s="909">
        <f>ROUND(0.9335-0.0094*B113,4)</f>
        <v>0.92110000000000003</v>
      </c>
      <c r="C115" s="909">
        <f>B115</f>
        <v>0.92110000000000003</v>
      </c>
      <c r="D115" s="909">
        <f>ROUND(0.8331-0.0109*B113,4)</f>
        <v>0.81869999999999998</v>
      </c>
      <c r="E115" s="909">
        <f>D115</f>
        <v>0.81869999999999998</v>
      </c>
      <c r="F115" s="909">
        <f>E115</f>
        <v>0.81869999999999998</v>
      </c>
      <c r="G115" s="909">
        <f>F115</f>
        <v>0.81869999999999998</v>
      </c>
      <c r="H115" s="909">
        <f>G115</f>
        <v>0.81869999999999998</v>
      </c>
      <c r="I115" s="909">
        <f>ROUND(0.689-0.0155*B113,4)</f>
        <v>0.66849999999999998</v>
      </c>
      <c r="J115" s="909">
        <f t="shared" ref="J115:M118" si="33">I115</f>
        <v>0.66849999999999998</v>
      </c>
      <c r="K115" s="909">
        <f t="shared" si="33"/>
        <v>0.66849999999999998</v>
      </c>
      <c r="L115" s="909">
        <f t="shared" si="33"/>
        <v>0.66849999999999998</v>
      </c>
      <c r="M115" s="910">
        <f t="shared" si="33"/>
        <v>0.66849999999999998</v>
      </c>
    </row>
    <row r="116" spans="1:13">
      <c r="A116" s="908" t="s">
        <v>2877</v>
      </c>
      <c r="B116" s="909">
        <f>ROUND(0.949-0.012*B113,4)</f>
        <v>0.93320000000000003</v>
      </c>
      <c r="C116" s="909">
        <f>B116</f>
        <v>0.93320000000000003</v>
      </c>
      <c r="D116" s="909">
        <f>ROUND(0.8567-0.013*B113,4)</f>
        <v>0.83950000000000002</v>
      </c>
      <c r="E116" s="909">
        <f t="shared" ref="E116:H117" si="34">D116</f>
        <v>0.83950000000000002</v>
      </c>
      <c r="F116" s="909">
        <f t="shared" si="34"/>
        <v>0.83950000000000002</v>
      </c>
      <c r="G116" s="909">
        <f t="shared" si="34"/>
        <v>0.83950000000000002</v>
      </c>
      <c r="H116" s="909">
        <f t="shared" si="34"/>
        <v>0.83950000000000002</v>
      </c>
      <c r="I116" s="909">
        <f>ROUND(0.7694-0.014*B113,4)</f>
        <v>0.75090000000000001</v>
      </c>
      <c r="J116" s="909">
        <f t="shared" si="33"/>
        <v>0.75090000000000001</v>
      </c>
      <c r="K116" s="909">
        <f t="shared" si="33"/>
        <v>0.75090000000000001</v>
      </c>
      <c r="L116" s="909">
        <f t="shared" si="33"/>
        <v>0.75090000000000001</v>
      </c>
      <c r="M116" s="910">
        <f t="shared" si="33"/>
        <v>0.75090000000000001</v>
      </c>
    </row>
    <row r="117" spans="1:13">
      <c r="A117" s="908" t="s">
        <v>2878</v>
      </c>
      <c r="B117" s="909">
        <f>ROUND(0.8808-0.006*B113,4)</f>
        <v>0.87290000000000001</v>
      </c>
      <c r="C117" s="909">
        <f>B117</f>
        <v>0.87290000000000001</v>
      </c>
      <c r="D117" s="909">
        <f>ROUND(0.8748-0.008*B113,4)</f>
        <v>0.86419999999999997</v>
      </c>
      <c r="E117" s="909">
        <f t="shared" si="34"/>
        <v>0.86419999999999997</v>
      </c>
      <c r="F117" s="909">
        <f t="shared" si="34"/>
        <v>0.86419999999999997</v>
      </c>
      <c r="G117" s="909">
        <f t="shared" si="34"/>
        <v>0.86419999999999997</v>
      </c>
      <c r="H117" s="909">
        <f t="shared" si="34"/>
        <v>0.86419999999999997</v>
      </c>
      <c r="I117" s="909">
        <f>ROUND(0.7412-0.0095*B113,4)</f>
        <v>0.72870000000000001</v>
      </c>
      <c r="J117" s="909">
        <f t="shared" si="33"/>
        <v>0.72870000000000001</v>
      </c>
      <c r="K117" s="909">
        <f t="shared" si="33"/>
        <v>0.72870000000000001</v>
      </c>
      <c r="L117" s="909">
        <f t="shared" si="33"/>
        <v>0.72870000000000001</v>
      </c>
      <c r="M117" s="910">
        <f t="shared" si="33"/>
        <v>0.72870000000000001</v>
      </c>
    </row>
    <row r="118" spans="1:13" ht="13.5" thickBot="1">
      <c r="A118" s="713" t="s">
        <v>2879</v>
      </c>
      <c r="B118" s="911">
        <f>ROUND(0.7275-0.01*B113,4)</f>
        <v>0.71430000000000005</v>
      </c>
      <c r="C118" s="911">
        <f>B118</f>
        <v>0.71430000000000005</v>
      </c>
      <c r="D118" s="911">
        <f>ROUND(0.7043-0.012*B113,4)</f>
        <v>0.6885</v>
      </c>
      <c r="E118" s="911">
        <f>D118</f>
        <v>0.6885</v>
      </c>
      <c r="F118" s="911">
        <f>E118</f>
        <v>0.6885</v>
      </c>
      <c r="G118" s="911">
        <f>ROUND(0.6299-0.0122*B113,4)</f>
        <v>0.61380000000000001</v>
      </c>
      <c r="H118" s="911">
        <f>G118</f>
        <v>0.61380000000000001</v>
      </c>
      <c r="I118" s="911">
        <f>ROUND(0.5667-0.0136*B113,4)</f>
        <v>0.54869999999999997</v>
      </c>
      <c r="J118" s="911">
        <f t="shared" si="33"/>
        <v>0.54869999999999997</v>
      </c>
      <c r="K118" s="911">
        <f t="shared" si="33"/>
        <v>0.54869999999999997</v>
      </c>
      <c r="L118" s="911">
        <f t="shared" si="33"/>
        <v>0.54869999999999997</v>
      </c>
      <c r="M118" s="912">
        <f t="shared" si="33"/>
        <v>0.54869999999999997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7" t="s">
        <v>183</v>
      </c>
      <c r="B18" s="881" t="s">
        <v>560</v>
      </c>
      <c r="C18" s="882" t="s">
        <v>561</v>
      </c>
      <c r="D18" s="883"/>
      <c r="E18" s="881">
        <v>1</v>
      </c>
      <c r="F18" s="884" t="s">
        <v>562</v>
      </c>
      <c r="G18" s="885"/>
      <c r="H18" s="877"/>
      <c r="I18" s="877"/>
    </row>
    <row r="19" spans="1:9" s="886" customFormat="1" ht="19.5" customHeight="1">
      <c r="A19" s="3327"/>
      <c r="B19" s="3327" t="s">
        <v>563</v>
      </c>
      <c r="C19" s="882" t="s">
        <v>564</v>
      </c>
      <c r="D19" s="883"/>
      <c r="E19" s="881">
        <v>0.9</v>
      </c>
      <c r="F19" s="884" t="s">
        <v>565</v>
      </c>
      <c r="G19" s="885"/>
      <c r="H19" s="877"/>
      <c r="I19" s="877"/>
    </row>
    <row r="20" spans="1:9" s="886" customFormat="1" ht="19.5" customHeight="1">
      <c r="A20" s="3327"/>
      <c r="B20" s="3327"/>
      <c r="C20" s="882" t="s">
        <v>566</v>
      </c>
      <c r="D20" s="883"/>
      <c r="E20" s="881">
        <v>1.1000000000000001</v>
      </c>
      <c r="F20" s="884" t="s">
        <v>567</v>
      </c>
      <c r="G20" s="885"/>
      <c r="H20" s="877"/>
      <c r="I20" s="877"/>
    </row>
    <row r="21" spans="1:9" s="886" customFormat="1" ht="19.5" customHeight="1">
      <c r="A21" s="3327"/>
      <c r="B21" s="3327"/>
      <c r="C21" s="882" t="s">
        <v>568</v>
      </c>
      <c r="D21" s="883"/>
      <c r="E21" s="881">
        <v>0.8</v>
      </c>
      <c r="F21" s="884" t="s">
        <v>569</v>
      </c>
      <c r="G21" s="885"/>
      <c r="H21" s="877"/>
      <c r="I21" s="877"/>
    </row>
    <row r="22" spans="1:9" s="886" customFormat="1" ht="19.5" customHeight="1">
      <c r="A22" s="3327"/>
      <c r="B22" s="3327"/>
      <c r="C22" s="882" t="s">
        <v>570</v>
      </c>
      <c r="D22" s="883"/>
      <c r="E22" s="881">
        <v>0.5</v>
      </c>
      <c r="F22" s="884"/>
      <c r="G22" s="885"/>
      <c r="H22" s="877"/>
      <c r="I22" s="877"/>
    </row>
    <row r="23" spans="1:9" s="886" customFormat="1" ht="19.5" customHeight="1">
      <c r="A23" s="3327" t="s">
        <v>184</v>
      </c>
      <c r="B23" s="881" t="s">
        <v>560</v>
      </c>
      <c r="C23" s="882" t="s">
        <v>571</v>
      </c>
      <c r="D23" s="883"/>
      <c r="E23" s="881">
        <v>1</v>
      </c>
      <c r="F23" s="884" t="s">
        <v>572</v>
      </c>
      <c r="G23" s="885"/>
      <c r="H23" s="877"/>
      <c r="I23" s="877"/>
    </row>
    <row r="24" spans="1:9" s="886" customFormat="1" ht="19.5" customHeight="1">
      <c r="A24" s="3327"/>
      <c r="B24" s="3327" t="s">
        <v>563</v>
      </c>
      <c r="C24" s="882" t="s">
        <v>573</v>
      </c>
      <c r="D24" s="883"/>
      <c r="E24" s="881">
        <v>0.5</v>
      </c>
      <c r="F24" s="884"/>
      <c r="G24" s="885"/>
      <c r="H24" s="877"/>
      <c r="I24" s="877"/>
    </row>
    <row r="25" spans="1:9" s="886" customFormat="1" ht="19.5" customHeight="1">
      <c r="A25" s="3327"/>
      <c r="B25" s="3327"/>
      <c r="C25" s="882" t="s">
        <v>574</v>
      </c>
      <c r="D25" s="883"/>
      <c r="E25" s="881">
        <v>1.1000000000000001</v>
      </c>
      <c r="F25" s="884"/>
      <c r="G25" s="885"/>
      <c r="H25" s="877"/>
      <c r="I25" s="877"/>
    </row>
    <row r="26" spans="1:9" s="886" customFormat="1" ht="19.5" customHeight="1">
      <c r="A26" s="3327"/>
      <c r="B26" s="3327"/>
      <c r="C26" s="882" t="s">
        <v>575</v>
      </c>
      <c r="D26" s="883"/>
      <c r="E26" s="881">
        <v>1.1000000000000001</v>
      </c>
      <c r="F26" s="884"/>
      <c r="G26" s="885"/>
      <c r="H26" s="877"/>
      <c r="I26" s="877"/>
    </row>
    <row r="27" spans="1:9" s="886" customFormat="1" ht="19.5" customHeight="1">
      <c r="A27" s="3327"/>
      <c r="B27" s="3327"/>
      <c r="C27" s="882" t="s">
        <v>576</v>
      </c>
      <c r="D27" s="883"/>
      <c r="E27" s="881">
        <v>0.9</v>
      </c>
      <c r="F27" s="884" t="s">
        <v>577</v>
      </c>
      <c r="G27" s="885"/>
      <c r="H27" s="877"/>
      <c r="I27" s="877"/>
    </row>
    <row r="28" spans="1:9" s="886" customFormat="1" ht="19.5" customHeight="1">
      <c r="A28" s="3327"/>
      <c r="B28" s="3327"/>
      <c r="C28" s="882" t="s">
        <v>578</v>
      </c>
      <c r="D28" s="883"/>
      <c r="E28" s="881">
        <v>0.9</v>
      </c>
      <c r="F28" s="884" t="s">
        <v>579</v>
      </c>
      <c r="G28" s="885"/>
      <c r="H28" s="877"/>
      <c r="I28" s="877"/>
    </row>
    <row r="29" spans="1:9" s="886" customFormat="1" ht="19.5" customHeight="1">
      <c r="A29" s="3327"/>
      <c r="B29" s="3327"/>
      <c r="C29" s="882" t="s">
        <v>580</v>
      </c>
      <c r="D29" s="883"/>
      <c r="E29" s="881">
        <v>0.9</v>
      </c>
      <c r="F29" s="884" t="s">
        <v>581</v>
      </c>
      <c r="G29" s="885"/>
      <c r="H29" s="877"/>
      <c r="I29" s="877"/>
    </row>
    <row r="30" spans="1:9" s="886" customFormat="1" ht="19.5" customHeight="1">
      <c r="A30" s="3327"/>
      <c r="B30" s="3327"/>
      <c r="C30" s="882" t="s">
        <v>582</v>
      </c>
      <c r="D30" s="883"/>
      <c r="E30" s="881">
        <v>0.9</v>
      </c>
      <c r="F30" s="884" t="s">
        <v>583</v>
      </c>
      <c r="G30" s="885"/>
      <c r="H30" s="877"/>
      <c r="I30" s="877"/>
    </row>
    <row r="31" spans="1:9" s="886" customFormat="1" ht="19.5" customHeight="1">
      <c r="A31" s="3327"/>
      <c r="B31" s="3327"/>
      <c r="C31" s="882" t="s">
        <v>584</v>
      </c>
      <c r="D31" s="883"/>
      <c r="E31" s="881">
        <v>0.8</v>
      </c>
      <c r="F31" s="884" t="s">
        <v>585</v>
      </c>
      <c r="G31" s="885"/>
      <c r="H31" s="877"/>
      <c r="I31" s="877"/>
    </row>
    <row r="32" spans="1:9" s="886" customFormat="1" ht="19.5" customHeight="1">
      <c r="A32" s="3327"/>
      <c r="B32" s="3327"/>
      <c r="C32" s="882" t="s">
        <v>586</v>
      </c>
      <c r="D32" s="883"/>
      <c r="E32" s="881">
        <v>0.8</v>
      </c>
      <c r="F32" s="884" t="s">
        <v>587</v>
      </c>
      <c r="G32" s="885"/>
      <c r="H32" s="877"/>
      <c r="I32" s="877"/>
    </row>
    <row r="33" spans="1:9" s="886" customFormat="1" ht="19.5" customHeight="1">
      <c r="A33" s="3327" t="s">
        <v>185</v>
      </c>
      <c r="B33" s="881" t="s">
        <v>560</v>
      </c>
      <c r="C33" s="882" t="s">
        <v>588</v>
      </c>
      <c r="D33" s="883"/>
      <c r="E33" s="881">
        <v>1</v>
      </c>
      <c r="F33" s="884" t="s">
        <v>589</v>
      </c>
      <c r="G33" s="885"/>
      <c r="H33" s="877"/>
      <c r="I33" s="877"/>
    </row>
    <row r="34" spans="1:9" s="886" customFormat="1" ht="19.5" customHeight="1">
      <c r="A34" s="3327"/>
      <c r="B34" s="881" t="s">
        <v>563</v>
      </c>
      <c r="C34" s="882" t="s">
        <v>590</v>
      </c>
      <c r="D34" s="883"/>
      <c r="E34" s="881">
        <v>1.5</v>
      </c>
      <c r="F34" s="884" t="s">
        <v>591</v>
      </c>
      <c r="G34" s="885"/>
      <c r="H34" s="877"/>
      <c r="I34" s="877"/>
    </row>
    <row r="35" spans="1:9" s="886" customFormat="1" ht="19.5" customHeight="1">
      <c r="A35" s="3327" t="s">
        <v>186</v>
      </c>
      <c r="B35" s="881" t="s">
        <v>560</v>
      </c>
      <c r="C35" s="882" t="s">
        <v>592</v>
      </c>
      <c r="D35" s="883"/>
      <c r="E35" s="881">
        <v>1</v>
      </c>
      <c r="F35" s="884" t="s">
        <v>593</v>
      </c>
      <c r="G35" s="885"/>
      <c r="H35" s="877"/>
      <c r="I35" s="877"/>
    </row>
    <row r="36" spans="1:9" s="886" customFormat="1" ht="19.5" customHeight="1">
      <c r="A36" s="3327"/>
      <c r="B36" s="3327" t="s">
        <v>563</v>
      </c>
      <c r="C36" s="882" t="s">
        <v>594</v>
      </c>
      <c r="D36" s="883"/>
      <c r="E36" s="881">
        <v>1</v>
      </c>
      <c r="F36" s="884" t="s">
        <v>595</v>
      </c>
      <c r="G36" s="885"/>
      <c r="H36" s="877"/>
      <c r="I36" s="877"/>
    </row>
    <row r="37" spans="1:9" s="886" customFormat="1" ht="19.5" customHeight="1">
      <c r="A37" s="3327"/>
      <c r="B37" s="3327"/>
      <c r="C37" s="882" t="s">
        <v>596</v>
      </c>
      <c r="D37" s="883"/>
      <c r="E37" s="881">
        <v>1.5</v>
      </c>
      <c r="F37" s="884" t="s">
        <v>597</v>
      </c>
      <c r="G37" s="885"/>
      <c r="H37" s="877"/>
      <c r="I37" s="877"/>
    </row>
    <row r="38" spans="1:9" s="886" customFormat="1" ht="19.5" customHeight="1">
      <c r="A38" s="3327"/>
      <c r="B38" s="3327"/>
      <c r="C38" s="882" t="s">
        <v>598</v>
      </c>
      <c r="D38" s="883"/>
      <c r="E38" s="881">
        <v>1</v>
      </c>
      <c r="F38" s="884" t="s">
        <v>599</v>
      </c>
      <c r="G38" s="885"/>
      <c r="H38" s="877"/>
      <c r="I38" s="877"/>
    </row>
    <row r="39" spans="1:9" s="886" customFormat="1" ht="19.5" customHeight="1">
      <c r="A39" s="3327"/>
      <c r="B39" s="332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7" t="s">
        <v>614</v>
      </c>
      <c r="C61" s="817" t="s">
        <v>615</v>
      </c>
      <c r="D61" s="817" t="s">
        <v>616</v>
      </c>
      <c r="E61" s="894">
        <v>0.5</v>
      </c>
      <c r="F61" s="881">
        <v>80</v>
      </c>
    </row>
    <row r="62" spans="1:8" s="877" customFormat="1" ht="24">
      <c r="A62" s="881">
        <v>2</v>
      </c>
      <c r="B62" s="3327"/>
      <c r="C62" s="817" t="s">
        <v>617</v>
      </c>
      <c r="D62" s="817" t="s">
        <v>618</v>
      </c>
      <c r="E62" s="894">
        <v>0.5</v>
      </c>
      <c r="F62" s="881">
        <v>80</v>
      </c>
    </row>
    <row r="63" spans="1:8" s="877" customFormat="1" ht="36">
      <c r="A63" s="881">
        <v>3</v>
      </c>
      <c r="B63" s="3327"/>
      <c r="C63" s="817" t="s">
        <v>619</v>
      </c>
      <c r="D63" s="817" t="s">
        <v>620</v>
      </c>
      <c r="E63" s="894">
        <v>0.5</v>
      </c>
      <c r="F63" s="881">
        <v>80</v>
      </c>
    </row>
    <row r="64" spans="1:8" s="877" customFormat="1" ht="36">
      <c r="A64" s="881">
        <v>4</v>
      </c>
      <c r="B64" s="3327"/>
      <c r="C64" s="817" t="s">
        <v>621</v>
      </c>
      <c r="D64" s="817" t="s">
        <v>622</v>
      </c>
      <c r="E64" s="894">
        <v>0.4</v>
      </c>
      <c r="F64" s="881">
        <v>60</v>
      </c>
    </row>
    <row r="65" spans="1:6" s="877" customFormat="1" ht="36">
      <c r="A65" s="881">
        <v>5</v>
      </c>
      <c r="B65" s="3327"/>
      <c r="C65" s="817" t="s">
        <v>623</v>
      </c>
      <c r="D65" s="817" t="s">
        <v>624</v>
      </c>
      <c r="E65" s="894">
        <v>0.2</v>
      </c>
      <c r="F65" s="881">
        <v>30</v>
      </c>
    </row>
    <row r="66" spans="1:6" s="877" customFormat="1" ht="36">
      <c r="A66" s="881">
        <v>6</v>
      </c>
      <c r="B66" s="3327"/>
      <c r="C66" s="817" t="s">
        <v>625</v>
      </c>
      <c r="D66" s="817" t="s">
        <v>626</v>
      </c>
      <c r="E66" s="894">
        <v>0.3</v>
      </c>
      <c r="F66" s="881">
        <v>50</v>
      </c>
    </row>
    <row r="67" spans="1:6" s="877" customFormat="1" ht="36">
      <c r="A67" s="881">
        <v>7</v>
      </c>
      <c r="B67" s="3327"/>
      <c r="C67" s="817" t="s">
        <v>627</v>
      </c>
      <c r="D67" s="817" t="s">
        <v>628</v>
      </c>
      <c r="E67" s="894">
        <v>0.2</v>
      </c>
      <c r="F67" s="881">
        <v>30</v>
      </c>
    </row>
    <row r="68" spans="1:6" s="877" customFormat="1" ht="36">
      <c r="A68" s="881">
        <v>8</v>
      </c>
      <c r="B68" s="3327"/>
      <c r="C68" s="817" t="s">
        <v>629</v>
      </c>
      <c r="D68" s="817" t="s">
        <v>630</v>
      </c>
      <c r="E68" s="894">
        <v>0.2</v>
      </c>
      <c r="F68" s="881">
        <v>30</v>
      </c>
    </row>
    <row r="69" spans="1:6" s="877" customFormat="1" ht="36">
      <c r="A69" s="881">
        <v>9</v>
      </c>
      <c r="B69" s="3327"/>
      <c r="C69" s="817" t="s">
        <v>631</v>
      </c>
      <c r="D69" s="817" t="s">
        <v>632</v>
      </c>
      <c r="E69" s="894">
        <v>0.2</v>
      </c>
      <c r="F69" s="881">
        <v>30</v>
      </c>
    </row>
    <row r="70" spans="1:6" s="877" customFormat="1" ht="48">
      <c r="A70" s="881">
        <v>10</v>
      </c>
      <c r="B70" s="3327"/>
      <c r="C70" s="817" t="s">
        <v>633</v>
      </c>
      <c r="D70" s="817" t="s">
        <v>634</v>
      </c>
      <c r="E70" s="894">
        <v>0.2</v>
      </c>
      <c r="F70" s="881">
        <v>30</v>
      </c>
    </row>
    <row r="71" spans="1:6" s="877" customFormat="1" ht="48">
      <c r="A71" s="881">
        <v>11</v>
      </c>
      <c r="B71" s="3327"/>
      <c r="C71" s="817" t="s">
        <v>635</v>
      </c>
      <c r="D71" s="817" t="s">
        <v>636</v>
      </c>
      <c r="E71" s="894">
        <v>0.2</v>
      </c>
      <c r="F71" s="881">
        <v>30</v>
      </c>
    </row>
    <row r="72" spans="1:6" s="877" customFormat="1" ht="36">
      <c r="A72" s="881">
        <v>12</v>
      </c>
      <c r="B72" s="3327"/>
      <c r="C72" s="817" t="s">
        <v>637</v>
      </c>
      <c r="D72" s="817" t="s">
        <v>638</v>
      </c>
      <c r="E72" s="894">
        <v>0.5</v>
      </c>
      <c r="F72" s="881">
        <v>80</v>
      </c>
    </row>
    <row r="73" spans="1:6" s="877" customFormat="1" ht="24">
      <c r="A73" s="881">
        <v>13</v>
      </c>
      <c r="B73" s="3327"/>
      <c r="C73" s="817" t="s">
        <v>639</v>
      </c>
      <c r="D73" s="817" t="s">
        <v>640</v>
      </c>
      <c r="E73" s="894">
        <v>0.4</v>
      </c>
      <c r="F73" s="881">
        <v>60</v>
      </c>
    </row>
    <row r="74" spans="1:6" s="877" customFormat="1" ht="24">
      <c r="A74" s="881">
        <v>14</v>
      </c>
      <c r="B74" s="3327"/>
      <c r="C74" s="817" t="s">
        <v>641</v>
      </c>
      <c r="D74" s="817" t="s">
        <v>642</v>
      </c>
      <c r="E74" s="894">
        <v>0.2</v>
      </c>
      <c r="F74" s="881">
        <v>30</v>
      </c>
    </row>
    <row r="75" spans="1:6" s="877" customFormat="1" ht="24">
      <c r="A75" s="881">
        <v>15</v>
      </c>
      <c r="B75" s="3327"/>
      <c r="C75" s="817" t="s">
        <v>643</v>
      </c>
      <c r="D75" s="817" t="s">
        <v>644</v>
      </c>
      <c r="E75" s="894">
        <v>0.2</v>
      </c>
      <c r="F75" s="881">
        <v>30</v>
      </c>
    </row>
    <row r="76" spans="1:6" s="877" customFormat="1" ht="24">
      <c r="A76" s="881">
        <v>16</v>
      </c>
      <c r="B76" s="3327" t="s">
        <v>645</v>
      </c>
      <c r="C76" s="817" t="s">
        <v>646</v>
      </c>
      <c r="D76" s="817" t="s">
        <v>647</v>
      </c>
      <c r="E76" s="894">
        <v>0.5</v>
      </c>
      <c r="F76" s="881">
        <v>80</v>
      </c>
    </row>
    <row r="77" spans="1:6" s="877" customFormat="1" ht="24">
      <c r="A77" s="881">
        <v>17</v>
      </c>
      <c r="B77" s="3327"/>
      <c r="C77" s="817" t="s">
        <v>648</v>
      </c>
      <c r="D77" s="817" t="s">
        <v>649</v>
      </c>
      <c r="E77" s="894">
        <v>0.5</v>
      </c>
      <c r="F77" s="881">
        <v>80</v>
      </c>
    </row>
    <row r="78" spans="1:6" s="877" customFormat="1" ht="24">
      <c r="A78" s="881">
        <v>18</v>
      </c>
      <c r="B78" s="3327"/>
      <c r="C78" s="817" t="s">
        <v>650</v>
      </c>
      <c r="D78" s="817" t="s">
        <v>651</v>
      </c>
      <c r="E78" s="894">
        <v>0.2</v>
      </c>
      <c r="F78" s="881">
        <v>30</v>
      </c>
    </row>
    <row r="79" spans="1:6" s="877" customFormat="1" ht="24">
      <c r="A79" s="881">
        <v>19</v>
      </c>
      <c r="B79" s="3327"/>
      <c r="C79" s="817" t="s">
        <v>652</v>
      </c>
      <c r="D79" s="817" t="s">
        <v>653</v>
      </c>
      <c r="E79" s="894">
        <v>0.5</v>
      </c>
      <c r="F79" s="881">
        <v>80</v>
      </c>
    </row>
    <row r="80" spans="1:6" s="877" customFormat="1" ht="36">
      <c r="A80" s="881">
        <v>20</v>
      </c>
      <c r="B80" s="3327"/>
      <c r="C80" s="817" t="s">
        <v>654</v>
      </c>
      <c r="D80" s="817" t="s">
        <v>655</v>
      </c>
      <c r="E80" s="894">
        <v>0.2</v>
      </c>
      <c r="F80" s="881">
        <v>30</v>
      </c>
    </row>
    <row r="81" spans="1:6" s="877" customFormat="1" ht="36">
      <c r="A81" s="881">
        <v>21</v>
      </c>
      <c r="B81" s="3327"/>
      <c r="C81" s="817" t="s">
        <v>656</v>
      </c>
      <c r="D81" s="817" t="s">
        <v>657</v>
      </c>
      <c r="E81" s="894">
        <v>0.2</v>
      </c>
      <c r="F81" s="881">
        <v>30</v>
      </c>
    </row>
    <row r="82" spans="1:6" s="877" customFormat="1" ht="48">
      <c r="A82" s="881">
        <v>22</v>
      </c>
      <c r="B82" s="3327"/>
      <c r="C82" s="817" t="s">
        <v>658</v>
      </c>
      <c r="D82" s="817" t="s">
        <v>659</v>
      </c>
      <c r="E82" s="894">
        <v>0.2</v>
      </c>
      <c r="F82" s="881">
        <v>30</v>
      </c>
    </row>
    <row r="83" spans="1:6" s="877" customFormat="1" ht="48">
      <c r="A83" s="881">
        <v>23</v>
      </c>
      <c r="B83" s="3327"/>
      <c r="C83" s="817" t="s">
        <v>660</v>
      </c>
      <c r="D83" s="817" t="s">
        <v>661</v>
      </c>
      <c r="E83" s="894">
        <v>0.2</v>
      </c>
      <c r="F83" s="881">
        <v>30</v>
      </c>
    </row>
    <row r="84" spans="1:6" s="877" customFormat="1" ht="36">
      <c r="A84" s="881">
        <v>24</v>
      </c>
      <c r="B84" s="3327"/>
      <c r="C84" s="817" t="s">
        <v>662</v>
      </c>
      <c r="D84" s="817" t="s">
        <v>663</v>
      </c>
      <c r="E84" s="894">
        <v>0.2</v>
      </c>
      <c r="F84" s="881">
        <v>30</v>
      </c>
    </row>
    <row r="85" spans="1:6" s="877" customFormat="1" ht="36">
      <c r="A85" s="881">
        <v>25</v>
      </c>
      <c r="B85" s="3327"/>
      <c r="C85" s="817" t="s">
        <v>664</v>
      </c>
      <c r="D85" s="817" t="s">
        <v>665</v>
      </c>
      <c r="E85" s="894">
        <v>0.5</v>
      </c>
      <c r="F85" s="881">
        <v>80</v>
      </c>
    </row>
    <row r="86" spans="1:6" s="877" customFormat="1" ht="36">
      <c r="A86" s="881">
        <v>26</v>
      </c>
      <c r="B86" s="3327"/>
      <c r="C86" s="817" t="s">
        <v>666</v>
      </c>
      <c r="D86" s="817" t="s">
        <v>667</v>
      </c>
      <c r="E86" s="894">
        <v>0.2</v>
      </c>
      <c r="F86" s="881">
        <v>30</v>
      </c>
    </row>
    <row r="87" spans="1:6" s="877" customFormat="1" ht="36">
      <c r="A87" s="881">
        <v>27</v>
      </c>
      <c r="B87" s="3327"/>
      <c r="C87" s="817" t="s">
        <v>668</v>
      </c>
      <c r="D87" s="817" t="s">
        <v>669</v>
      </c>
      <c r="E87" s="894">
        <v>0.2</v>
      </c>
      <c r="F87" s="881">
        <v>30</v>
      </c>
    </row>
    <row r="88" spans="1:6" s="877" customFormat="1" ht="36">
      <c r="A88" s="881">
        <v>28</v>
      </c>
      <c r="B88" s="3327"/>
      <c r="C88" s="817" t="s">
        <v>670</v>
      </c>
      <c r="D88" s="817" t="s">
        <v>671</v>
      </c>
      <c r="E88" s="894">
        <v>0.2</v>
      </c>
      <c r="F88" s="881">
        <v>30</v>
      </c>
    </row>
    <row r="89" spans="1:6" s="877" customFormat="1" ht="24">
      <c r="A89" s="881">
        <v>29</v>
      </c>
      <c r="B89" s="3327"/>
      <c r="C89" s="817" t="s">
        <v>672</v>
      </c>
      <c r="D89" s="817" t="s">
        <v>673</v>
      </c>
      <c r="E89" s="894">
        <v>0.2</v>
      </c>
      <c r="F89" s="881">
        <v>30</v>
      </c>
    </row>
    <row r="90" spans="1:6" s="877" customFormat="1" ht="24">
      <c r="A90" s="881">
        <v>30</v>
      </c>
      <c r="B90" s="3327"/>
      <c r="C90" s="817" t="s">
        <v>674</v>
      </c>
      <c r="D90" s="817" t="s">
        <v>675</v>
      </c>
      <c r="E90" s="894">
        <v>0.2</v>
      </c>
      <c r="F90" s="881">
        <v>30</v>
      </c>
    </row>
    <row r="91" spans="1:6" s="877" customFormat="1" ht="36">
      <c r="A91" s="881">
        <v>31</v>
      </c>
      <c r="B91" s="3327"/>
      <c r="C91" s="817" t="s">
        <v>676</v>
      </c>
      <c r="D91" s="817" t="s">
        <v>677</v>
      </c>
      <c r="E91" s="894">
        <v>0.2</v>
      </c>
      <c r="F91" s="881">
        <v>30</v>
      </c>
    </row>
    <row r="92" spans="1:6" s="877" customFormat="1" ht="24">
      <c r="A92" s="881">
        <v>32</v>
      </c>
      <c r="B92" s="3327" t="s">
        <v>678</v>
      </c>
      <c r="C92" s="881" t="s">
        <v>679</v>
      </c>
      <c r="D92" s="817" t="s">
        <v>680</v>
      </c>
      <c r="E92" s="894">
        <v>0.2</v>
      </c>
      <c r="F92" s="881">
        <v>30</v>
      </c>
    </row>
    <row r="93" spans="1:6" s="877" customFormat="1" ht="36">
      <c r="A93" s="881">
        <v>33</v>
      </c>
      <c r="B93" s="3327"/>
      <c r="C93" s="881" t="s">
        <v>681</v>
      </c>
      <c r="D93" s="817" t="s">
        <v>682</v>
      </c>
      <c r="E93" s="894">
        <v>0.2</v>
      </c>
      <c r="F93" s="881">
        <v>30</v>
      </c>
    </row>
    <row r="94" spans="1:6" s="877" customFormat="1" ht="48">
      <c r="A94" s="881">
        <v>34</v>
      </c>
      <c r="B94" s="3327"/>
      <c r="C94" s="881" t="s">
        <v>683</v>
      </c>
      <c r="D94" s="817" t="s">
        <v>684</v>
      </c>
      <c r="E94" s="894">
        <v>0.2</v>
      </c>
      <c r="F94" s="881">
        <v>30</v>
      </c>
    </row>
    <row r="95" spans="1:6" s="877" customFormat="1" ht="36">
      <c r="A95" s="881">
        <v>35</v>
      </c>
      <c r="B95" s="3327"/>
      <c r="C95" s="881" t="s">
        <v>685</v>
      </c>
      <c r="D95" s="817" t="s">
        <v>686</v>
      </c>
      <c r="E95" s="894">
        <v>0.2</v>
      </c>
      <c r="F95" s="881">
        <v>30</v>
      </c>
    </row>
    <row r="96" spans="1:6" s="877" customFormat="1" ht="48">
      <c r="A96" s="881">
        <v>36</v>
      </c>
      <c r="B96" s="3327"/>
      <c r="C96" s="817" t="s">
        <v>687</v>
      </c>
      <c r="D96" s="817" t="s">
        <v>688</v>
      </c>
      <c r="E96" s="894">
        <v>0.2</v>
      </c>
      <c r="F96" s="881">
        <v>30</v>
      </c>
    </row>
    <row r="97" spans="1:6" s="877" customFormat="1" ht="36">
      <c r="A97" s="881">
        <v>37</v>
      </c>
      <c r="B97" s="3327"/>
      <c r="C97" s="881" t="s">
        <v>689</v>
      </c>
      <c r="D97" s="817" t="s">
        <v>690</v>
      </c>
      <c r="E97" s="894">
        <v>0.2</v>
      </c>
      <c r="F97" s="881">
        <v>30</v>
      </c>
    </row>
    <row r="98" spans="1:6" s="877" customFormat="1" ht="36">
      <c r="A98" s="881">
        <v>38</v>
      </c>
      <c r="B98" s="3327"/>
      <c r="C98" s="881" t="s">
        <v>691</v>
      </c>
      <c r="D98" s="817" t="s">
        <v>692</v>
      </c>
      <c r="E98" s="894">
        <v>0.2</v>
      </c>
      <c r="F98" s="881">
        <v>30</v>
      </c>
    </row>
    <row r="99" spans="1:6" s="877" customFormat="1" ht="36">
      <c r="A99" s="881">
        <v>39</v>
      </c>
      <c r="B99" s="3327" t="s">
        <v>693</v>
      </c>
      <c r="C99" s="881" t="s">
        <v>694</v>
      </c>
      <c r="D99" s="817" t="s">
        <v>695</v>
      </c>
      <c r="E99" s="894">
        <v>0.3</v>
      </c>
      <c r="F99" s="881">
        <v>50</v>
      </c>
    </row>
    <row r="100" spans="1:6" s="877" customFormat="1" ht="24">
      <c r="A100" s="881">
        <v>40</v>
      </c>
      <c r="B100" s="3327"/>
      <c r="C100" s="881" t="s">
        <v>696</v>
      </c>
      <c r="D100" s="817" t="s">
        <v>697</v>
      </c>
      <c r="E100" s="894">
        <v>0.2</v>
      </c>
      <c r="F100" s="881">
        <v>30</v>
      </c>
    </row>
    <row r="101" spans="1:6" s="877" customFormat="1" ht="36">
      <c r="A101" s="881">
        <v>41</v>
      </c>
      <c r="B101" s="332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7" t="s">
        <v>708</v>
      </c>
      <c r="C105" s="881" t="s">
        <v>709</v>
      </c>
      <c r="D105" s="817" t="s">
        <v>710</v>
      </c>
      <c r="E105" s="894">
        <v>0.2</v>
      </c>
      <c r="F105" s="881">
        <v>30</v>
      </c>
    </row>
    <row r="106" spans="1:6" s="877" customFormat="1" ht="36">
      <c r="A106" s="881">
        <v>46</v>
      </c>
      <c r="B106" s="3327"/>
      <c r="C106" s="881" t="s">
        <v>711</v>
      </c>
      <c r="D106" s="817" t="s">
        <v>712</v>
      </c>
      <c r="E106" s="894">
        <v>0.2</v>
      </c>
      <c r="F106" s="881">
        <v>30</v>
      </c>
    </row>
    <row r="107" spans="1:6" s="877" customFormat="1" ht="36">
      <c r="A107" s="881">
        <v>47</v>
      </c>
      <c r="B107" s="3327" t="s">
        <v>713</v>
      </c>
      <c r="C107" s="881" t="s">
        <v>714</v>
      </c>
      <c r="D107" s="817" t="s">
        <v>715</v>
      </c>
      <c r="E107" s="894">
        <v>0.3</v>
      </c>
      <c r="F107" s="881">
        <v>50</v>
      </c>
    </row>
    <row r="108" spans="1:6" s="877" customFormat="1" ht="36">
      <c r="A108" s="881">
        <v>48</v>
      </c>
      <c r="B108" s="332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7" t="s">
        <v>724</v>
      </c>
      <c r="C111" s="881" t="s">
        <v>725</v>
      </c>
      <c r="D111" s="817" t="s">
        <v>726</v>
      </c>
      <c r="E111" s="894">
        <v>0.2</v>
      </c>
      <c r="F111" s="881">
        <v>30</v>
      </c>
    </row>
    <row r="112" spans="1:6" s="877" customFormat="1" ht="24">
      <c r="A112" s="881">
        <v>52</v>
      </c>
      <c r="B112" s="3327"/>
      <c r="C112" s="881" t="s">
        <v>727</v>
      </c>
      <c r="D112" s="817" t="s">
        <v>728</v>
      </c>
      <c r="E112" s="894">
        <v>0.2</v>
      </c>
      <c r="F112" s="881">
        <v>30</v>
      </c>
    </row>
    <row r="113" spans="1:6" s="877" customFormat="1" ht="24">
      <c r="A113" s="881">
        <v>53</v>
      </c>
      <c r="B113" s="332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7" t="s">
        <v>737</v>
      </c>
      <c r="C116" s="881" t="s">
        <v>738</v>
      </c>
      <c r="D116" s="817" t="s">
        <v>739</v>
      </c>
      <c r="E116" s="894">
        <v>0.2</v>
      </c>
      <c r="F116" s="881">
        <v>30</v>
      </c>
    </row>
    <row r="117" spans="1:6" ht="36">
      <c r="A117" s="881">
        <v>57</v>
      </c>
      <c r="B117" s="332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1.2079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2999</v>
      </c>
    </row>
    <row r="2" spans="1:5" ht="15.75">
      <c r="A2" s="2901" t="s">
        <v>2991</v>
      </c>
      <c r="B2" s="2902">
        <f ca="1">SUMIF(B6:B13,"&lt;&gt;#ref!",B6:B13)</f>
        <v>1831</v>
      </c>
      <c r="C2" s="2901" t="s">
        <v>2992</v>
      </c>
      <c r="D2" s="2901" t="s">
        <v>2993</v>
      </c>
      <c r="E2" s="2902">
        <f ca="1">SUMIF(E6:E13,"&lt;&gt;#ref!",E6:E13)</f>
        <v>9251.5400000000009</v>
      </c>
    </row>
    <row r="3" spans="1:5" ht="15.75">
      <c r="A3" s="2901" t="s">
        <v>2994</v>
      </c>
      <c r="B3" s="2902">
        <f ca="1">ROUND(B2*10000/E2,0)</f>
        <v>1979</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1831</v>
      </c>
      <c r="C6" s="2901" t="s">
        <v>2992</v>
      </c>
      <c r="D6" s="2903"/>
      <c r="E6" s="2574">
        <f ca="1">SUMIF(INDIRECT("'"&amp;A6&amp;"'"&amp;"!C:C"),"建筑面积",INDIRECT("'"&amp;A6&amp;"'"&amp;"!D:D"))</f>
        <v>9251.5400000000009</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3" t="s">
        <v>1145</v>
      </c>
      <c r="C1" s="3333"/>
      <c r="D1" s="3333"/>
      <c r="E1" s="3333"/>
      <c r="F1" s="3333"/>
      <c r="G1" s="3329" t="s">
        <v>1146</v>
      </c>
      <c r="H1" s="3329"/>
      <c r="I1" s="3329"/>
      <c r="J1" s="3329"/>
      <c r="K1" s="3329"/>
      <c r="L1" s="3329"/>
      <c r="N1" s="3329" t="s">
        <v>1147</v>
      </c>
      <c r="O1" s="3329"/>
      <c r="P1" s="3329"/>
      <c r="Q1" s="3329"/>
      <c r="R1" s="1445"/>
      <c r="S1" s="3329" t="s">
        <v>1148</v>
      </c>
      <c r="T1" s="3329"/>
      <c r="U1" s="3329"/>
      <c r="V1" s="3329"/>
      <c r="X1" s="3328" t="s">
        <v>1149</v>
      </c>
      <c r="Y1" s="3329"/>
      <c r="Z1" s="3329"/>
      <c r="AA1" s="3329"/>
      <c r="AB1" s="3329"/>
      <c r="AD1" s="3328" t="s">
        <v>1150</v>
      </c>
      <c r="AE1" s="3329"/>
      <c r="AF1" s="3329"/>
      <c r="AG1" s="3329"/>
      <c r="AH1" s="3329"/>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7" customFormat="1" ht="14.25">
      <c r="A3" s="2926" t="s">
        <v>3034</v>
      </c>
      <c r="B3" s="2918"/>
      <c r="C3" s="2918"/>
      <c r="D3" s="2919"/>
      <c r="E3" s="2919"/>
      <c r="F3" s="2918"/>
      <c r="G3" s="2920"/>
      <c r="H3" s="2921"/>
      <c r="I3" s="2922">
        <f>ROUND(AVERAGE($I4:$I30),2)</f>
        <v>1.85</v>
      </c>
      <c r="J3" s="2922">
        <f>ROUND(AVERAGE($J4:$J30),2)</f>
        <v>1.29</v>
      </c>
      <c r="K3" s="2922">
        <f>ROUND(AVERAGE($K4:$K30),2)</f>
        <v>2.02</v>
      </c>
      <c r="L3" s="2922">
        <f>ROUND(AVERAGE($L4:$L30),2)</f>
        <v>1.29</v>
      </c>
      <c r="N3" s="2920"/>
      <c r="O3" s="2923"/>
      <c r="P3" s="2923"/>
      <c r="Q3" s="2923"/>
      <c r="R3" s="2923"/>
      <c r="S3" s="2920"/>
      <c r="T3" s="2923"/>
      <c r="U3" s="2923"/>
      <c r="V3" s="2923"/>
      <c r="W3" s="2915"/>
      <c r="X3" s="2924">
        <f>ROUND(SUMPRODUCT(PRODUCT(1+N3:N$29)),4)</f>
        <v>1.5586</v>
      </c>
      <c r="Y3" s="2924">
        <f>ROUND(SUMPRODUCT(PRODUCT(1+O3:O$29)),4)</f>
        <v>1.3633</v>
      </c>
      <c r="Z3" s="2924">
        <f t="shared" ref="Z3:Z27" si="0">Y3</f>
        <v>1.3633</v>
      </c>
      <c r="AA3" s="2924">
        <f>ROUND(SUMPRODUCT(PRODUCT(1+P3:P$29)),4)</f>
        <v>1.6221000000000001</v>
      </c>
      <c r="AB3" s="2924">
        <f>ROUND(SUMPRODUCT(PRODUCT(1+Q3:Q$29)),4)</f>
        <v>1.3777999999999999</v>
      </c>
      <c r="AD3" s="2925">
        <f>ROUND(AVERAGE(I3:I$30)/100,4)</f>
        <v>1.8499999999999999E-2</v>
      </c>
      <c r="AE3" s="2925">
        <f>ROUND(AVERAGE(J3:J$30)/100,4)</f>
        <v>1.29E-2</v>
      </c>
      <c r="AF3" s="2925">
        <f t="shared" ref="AF3:AF28" si="1">AE3</f>
        <v>1.29E-2</v>
      </c>
      <c r="AG3" s="2925">
        <f>ROUND(AVERAGE(K3:K$30)/100,4)</f>
        <v>2.0199999999999999E-2</v>
      </c>
      <c r="AH3" s="2925">
        <f>ROUND(AVERAGE(L3:L$30)/100,4)</f>
        <v>1.29E-2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3054</v>
      </c>
      <c r="B5" s="1790">
        <f t="shared" ref="B5" si="2">B6*(1+N5)</f>
        <v>479.34737379023579</v>
      </c>
      <c r="C5" s="1790">
        <f t="shared" ref="C5" si="3">C6*(1+O5)</f>
        <v>351.4265287986122</v>
      </c>
      <c r="D5" s="1790">
        <f t="shared" ref="D5" si="4">C5</f>
        <v>351.4265287986122</v>
      </c>
      <c r="E5" s="1790">
        <f t="shared" ref="E5" si="5">E6*(1+P5)</f>
        <v>685.98209703803116</v>
      </c>
      <c r="F5" s="1790">
        <f t="shared" ref="F5" si="6">F6*(1+Q5)</f>
        <v>316.78315206651001</v>
      </c>
      <c r="G5" s="2952">
        <v>2020</v>
      </c>
      <c r="H5" s="1729">
        <v>2</v>
      </c>
      <c r="I5" s="2913">
        <v>0</v>
      </c>
      <c r="J5" s="2913">
        <v>0</v>
      </c>
      <c r="K5" s="2913">
        <v>0</v>
      </c>
      <c r="L5" s="2913">
        <v>0</v>
      </c>
      <c r="N5" s="1466">
        <f t="shared" ref="N5" si="7">I5/100</f>
        <v>0</v>
      </c>
      <c r="O5" s="1466">
        <f t="shared" ref="O5" si="8">J5/100</f>
        <v>0</v>
      </c>
      <c r="P5" s="1466">
        <f t="shared" ref="P5" si="9">K5/100</f>
        <v>0</v>
      </c>
      <c r="Q5" s="1466">
        <f t="shared" ref="Q5" si="10">L5/100</f>
        <v>0</v>
      </c>
      <c r="R5" s="1731"/>
      <c r="S5" s="1732"/>
      <c r="T5" s="1731"/>
      <c r="U5" s="1731"/>
      <c r="V5" s="1731"/>
      <c r="W5" s="2916" t="s">
        <v>3035</v>
      </c>
      <c r="X5" s="1725">
        <f>ROUND(IF(项目基本情况!B8="出让",SUMPRODUCT(PRODUCT(1+N5:N$30)),SUMPRODUCT(PRODUCT(1+N5:N$29))),4)</f>
        <v>1.5586</v>
      </c>
      <c r="Y5" s="1725">
        <f>ROUND(IF(项目基本情况!B8="出让",SUMPRODUCT(PRODUCT(1+O5:O$30)),SUMPRODUCT(PRODUCT(1+O5:O$29))),4)</f>
        <v>1.3633</v>
      </c>
      <c r="Z5" s="1725">
        <f t="shared" ref="Z5" si="11">Y5</f>
        <v>1.3633</v>
      </c>
      <c r="AA5" s="1725">
        <f>ROUND(IF(项目基本情况!B8="出让",SUMPRODUCT(PRODUCT(1+P5:P$30)),SUMPRODUCT(PRODUCT(1+P5:P$29))),4)</f>
        <v>1.6221000000000001</v>
      </c>
      <c r="AB5" s="1725">
        <f>ROUND(IF(项目基本情况!B8="出让",SUMPRODUCT(PRODUCT(1+Q5:Q$30)),SUMPRODUCT(PRODUCT(1+Q5:Q$29))),4)</f>
        <v>1.3777999999999999</v>
      </c>
      <c r="AD5" s="1467">
        <f>ROUND(AVERAGE(I5:I$30)/100,4)</f>
        <v>1.8499999999999999E-2</v>
      </c>
      <c r="AE5" s="1467">
        <f>ROUND(AVERAGE(J5:J$30)/100,4)</f>
        <v>1.29E-2</v>
      </c>
      <c r="AF5" s="1467">
        <f t="shared" ref="AF5" si="12">AE5</f>
        <v>1.29E-2</v>
      </c>
      <c r="AG5" s="1467">
        <f>ROUND(AVERAGE(K5:K$30)/100,4)</f>
        <v>2.0199999999999999E-2</v>
      </c>
      <c r="AH5" s="1467">
        <f>ROUND(AVERAGE(L5:L$30)/100,4)</f>
        <v>1.29E-2</v>
      </c>
    </row>
    <row r="6" spans="1:34" s="1465" customFormat="1">
      <c r="A6" s="1460" t="s">
        <v>3053</v>
      </c>
      <c r="B6" s="1476">
        <f t="shared" ref="B6" si="13">B7*(1+N6)</f>
        <v>479.34737379023579</v>
      </c>
      <c r="C6" s="1476">
        <f t="shared" ref="C6" si="14">C7*(1+O6)</f>
        <v>351.4265287986122</v>
      </c>
      <c r="D6" s="1476">
        <f t="shared" ref="D6" si="15">C6</f>
        <v>351.4265287986122</v>
      </c>
      <c r="E6" s="1476">
        <f t="shared" ref="E6" si="16">E7*(1+P6)</f>
        <v>685.98209703803116</v>
      </c>
      <c r="F6" s="1476">
        <f t="shared" ref="F6" si="17">F7*(1+Q6)</f>
        <v>316.78315206651001</v>
      </c>
      <c r="G6" s="2952">
        <v>2020</v>
      </c>
      <c r="H6" s="1463">
        <v>1</v>
      </c>
      <c r="I6" s="1463">
        <v>0</v>
      </c>
      <c r="J6" s="1463">
        <v>0</v>
      </c>
      <c r="K6" s="1463">
        <v>0</v>
      </c>
      <c r="L6" s="1477">
        <v>0</v>
      </c>
      <c r="M6" s="1470"/>
      <c r="N6" s="1471">
        <f t="shared" ref="N6"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ROUND(IF(项目基本情况!B8="出让",SUMPRODUCT(PRODUCT(1+N6:N$30)),SUMPRODUCT(PRODUCT(1+N6:N$29))),4)</f>
        <v>1.5586</v>
      </c>
      <c r="Y6" s="1787">
        <f>ROUND(IF(项目基本情况!B8="出让",SUMPRODUCT(PRODUCT(1+O6:O$30)),SUMPRODUCT(PRODUCT(1+O6:O$29))),4)</f>
        <v>1.3633</v>
      </c>
      <c r="Z6" s="1787">
        <f t="shared" ref="Z6" si="22">Y6</f>
        <v>1.3633</v>
      </c>
      <c r="AA6" s="1787">
        <f>ROUND(IF(项目基本情况!B8="出让",SUMPRODUCT(PRODUCT(1+P6:P$30)),SUMPRODUCT(PRODUCT(1+P6:P$29))),4)</f>
        <v>1.6221000000000001</v>
      </c>
      <c r="AB6" s="1787">
        <f>ROUND(IF(项目基本情况!B8="出让",SUMPRODUCT(PRODUCT(1+Q6:Q$30)),SUMPRODUCT(PRODUCT(1+Q6:Q$29))),4)</f>
        <v>1.3777999999999999</v>
      </c>
      <c r="AC6" s="1789"/>
      <c r="AD6" s="1788">
        <f>ROUND(AVERAGE(I6:I$30)/100,4)</f>
        <v>1.9199999999999998E-2</v>
      </c>
      <c r="AE6" s="1788">
        <f>ROUND(AVERAGE(J6:J$30)/100,4)</f>
        <v>1.34E-2</v>
      </c>
      <c r="AF6" s="1788">
        <f t="shared" ref="AF6" si="23">AE6</f>
        <v>1.34E-2</v>
      </c>
      <c r="AG6" s="1788">
        <f>ROUND(AVERAGE(K6:K$30)/100,4)</f>
        <v>2.1000000000000001E-2</v>
      </c>
      <c r="AH6" s="1788">
        <f>ROUND(AVERAGE(L6:L$30)/100,4)</f>
        <v>1.35E-2</v>
      </c>
    </row>
    <row r="7" spans="1:34" s="1465" customFormat="1">
      <c r="A7" s="1460" t="s">
        <v>3052</v>
      </c>
      <c r="B7" s="1476">
        <f t="shared" ref="B7" si="24">B8*(1+N7)</f>
        <v>479.34737379023579</v>
      </c>
      <c r="C7" s="1476">
        <f t="shared" ref="C7" si="25">C8*(1+O7)</f>
        <v>351.4265287986122</v>
      </c>
      <c r="D7" s="1476">
        <f t="shared" ref="D7" si="26">C7</f>
        <v>351.4265287986122</v>
      </c>
      <c r="E7" s="1476">
        <f t="shared" ref="E7" si="27">E8*(1+P7)</f>
        <v>685.98209703803116</v>
      </c>
      <c r="F7" s="1476">
        <f t="shared" ref="F7" si="28">F8*(1+Q7)</f>
        <v>316.78315206651001</v>
      </c>
      <c r="G7" s="2951">
        <v>2019</v>
      </c>
      <c r="H7" s="1463">
        <v>4</v>
      </c>
      <c r="I7" s="1463">
        <v>0.45</v>
      </c>
      <c r="J7" s="1463">
        <v>-0.12</v>
      </c>
      <c r="K7" s="1463">
        <v>0.54</v>
      </c>
      <c r="L7" s="1477">
        <v>0.48</v>
      </c>
      <c r="M7" s="1470"/>
      <c r="N7" s="1471">
        <f t="shared" ref="N7:N12" si="29">I7/100</f>
        <v>4.5000000000000005E-3</v>
      </c>
      <c r="O7" s="1472">
        <f t="shared" ref="O7" si="30">J7/100</f>
        <v>-1.1999999999999999E-3</v>
      </c>
      <c r="P7" s="1472">
        <f t="shared" ref="P7" si="31">K7/100</f>
        <v>5.4000000000000003E-3</v>
      </c>
      <c r="Q7" s="1472">
        <f t="shared" ref="Q7" si="32">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3">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4">AE7</f>
        <v>1.4E-2</v>
      </c>
      <c r="AG7" s="1788">
        <f>ROUND(AVERAGE(K7:K$30)/100,4)</f>
        <v>2.1899999999999999E-2</v>
      </c>
      <c r="AH7" s="1788">
        <f>ROUND(AVERAGE(L7:L$30)/100,4)</f>
        <v>1.4E-2</v>
      </c>
    </row>
    <row r="8" spans="1:34" s="1465" customFormat="1" ht="13.5" thickBot="1">
      <c r="A8" s="1460" t="s">
        <v>3048</v>
      </c>
      <c r="B8" s="1476">
        <f t="shared" ref="B8" si="35">B9*(1+N8)</f>
        <v>477.19997390765138</v>
      </c>
      <c r="C8" s="1476">
        <f t="shared" ref="C8" si="36">C9*(1+O8)</f>
        <v>351.84874729536665</v>
      </c>
      <c r="D8" s="1476">
        <f t="shared" ref="D8" si="37">C8</f>
        <v>351.84874729536665</v>
      </c>
      <c r="E8" s="1476">
        <f t="shared" ref="E8" si="38">E9*(1+P8)</f>
        <v>682.29768951465201</v>
      </c>
      <c r="F8" s="1476">
        <f t="shared" ref="F8" si="39">F9*(1+Q8)</f>
        <v>315.26985675409043</v>
      </c>
      <c r="G8" s="2950">
        <v>2019</v>
      </c>
      <c r="H8" s="1463">
        <v>3</v>
      </c>
      <c r="I8" s="1463">
        <v>0.61</v>
      </c>
      <c r="J8" s="1463">
        <v>0.67</v>
      </c>
      <c r="K8" s="1463">
        <v>0.6</v>
      </c>
      <c r="L8" s="1477">
        <v>1.03</v>
      </c>
      <c r="M8" s="1470"/>
      <c r="N8" s="1471">
        <f t="shared" si="29"/>
        <v>6.0999999999999995E-3</v>
      </c>
      <c r="O8" s="1472">
        <f t="shared" ref="O8" si="40">J8/100</f>
        <v>6.7000000000000002E-3</v>
      </c>
      <c r="P8" s="1472">
        <f t="shared" ref="P8" si="41">K8/100</f>
        <v>6.0000000000000001E-3</v>
      </c>
      <c r="Q8" s="1472">
        <f t="shared" ref="Q8" si="42">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3">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4">AE8</f>
        <v>1.47E-2</v>
      </c>
      <c r="AG8" s="1788">
        <f>ROUND(AVERAGE(K8:K$30)/100,4)</f>
        <v>2.2599999999999999E-2</v>
      </c>
      <c r="AH8" s="1788">
        <f>ROUND(AVERAGE(L8:L$30)/100,4)</f>
        <v>1.44E-2</v>
      </c>
    </row>
    <row r="9" spans="1:34" s="1465" customFormat="1">
      <c r="A9" s="1460" t="s">
        <v>3046</v>
      </c>
      <c r="B9" s="1476">
        <f t="shared" ref="B9" si="45">B10*(1+N9)</f>
        <v>474.30670301923408</v>
      </c>
      <c r="C9" s="1476">
        <f t="shared" ref="C9" si="46">C10*(1+O9)</f>
        <v>349.50705005996491</v>
      </c>
      <c r="D9" s="1476">
        <f t="shared" ref="D9" si="47">C9</f>
        <v>349.50705005996491</v>
      </c>
      <c r="E9" s="1476">
        <f t="shared" ref="E9" si="48">E10*(1+P9)</f>
        <v>678.22831959706957</v>
      </c>
      <c r="F9" s="1476">
        <f t="shared" ref="F9" si="49">F10*(1+Q9)</f>
        <v>312.0556832169558</v>
      </c>
      <c r="G9" s="2946">
        <v>2019</v>
      </c>
      <c r="H9" s="1461">
        <v>2</v>
      </c>
      <c r="I9" s="1461">
        <v>1.53</v>
      </c>
      <c r="J9" s="1461">
        <v>1.01</v>
      </c>
      <c r="K9" s="1461">
        <v>1.62</v>
      </c>
      <c r="L9" s="1462">
        <v>1.25</v>
      </c>
      <c r="M9" s="1470"/>
      <c r="N9" s="1471">
        <f t="shared" si="29"/>
        <v>1.5300000000000001E-2</v>
      </c>
      <c r="O9" s="1472">
        <f t="shared" ref="O9" si="50">J9/100</f>
        <v>1.01E-2</v>
      </c>
      <c r="P9" s="1472">
        <f t="shared" ref="P9" si="51">K9/100</f>
        <v>1.6200000000000003E-2</v>
      </c>
      <c r="Q9" s="1472">
        <f t="shared" ref="Q9" si="52">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3">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4">AE9</f>
        <v>1.4999999999999999E-2</v>
      </c>
      <c r="AG9" s="1788">
        <f>ROUND(AVERAGE(K9:K$30)/100,4)</f>
        <v>2.3300000000000001E-2</v>
      </c>
      <c r="AH9" s="1788">
        <f>ROUND(AVERAGE(L9:L$30)/100,4)</f>
        <v>1.46E-2</v>
      </c>
    </row>
    <row r="10" spans="1:34" s="1465" customFormat="1" ht="13.5" thickBot="1">
      <c r="A10" s="1460" t="s">
        <v>3044</v>
      </c>
      <c r="B10" s="1476">
        <f t="shared" ref="B10" si="55">B11*(1+N10)</f>
        <v>467.15916775261894</v>
      </c>
      <c r="C10" s="1476">
        <f t="shared" ref="C10" si="56">C11*(1+O10)</f>
        <v>346.01232557169084</v>
      </c>
      <c r="D10" s="1476">
        <f t="shared" ref="D10" si="57">C10</f>
        <v>346.01232557169084</v>
      </c>
      <c r="E10" s="1476">
        <f t="shared" ref="E10" si="58">E11*(1+P10)</f>
        <v>667.41617752122568</v>
      </c>
      <c r="F10" s="1476">
        <f t="shared" ref="F10" si="59">F11*(1+Q10)</f>
        <v>308.20314391798104</v>
      </c>
      <c r="G10" s="2930">
        <v>2019</v>
      </c>
      <c r="H10" s="1463">
        <v>1</v>
      </c>
      <c r="I10" s="1463">
        <v>0.6</v>
      </c>
      <c r="J10" s="1463">
        <v>0.37</v>
      </c>
      <c r="K10" s="1463">
        <v>0.63</v>
      </c>
      <c r="L10" s="1477">
        <v>1.1299999999999999</v>
      </c>
      <c r="M10" s="1470"/>
      <c r="N10" s="1471">
        <f t="shared" si="29"/>
        <v>6.0000000000000001E-3</v>
      </c>
      <c r="O10" s="1472">
        <f t="shared" ref="O10" si="60">J10/100</f>
        <v>3.7000000000000002E-3</v>
      </c>
      <c r="P10" s="1472">
        <f t="shared" ref="P10" si="61">K10/100</f>
        <v>6.3E-3</v>
      </c>
      <c r="Q10" s="1472">
        <f t="shared" ref="Q10" si="62">L10/100</f>
        <v>1.1299999999999999E-2</v>
      </c>
      <c r="R10" s="1473"/>
      <c r="S10" s="1471">
        <f>B10/B11-1</f>
        <v>6.0000000000000053E-3</v>
      </c>
      <c r="T10" s="1472">
        <f t="shared" ref="T10" si="63">C10/C11-1</f>
        <v>3.7000000000000366E-3</v>
      </c>
      <c r="U10" s="1472">
        <f t="shared" ref="U10" si="64">D10/D11-1</f>
        <v>3.7000000000000366E-3</v>
      </c>
      <c r="V10" s="1472">
        <f t="shared" ref="V10" si="65">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6">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67">AE10</f>
        <v>1.5299999999999999E-2</v>
      </c>
      <c r="AG10" s="1788">
        <f>ROUND(AVERAGE(K10:K$30)/100,4)</f>
        <v>2.3699999999999999E-2</v>
      </c>
      <c r="AH10" s="1788">
        <f>ROUND(AVERAGE(L10:L$30)/100,4)</f>
        <v>1.47E-2</v>
      </c>
    </row>
    <row r="11" spans="1:34" s="1465" customFormat="1">
      <c r="A11" s="1460" t="s">
        <v>3047</v>
      </c>
      <c r="B11" s="2947">
        <f t="shared" ref="B11" si="68">B12*(1+N11)</f>
        <v>464.37293017158942</v>
      </c>
      <c r="C11" s="2947">
        <f t="shared" ref="C11" si="69">C12*(1+O11)</f>
        <v>344.73679941385956</v>
      </c>
      <c r="D11" s="2947">
        <f t="shared" ref="D11" si="70">C11</f>
        <v>344.73679941385956</v>
      </c>
      <c r="E11" s="2947">
        <f t="shared" ref="E11" si="71">E12*(1+P11)</f>
        <v>663.2377795103107</v>
      </c>
      <c r="F11" s="2948">
        <f t="shared" ref="F11" si="72">F12*(1+Q11)</f>
        <v>304.75936311478398</v>
      </c>
      <c r="G11" s="3331">
        <v>2018</v>
      </c>
      <c r="H11" s="1461">
        <v>4</v>
      </c>
      <c r="I11" s="1461">
        <v>0.96</v>
      </c>
      <c r="J11" s="1461">
        <v>1.03</v>
      </c>
      <c r="K11" s="1461">
        <v>0.92</v>
      </c>
      <c r="L11" s="1462">
        <v>1.29</v>
      </c>
      <c r="M11" s="1470"/>
      <c r="N11" s="1471">
        <f t="shared" si="29"/>
        <v>9.5999999999999992E-3</v>
      </c>
      <c r="O11" s="1472">
        <f t="shared" ref="O11" si="73">J11/100</f>
        <v>1.03E-2</v>
      </c>
      <c r="P11" s="1472">
        <f t="shared" ref="P11" si="74">K11/100</f>
        <v>9.1999999999999998E-3</v>
      </c>
      <c r="Q11" s="1472">
        <f t="shared" ref="Q11" si="75">L11/100</f>
        <v>1.29E-2</v>
      </c>
      <c r="R11" s="1473"/>
      <c r="S11" s="1471"/>
      <c r="T11" s="1472"/>
      <c r="U11" s="1472"/>
      <c r="V11" s="1472"/>
      <c r="W11" s="1789"/>
      <c r="X11" s="1787">
        <f>ROUND(SUMPRODUCT(PRODUCT(1+N11:N$29)),4)</f>
        <v>1.5099</v>
      </c>
      <c r="Y11" s="1787">
        <f>ROUND(SUMPRODUCT(PRODUCT(1+O11:O$29)),4)</f>
        <v>1.3372999999999999</v>
      </c>
      <c r="Z11" s="1787">
        <f t="shared" ref="Z11" si="76">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77">AE11</f>
        <v>1.5800000000000002E-2</v>
      </c>
      <c r="AG11" s="1788">
        <f>ROUND(AVERAGE(K11:K$30)/100,4)</f>
        <v>2.4500000000000001E-2</v>
      </c>
      <c r="AH11" s="1788">
        <f>ROUND(AVERAGE(L11:L$30)/100,4)</f>
        <v>1.49E-2</v>
      </c>
    </row>
    <row r="12" spans="1:34" s="1465" customFormat="1" ht="14.45" customHeight="1">
      <c r="A12" s="1460" t="s">
        <v>3041</v>
      </c>
      <c r="B12" s="1476">
        <f t="shared" ref="B12" si="78">B13*(1+N12)</f>
        <v>459.95733971036987</v>
      </c>
      <c r="C12" s="1476">
        <f t="shared" ref="C12" si="79">C13*(1+O12)</f>
        <v>341.22221064422405</v>
      </c>
      <c r="D12" s="1476">
        <f t="shared" ref="D12" si="80">C12</f>
        <v>341.22221064422405</v>
      </c>
      <c r="E12" s="1476">
        <f t="shared" ref="E12" si="81">E13*(1+P12)</f>
        <v>657.19161663724799</v>
      </c>
      <c r="F12" s="1476">
        <f t="shared" ref="F12" si="82">F13*(1+Q12)</f>
        <v>300.87803644464805</v>
      </c>
      <c r="G12" s="3331"/>
      <c r="H12" s="1463">
        <v>3</v>
      </c>
      <c r="I12" s="1463">
        <v>1.51</v>
      </c>
      <c r="J12" s="1463">
        <v>1.41</v>
      </c>
      <c r="K12" s="1463">
        <v>1.52</v>
      </c>
      <c r="L12" s="1477">
        <v>1.74</v>
      </c>
      <c r="M12" s="1470"/>
      <c r="N12" s="1471">
        <f t="shared" si="29"/>
        <v>1.5100000000000001E-2</v>
      </c>
      <c r="O12" s="1472">
        <f t="shared" ref="O12" si="83">J12/100</f>
        <v>1.41E-2</v>
      </c>
      <c r="P12" s="1472">
        <f t="shared" ref="P12" si="84">K12/100</f>
        <v>1.52E-2</v>
      </c>
      <c r="Q12" s="1472">
        <f t="shared" ref="Q12" si="85">L12/100</f>
        <v>1.7399999999999999E-2</v>
      </c>
      <c r="R12" s="1473"/>
      <c r="S12" s="1471"/>
      <c r="T12" s="1472"/>
      <c r="U12" s="1472"/>
      <c r="V12" s="1472"/>
      <c r="W12" s="1789"/>
      <c r="X12" s="1787">
        <f>ROUND(SUMPRODUCT(PRODUCT(1+N12:N$29)),4)</f>
        <v>1.4956</v>
      </c>
      <c r="Y12" s="1787">
        <f>ROUND(SUMPRODUCT(PRODUCT(1+O12:O$29)),4)</f>
        <v>1.3237000000000001</v>
      </c>
      <c r="Z12" s="1787">
        <f t="shared" ref="Z12" si="86">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87">AE12</f>
        <v>1.61E-2</v>
      </c>
      <c r="AG12" s="1788">
        <f>ROUND(AVERAGE(K12:K$30)/100,4)</f>
        <v>2.53E-2</v>
      </c>
      <c r="AH12" s="1788">
        <f>ROUND(AVERAGE(L12:L$30)/100,4)</f>
        <v>1.4999999999999999E-2</v>
      </c>
    </row>
    <row r="13" spans="1:34" s="1465" customFormat="1" ht="14.45" customHeight="1">
      <c r="A13" s="1460" t="s">
        <v>3040</v>
      </c>
      <c r="B13" s="1476">
        <f t="shared" ref="B13" si="88">B14*(1+N13)</f>
        <v>453.11529869999993</v>
      </c>
      <c r="C13" s="1476">
        <f t="shared" ref="C13" si="89">C14*(1+O13)</f>
        <v>336.47787264000004</v>
      </c>
      <c r="D13" s="1476">
        <f t="shared" ref="D13" si="90">C13</f>
        <v>336.47787264000004</v>
      </c>
      <c r="E13" s="1476">
        <f t="shared" ref="E13" si="91">E14*(1+P13)</f>
        <v>647.35186823999993</v>
      </c>
      <c r="F13" s="1476">
        <f t="shared" ref="F13" si="92">F14*(1+Q13)</f>
        <v>295.73229452000004</v>
      </c>
      <c r="G13" s="3331"/>
      <c r="H13" s="1464">
        <v>2</v>
      </c>
      <c r="I13" s="1464">
        <v>1.49</v>
      </c>
      <c r="J13" s="1464">
        <v>0.96</v>
      </c>
      <c r="K13" s="1464">
        <v>1.58</v>
      </c>
      <c r="L13" s="1478">
        <v>2.44</v>
      </c>
      <c r="M13" s="1470"/>
      <c r="N13" s="1471">
        <f t="shared" ref="N13" si="93">I13/100</f>
        <v>1.49E-2</v>
      </c>
      <c r="O13" s="1472">
        <f t="shared" ref="O13" si="94">J13/100</f>
        <v>9.5999999999999992E-3</v>
      </c>
      <c r="P13" s="1472">
        <f t="shared" ref="P13" si="95">K13/100</f>
        <v>1.5800000000000002E-2</v>
      </c>
      <c r="Q13" s="1472">
        <f t="shared" ref="Q13" si="96">L13/100</f>
        <v>2.4399999999999998E-2</v>
      </c>
      <c r="R13" s="1473"/>
      <c r="S13" s="1471"/>
      <c r="T13" s="1472"/>
      <c r="U13" s="1472"/>
      <c r="V13" s="1472"/>
      <c r="W13" s="1789"/>
      <c r="X13" s="1787">
        <f>ROUND(SUMPRODUCT(PRODUCT(1+N13:N$29)),4)</f>
        <v>1.4733000000000001</v>
      </c>
      <c r="Y13" s="1787">
        <f>ROUND(SUMPRODUCT(PRODUCT(1+O13:O$29)),4)</f>
        <v>1.3052999999999999</v>
      </c>
      <c r="Z13" s="1787">
        <f t="shared" ref="Z13" si="97">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98">AE13</f>
        <v>1.6199999999999999E-2</v>
      </c>
      <c r="AG13" s="1788">
        <f>ROUND(AVERAGE(K13:K$30)/100,4)</f>
        <v>2.5899999999999999E-2</v>
      </c>
      <c r="AH13" s="1788">
        <f>ROUND(AVERAGE(L13:L$30)/100,4)</f>
        <v>1.49E-2</v>
      </c>
    </row>
    <row r="14" spans="1:34" s="1465" customFormat="1" ht="15" customHeight="1" thickBot="1">
      <c r="A14" s="1460" t="s">
        <v>3033</v>
      </c>
      <c r="B14" s="1476">
        <f t="shared" ref="B14" si="99">B15*(1+N14)</f>
        <v>446.46299999999997</v>
      </c>
      <c r="C14" s="1476">
        <f t="shared" ref="C14" si="100">C15*(1+O14)</f>
        <v>333.27840000000003</v>
      </c>
      <c r="D14" s="1476">
        <f t="shared" ref="D14" si="101">C14</f>
        <v>333.27840000000003</v>
      </c>
      <c r="E14" s="1476">
        <f t="shared" ref="E14" si="102">E15*(1+P14)</f>
        <v>637.28279999999995</v>
      </c>
      <c r="F14" s="1476">
        <f t="shared" ref="F14" si="103">F15*(1+Q14)</f>
        <v>288.68830000000003</v>
      </c>
      <c r="G14" s="3338"/>
      <c r="H14" s="1463">
        <v>1</v>
      </c>
      <c r="I14" s="1463">
        <v>1.7</v>
      </c>
      <c r="J14" s="1463">
        <v>1.92</v>
      </c>
      <c r="K14" s="1463">
        <v>1.64</v>
      </c>
      <c r="L14" s="1477">
        <v>2.0099999999999998</v>
      </c>
      <c r="M14" s="1470"/>
      <c r="N14" s="1471">
        <f t="shared" ref="N14:N19" si="104">I14/100</f>
        <v>1.7000000000000001E-2</v>
      </c>
      <c r="O14" s="1472">
        <f t="shared" ref="O14" si="105">J14/100</f>
        <v>1.9199999999999998E-2</v>
      </c>
      <c r="P14" s="1472">
        <f t="shared" ref="P14" si="106">K14/100</f>
        <v>1.6399999999999998E-2</v>
      </c>
      <c r="Q14" s="1472">
        <f t="shared" ref="Q14" si="107">L14/100</f>
        <v>2.0099999999999996E-2</v>
      </c>
      <c r="R14" s="1473"/>
      <c r="S14" s="1471">
        <f>B14/B15-1</f>
        <v>1.6999999999999904E-2</v>
      </c>
      <c r="T14" s="1472">
        <f t="shared" ref="T14" si="108">C14/C15-1</f>
        <v>1.9200000000000106E-2</v>
      </c>
      <c r="U14" s="1472">
        <f t="shared" ref="U14" si="109">D14/D15-1</f>
        <v>1.9200000000000106E-2</v>
      </c>
      <c r="V14" s="1472">
        <f t="shared" ref="V14" si="110">E14/E15-1</f>
        <v>1.639999999999997E-2</v>
      </c>
      <c r="W14" s="1789"/>
      <c r="X14" s="1787">
        <f>ROUND(SUMPRODUCT(PRODUCT(1+N14:N$29)),4)</f>
        <v>1.4517</v>
      </c>
      <c r="Y14" s="1787">
        <f>ROUND(SUMPRODUCT(PRODUCT(1+O14:O$29)),4)</f>
        <v>1.2928999999999999</v>
      </c>
      <c r="Z14" s="1787">
        <f t="shared" ref="Z14" si="111">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2">AE14</f>
        <v>1.66E-2</v>
      </c>
      <c r="AG14" s="1788">
        <f>ROUND(AVERAGE(K14:K$30)/100,4)</f>
        <v>2.6499999999999999E-2</v>
      </c>
      <c r="AH14" s="1788">
        <f>ROUND(AVERAGE(L14:L$30)/100,4)</f>
        <v>1.43E-2</v>
      </c>
    </row>
    <row r="15" spans="1:34">
      <c r="A15" s="1460" t="s">
        <v>3030</v>
      </c>
      <c r="B15" s="1468">
        <v>439</v>
      </c>
      <c r="C15" s="1468">
        <v>327</v>
      </c>
      <c r="D15" s="1468">
        <f>C15</f>
        <v>327</v>
      </c>
      <c r="E15" s="1468">
        <v>627</v>
      </c>
      <c r="F15" s="1469">
        <v>283</v>
      </c>
      <c r="G15" s="3334">
        <v>2017</v>
      </c>
      <c r="H15" s="1461">
        <v>4</v>
      </c>
      <c r="I15" s="1461">
        <v>1.71</v>
      </c>
      <c r="J15" s="1461">
        <v>1.78</v>
      </c>
      <c r="K15" s="1461">
        <v>1.71</v>
      </c>
      <c r="L15" s="1462">
        <v>1.43</v>
      </c>
      <c r="N15" s="1471">
        <f t="shared" si="104"/>
        <v>1.7100000000000001E-2</v>
      </c>
      <c r="O15" s="1472">
        <f t="shared" ref="O15" si="113">J15/100</f>
        <v>1.78E-2</v>
      </c>
      <c r="P15" s="1472">
        <f t="shared" ref="P15" si="114">K15/100</f>
        <v>1.7100000000000001E-2</v>
      </c>
      <c r="Q15" s="1472">
        <f t="shared" ref="Q15" si="115">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3031</v>
      </c>
      <c r="B16" s="1476">
        <f t="shared" ref="B16:B17" si="116">B17*(1+N16)</f>
        <v>431.80730811680002</v>
      </c>
      <c r="C16" s="1476">
        <f t="shared" ref="C16:C17" si="117">C17*(1+O16)</f>
        <v>320.57880516480003</v>
      </c>
      <c r="D16" s="1476">
        <f t="shared" ref="D16:D17" si="118">C16</f>
        <v>320.57880516480003</v>
      </c>
      <c r="E16" s="1476">
        <f t="shared" ref="E16:E17" si="119">E17*(1+P16)</f>
        <v>615.96110553196797</v>
      </c>
      <c r="F16" s="1476">
        <f t="shared" ref="F16:F17" si="120">F17*(1+Q16)</f>
        <v>279.46777300108801</v>
      </c>
      <c r="G16" s="3331"/>
      <c r="H16" s="1463">
        <v>3</v>
      </c>
      <c r="I16" s="1463">
        <v>2.98</v>
      </c>
      <c r="J16" s="1463">
        <v>2.11</v>
      </c>
      <c r="K16" s="1463">
        <v>3.24</v>
      </c>
      <c r="L16" s="1477">
        <v>1.72</v>
      </c>
      <c r="M16" s="1470"/>
      <c r="N16" s="1471">
        <f t="shared" si="104"/>
        <v>2.98E-2</v>
      </c>
      <c r="O16" s="1472">
        <f t="shared" ref="O16" si="121">J16/100</f>
        <v>2.1099999999999997E-2</v>
      </c>
      <c r="P16" s="1472">
        <f t="shared" ref="P16" si="122">K16/100</f>
        <v>3.2400000000000005E-2</v>
      </c>
      <c r="Q16" s="1472">
        <f t="shared" ref="Q16" si="123">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0" t="s">
        <v>1380</v>
      </c>
      <c r="B17" s="1476">
        <f t="shared" si="116"/>
        <v>419.31181600000002</v>
      </c>
      <c r="C17" s="1476">
        <f t="shared" si="117"/>
        <v>313.95436800000004</v>
      </c>
      <c r="D17" s="1476">
        <f t="shared" si="118"/>
        <v>313.95436800000004</v>
      </c>
      <c r="E17" s="1476">
        <f t="shared" si="119"/>
        <v>596.63028431999999</v>
      </c>
      <c r="F17" s="1476">
        <f t="shared" si="120"/>
        <v>274.74220703999998</v>
      </c>
      <c r="G17" s="3331"/>
      <c r="H17" s="1464">
        <v>2</v>
      </c>
      <c r="I17" s="1464">
        <v>3.4</v>
      </c>
      <c r="J17" s="1464">
        <v>2</v>
      </c>
      <c r="K17" s="1464">
        <v>3.82</v>
      </c>
      <c r="L17" s="1478">
        <v>1.68</v>
      </c>
      <c r="M17" s="1470"/>
      <c r="N17" s="1471">
        <f t="shared" si="104"/>
        <v>3.4000000000000002E-2</v>
      </c>
      <c r="O17" s="1472">
        <f t="shared" ref="O17" si="124">J17/100</f>
        <v>0.02</v>
      </c>
      <c r="P17" s="1472">
        <f t="shared" ref="P17" si="125">K17/100</f>
        <v>3.8199999999999998E-2</v>
      </c>
      <c r="Q17" s="1472">
        <f t="shared" ref="Q17" si="126">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8"/>
      <c r="H18" s="1463">
        <v>1</v>
      </c>
      <c r="I18" s="1463">
        <v>3.45</v>
      </c>
      <c r="J18" s="1463">
        <v>1.92</v>
      </c>
      <c r="K18" s="1463">
        <v>3.92</v>
      </c>
      <c r="L18" s="1477">
        <v>1.58</v>
      </c>
      <c r="M18" s="1470"/>
      <c r="N18" s="1471">
        <f t="shared" si="104"/>
        <v>3.4500000000000003E-2</v>
      </c>
      <c r="O18" s="1472">
        <f t="shared" ref="O18:Q33" si="127">J18/100</f>
        <v>1.9199999999999998E-2</v>
      </c>
      <c r="P18" s="1472">
        <f t="shared" si="127"/>
        <v>3.9199999999999999E-2</v>
      </c>
      <c r="Q18" s="1472">
        <f t="shared" si="127"/>
        <v>1.5800000000000002E-2</v>
      </c>
      <c r="R18" s="1473"/>
      <c r="S18" s="1471">
        <f>B18/B19-1</f>
        <v>3.4499999999999975E-2</v>
      </c>
      <c r="T18" s="1472">
        <f t="shared" ref="T18:V18" si="128">C18/C19-1</f>
        <v>1.9200000000000106E-2</v>
      </c>
      <c r="U18" s="1472">
        <f t="shared" si="128"/>
        <v>1.9200000000000106E-2</v>
      </c>
      <c r="V18" s="1472">
        <f t="shared" si="128"/>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4">
        <v>2016</v>
      </c>
      <c r="H19" s="1461">
        <v>4</v>
      </c>
      <c r="I19" s="1461">
        <v>4.5599999999999996</v>
      </c>
      <c r="J19" s="1461">
        <v>2.15</v>
      </c>
      <c r="K19" s="1461">
        <v>5.32</v>
      </c>
      <c r="L19" s="1462">
        <v>1.57</v>
      </c>
      <c r="N19" s="1471">
        <f t="shared" si="104"/>
        <v>4.5599999999999995E-2</v>
      </c>
      <c r="O19" s="1472">
        <f t="shared" si="127"/>
        <v>2.1499999999999998E-2</v>
      </c>
      <c r="P19" s="1472">
        <f t="shared" si="127"/>
        <v>5.3200000000000004E-2</v>
      </c>
      <c r="Q19" s="1472">
        <f t="shared" si="127"/>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29">B19/(1+N19)</f>
        <v>374.90436113236416</v>
      </c>
      <c r="C20" s="1476">
        <f t="shared" si="129"/>
        <v>295.64366128242779</v>
      </c>
      <c r="D20" s="1476">
        <f t="shared" ref="D20:D79" si="130">C20</f>
        <v>295.64366128242779</v>
      </c>
      <c r="E20" s="1476">
        <f t="shared" ref="E20:F22" si="131">E19/(1+P19)</f>
        <v>525.06646410938095</v>
      </c>
      <c r="F20" s="1476">
        <f t="shared" si="131"/>
        <v>261.88835286009646</v>
      </c>
      <c r="G20" s="3331"/>
      <c r="H20" s="1463">
        <v>3</v>
      </c>
      <c r="I20" s="1463">
        <v>4.12</v>
      </c>
      <c r="J20" s="1463">
        <v>2</v>
      </c>
      <c r="K20" s="1463">
        <v>4.79</v>
      </c>
      <c r="L20" s="1477">
        <v>1.97</v>
      </c>
      <c r="N20" s="1471">
        <f t="shared" ref="N20:Q54" si="132">I20/100</f>
        <v>4.1200000000000001E-2</v>
      </c>
      <c r="O20" s="1472">
        <f t="shared" si="127"/>
        <v>0.02</v>
      </c>
      <c r="P20" s="1472">
        <f t="shared" si="127"/>
        <v>4.7899999999999998E-2</v>
      </c>
      <c r="Q20" s="1472">
        <f t="shared" si="127"/>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29"/>
        <v>360.06949782209392</v>
      </c>
      <c r="C21" s="1476">
        <f t="shared" si="129"/>
        <v>289.84672674747821</v>
      </c>
      <c r="D21" s="1476">
        <f t="shared" si="130"/>
        <v>289.84672674747821</v>
      </c>
      <c r="E21" s="1476">
        <f t="shared" si="131"/>
        <v>501.06543001181495</v>
      </c>
      <c r="F21" s="1476">
        <f t="shared" si="131"/>
        <v>256.82882500744967</v>
      </c>
      <c r="G21" s="3331"/>
      <c r="H21" s="1464">
        <v>2</v>
      </c>
      <c r="I21" s="1464">
        <v>3.85</v>
      </c>
      <c r="J21" s="1464">
        <v>1.95</v>
      </c>
      <c r="K21" s="1464">
        <v>4.4800000000000004</v>
      </c>
      <c r="L21" s="1478">
        <v>1.41</v>
      </c>
      <c r="N21" s="1471">
        <f t="shared" si="132"/>
        <v>3.85E-2</v>
      </c>
      <c r="O21" s="1472">
        <f t="shared" si="127"/>
        <v>1.95E-2</v>
      </c>
      <c r="P21" s="1472">
        <f t="shared" si="127"/>
        <v>4.4800000000000006E-2</v>
      </c>
      <c r="Q21" s="1472">
        <f t="shared" si="127"/>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29"/>
        <v>346.720748986128</v>
      </c>
      <c r="C22" s="1476">
        <f t="shared" si="129"/>
        <v>284.30282172386285</v>
      </c>
      <c r="D22" s="1476">
        <f t="shared" si="130"/>
        <v>284.30282172386285</v>
      </c>
      <c r="E22" s="1476">
        <f t="shared" si="131"/>
        <v>479.58023546306947</v>
      </c>
      <c r="F22" s="1476">
        <f t="shared" si="131"/>
        <v>253.25788877571213</v>
      </c>
      <c r="G22" s="3332"/>
      <c r="H22" s="1463">
        <v>1</v>
      </c>
      <c r="I22" s="1463">
        <v>4.09</v>
      </c>
      <c r="J22" s="1463">
        <v>2.93</v>
      </c>
      <c r="K22" s="1463">
        <v>4.54</v>
      </c>
      <c r="L22" s="1477">
        <v>1.48</v>
      </c>
      <c r="N22" s="1471">
        <f t="shared" si="132"/>
        <v>4.0899999999999999E-2</v>
      </c>
      <c r="O22" s="1472">
        <f t="shared" si="127"/>
        <v>2.9300000000000003E-2</v>
      </c>
      <c r="P22" s="1472">
        <f t="shared" si="127"/>
        <v>4.5400000000000003E-2</v>
      </c>
      <c r="Q22" s="1472">
        <f t="shared" si="127"/>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0"/>
        <v>277</v>
      </c>
      <c r="E23" s="1468">
        <v>459</v>
      </c>
      <c r="F23" s="1469">
        <v>249</v>
      </c>
      <c r="G23" s="3330">
        <v>2015</v>
      </c>
      <c r="H23" s="1481">
        <v>4</v>
      </c>
      <c r="I23" s="1481">
        <v>1.63</v>
      </c>
      <c r="J23" s="1481">
        <v>1.1100000000000001</v>
      </c>
      <c r="K23" s="1481">
        <v>1.77</v>
      </c>
      <c r="L23" s="1482">
        <v>1.89</v>
      </c>
      <c r="N23" s="1483">
        <f t="shared" si="132"/>
        <v>1.6299999999999999E-2</v>
      </c>
      <c r="O23" s="1484">
        <f t="shared" si="127"/>
        <v>1.11E-2</v>
      </c>
      <c r="P23" s="1484">
        <f t="shared" si="127"/>
        <v>1.77E-2</v>
      </c>
      <c r="Q23" s="1484">
        <f t="shared" si="127"/>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3">B23/(1+N23)</f>
        <v>327.65915576109415</v>
      </c>
      <c r="C24" s="1476">
        <f t="shared" si="133"/>
        <v>273.95905449510434</v>
      </c>
      <c r="D24" s="1476">
        <f t="shared" si="130"/>
        <v>273.95905449510434</v>
      </c>
      <c r="E24" s="1476">
        <f t="shared" ref="E24:F26" si="134">E23/(1+P23)</f>
        <v>451.01699911565294</v>
      </c>
      <c r="F24" s="1476">
        <f t="shared" si="134"/>
        <v>244.38119540681129</v>
      </c>
      <c r="G24" s="3331"/>
      <c r="H24" s="1486">
        <v>3</v>
      </c>
      <c r="I24" s="1486">
        <v>1.65</v>
      </c>
      <c r="J24" s="1486">
        <v>0.92</v>
      </c>
      <c r="K24" s="1486">
        <v>1.88</v>
      </c>
      <c r="L24" s="1487">
        <v>1.26</v>
      </c>
      <c r="N24" s="1471">
        <f t="shared" si="132"/>
        <v>1.6500000000000001E-2</v>
      </c>
      <c r="O24" s="1488">
        <f t="shared" si="127"/>
        <v>9.1999999999999998E-3</v>
      </c>
      <c r="P24" s="1488">
        <f t="shared" si="127"/>
        <v>1.8799999999999997E-2</v>
      </c>
      <c r="Q24" s="1488">
        <f t="shared" si="127"/>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3"/>
        <v>322.34053690220776</v>
      </c>
      <c r="C25" s="1476">
        <f t="shared" si="133"/>
        <v>271.46160770422546</v>
      </c>
      <c r="D25" s="1476">
        <f t="shared" si="130"/>
        <v>271.46160770422546</v>
      </c>
      <c r="E25" s="1476">
        <f t="shared" si="134"/>
        <v>442.69434542172456</v>
      </c>
      <c r="F25" s="1476">
        <f t="shared" si="134"/>
        <v>241.34030753190925</v>
      </c>
      <c r="G25" s="3331"/>
      <c r="H25" s="1464">
        <v>2</v>
      </c>
      <c r="I25" s="1464">
        <v>0.77</v>
      </c>
      <c r="J25" s="1464">
        <v>0.69</v>
      </c>
      <c r="K25" s="1464">
        <v>0.8</v>
      </c>
      <c r="L25" s="1478">
        <v>0.88</v>
      </c>
      <c r="N25" s="1471">
        <f t="shared" si="132"/>
        <v>7.7000000000000002E-3</v>
      </c>
      <c r="O25" s="1488">
        <f t="shared" si="127"/>
        <v>6.8999999999999999E-3</v>
      </c>
      <c r="P25" s="1488">
        <f t="shared" si="127"/>
        <v>8.0000000000000002E-3</v>
      </c>
      <c r="Q25" s="1488">
        <f t="shared" si="127"/>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3"/>
        <v>319.87748030386797</v>
      </c>
      <c r="C26" s="1476">
        <f t="shared" si="133"/>
        <v>269.60135833173649</v>
      </c>
      <c r="D26" s="1476">
        <f t="shared" si="130"/>
        <v>269.60135833173649</v>
      </c>
      <c r="E26" s="1476">
        <f t="shared" si="134"/>
        <v>439.18089823583784</v>
      </c>
      <c r="F26" s="1476">
        <f t="shared" si="134"/>
        <v>239.23503918706311</v>
      </c>
      <c r="G26" s="3332"/>
      <c r="H26" s="1463">
        <v>1</v>
      </c>
      <c r="I26" s="1463">
        <v>0.51</v>
      </c>
      <c r="J26" s="1463">
        <v>0.54</v>
      </c>
      <c r="K26" s="1463">
        <v>0.48</v>
      </c>
      <c r="L26" s="1477">
        <v>0.93</v>
      </c>
      <c r="N26" s="1479">
        <f t="shared" si="132"/>
        <v>5.1000000000000004E-3</v>
      </c>
      <c r="O26" s="1480">
        <f t="shared" si="127"/>
        <v>5.4000000000000003E-3</v>
      </c>
      <c r="P26" s="1480">
        <f t="shared" si="127"/>
        <v>4.7999999999999996E-3</v>
      </c>
      <c r="Q26" s="1480">
        <f t="shared" si="127"/>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0"/>
        <v>268</v>
      </c>
      <c r="E27" s="1489">
        <v>437</v>
      </c>
      <c r="F27" s="1490">
        <v>237</v>
      </c>
      <c r="G27" s="3330">
        <v>2014</v>
      </c>
      <c r="H27" s="1481">
        <v>4</v>
      </c>
      <c r="I27" s="1481">
        <v>0.21</v>
      </c>
      <c r="J27" s="1481">
        <v>0.41</v>
      </c>
      <c r="K27" s="1481">
        <v>0.12</v>
      </c>
      <c r="L27" s="1482">
        <v>0.89</v>
      </c>
      <c r="N27" s="1471">
        <f t="shared" si="132"/>
        <v>2.0999999999999999E-3</v>
      </c>
      <c r="O27" s="1472">
        <f t="shared" si="127"/>
        <v>4.0999999999999995E-3</v>
      </c>
      <c r="P27" s="1472">
        <f t="shared" si="127"/>
        <v>1.1999999999999999E-3</v>
      </c>
      <c r="Q27" s="1472">
        <f t="shared" si="127"/>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5">B27/(1+N27)</f>
        <v>317.33359944117353</v>
      </c>
      <c r="C28" s="1476">
        <f t="shared" si="135"/>
        <v>266.90568668459315</v>
      </c>
      <c r="D28" s="1476">
        <f t="shared" si="130"/>
        <v>266.90568668459315</v>
      </c>
      <c r="E28" s="1476">
        <f t="shared" ref="E28:F30" si="136">E27/(1+P27)</f>
        <v>436.47622852576905</v>
      </c>
      <c r="F28" s="1476">
        <f t="shared" si="136"/>
        <v>234.90930716622066</v>
      </c>
      <c r="G28" s="3331"/>
      <c r="H28" s="1491">
        <v>3</v>
      </c>
      <c r="I28" s="1491">
        <v>0.83</v>
      </c>
      <c r="J28" s="1491">
        <v>1.47</v>
      </c>
      <c r="K28" s="1491">
        <v>0.65</v>
      </c>
      <c r="L28" s="1492">
        <v>0.72</v>
      </c>
      <c r="N28" s="1471">
        <f t="shared" si="132"/>
        <v>8.3000000000000001E-3</v>
      </c>
      <c r="O28" s="1472">
        <f t="shared" si="127"/>
        <v>1.47E-2</v>
      </c>
      <c r="P28" s="1472">
        <f t="shared" si="127"/>
        <v>6.5000000000000006E-3</v>
      </c>
      <c r="Q28" s="1472">
        <f t="shared" si="127"/>
        <v>7.1999999999999998E-3</v>
      </c>
      <c r="R28" s="1473"/>
      <c r="S28" s="1471"/>
      <c r="T28" s="1472"/>
      <c r="U28" s="1472"/>
      <c r="V28" s="1472"/>
      <c r="X28" s="1458">
        <f>ROUND(SUMPRODUCT(PRODUCT(1+N28:N$29)),4)</f>
        <v>1.0325</v>
      </c>
      <c r="Y28" s="1458">
        <f>ROUND(SUMPRODUCT(PRODUCT(1+O28:O$29)),4)</f>
        <v>1.0353000000000001</v>
      </c>
      <c r="Z28" s="1458">
        <f t="shared" ref="Z28:Z29" si="137">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5"/>
        <v>314.72141172386546</v>
      </c>
      <c r="C29" s="1476">
        <f t="shared" si="135"/>
        <v>263.03901319069001</v>
      </c>
      <c r="D29" s="1476">
        <f t="shared" si="130"/>
        <v>263.03901319069001</v>
      </c>
      <c r="E29" s="1476">
        <f t="shared" si="136"/>
        <v>433.65745506782821</v>
      </c>
      <c r="F29" s="1476">
        <f t="shared" si="136"/>
        <v>233.23005080045735</v>
      </c>
      <c r="G29" s="3331"/>
      <c r="H29" s="1481">
        <v>2</v>
      </c>
      <c r="I29" s="1481">
        <v>2.4</v>
      </c>
      <c r="J29" s="1481">
        <v>2.0299999999999998</v>
      </c>
      <c r="K29" s="1481">
        <v>2.59</v>
      </c>
      <c r="L29" s="1482">
        <v>1.52</v>
      </c>
      <c r="N29" s="1471">
        <f t="shared" si="132"/>
        <v>2.4E-2</v>
      </c>
      <c r="O29" s="1472">
        <f t="shared" si="127"/>
        <v>2.0299999999999999E-2</v>
      </c>
      <c r="P29" s="1472">
        <f t="shared" si="127"/>
        <v>2.5899999999999999E-2</v>
      </c>
      <c r="Q29" s="1472">
        <f t="shared" si="127"/>
        <v>1.52E-2</v>
      </c>
      <c r="R29" s="1473"/>
      <c r="S29" s="1471"/>
      <c r="T29" s="1472"/>
      <c r="U29" s="1472"/>
      <c r="V29" s="1472"/>
      <c r="X29" s="1458">
        <f>1+N29</f>
        <v>1.024</v>
      </c>
      <c r="Y29" s="1458">
        <f>1+O29</f>
        <v>1.0203</v>
      </c>
      <c r="Z29" s="1458">
        <f t="shared" si="137"/>
        <v>1.0203</v>
      </c>
      <c r="AA29" s="1458">
        <f>1+P29</f>
        <v>1.0259</v>
      </c>
      <c r="AB29" s="1458">
        <f>1+Q29</f>
        <v>1.0152000000000001</v>
      </c>
      <c r="AD29" s="1459">
        <f>ROUND(AVERAGE(I29:I$30)/100,4)</f>
        <v>2.69E-2</v>
      </c>
      <c r="AE29" s="1459">
        <f>ROUND(AVERAGE(J29:J$30)/100,4)</f>
        <v>2.1899999999999999E-2</v>
      </c>
      <c r="AF29" s="1459">
        <f t="shared" ref="AF29" si="138">AE29</f>
        <v>2.1899999999999999E-2</v>
      </c>
      <c r="AG29" s="1459">
        <f>ROUND(AVERAGE(K29:K$30)/100,4)</f>
        <v>2.9399999999999999E-2</v>
      </c>
      <c r="AH29" s="1459">
        <f>ROUND(AVERAGE(L29:L$30)/100,4)</f>
        <v>1.44E-2</v>
      </c>
    </row>
    <row r="30" spans="1:34" s="1497" customFormat="1" ht="13.5" thickBot="1">
      <c r="A30" s="1493" t="s">
        <v>144</v>
      </c>
      <c r="B30" s="1494">
        <f t="shared" si="135"/>
        <v>307.34512863658733</v>
      </c>
      <c r="C30" s="1494">
        <f t="shared" si="135"/>
        <v>257.80556031626975</v>
      </c>
      <c r="D30" s="1494">
        <f t="shared" si="130"/>
        <v>257.80556031626975</v>
      </c>
      <c r="E30" s="1494">
        <f t="shared" si="136"/>
        <v>422.70928459677179</v>
      </c>
      <c r="F30" s="1494">
        <f t="shared" si="136"/>
        <v>229.73803270336617</v>
      </c>
      <c r="G30" s="3332"/>
      <c r="H30" s="1495">
        <v>1</v>
      </c>
      <c r="I30" s="1495">
        <v>2.97</v>
      </c>
      <c r="J30" s="1495">
        <v>2.34</v>
      </c>
      <c r="K30" s="1495">
        <v>3.28</v>
      </c>
      <c r="L30" s="1496">
        <v>1.36</v>
      </c>
      <c r="N30" s="1498">
        <f t="shared" si="132"/>
        <v>2.9700000000000001E-2</v>
      </c>
      <c r="O30" s="1499">
        <f t="shared" si="127"/>
        <v>2.3399999999999997E-2</v>
      </c>
      <c r="P30" s="1499">
        <f t="shared" si="127"/>
        <v>3.2799999999999996E-2</v>
      </c>
      <c r="Q30" s="1499">
        <f t="shared" si="127"/>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0"/>
        <v>252</v>
      </c>
      <c r="E31" s="1468">
        <v>409</v>
      </c>
      <c r="F31" s="1469">
        <v>227</v>
      </c>
      <c r="G31" s="3335">
        <v>2013</v>
      </c>
      <c r="H31" s="1505">
        <v>4</v>
      </c>
      <c r="I31" s="1505">
        <v>1.83</v>
      </c>
      <c r="J31" s="1505">
        <v>1.68</v>
      </c>
      <c r="K31" s="1505">
        <v>1.97</v>
      </c>
      <c r="L31" s="1506">
        <v>0.87</v>
      </c>
      <c r="N31" s="1483">
        <f t="shared" si="132"/>
        <v>1.83E-2</v>
      </c>
      <c r="O31" s="1484">
        <f t="shared" si="127"/>
        <v>1.6799999999999999E-2</v>
      </c>
      <c r="P31" s="1484">
        <f t="shared" si="127"/>
        <v>1.9699999999999999E-2</v>
      </c>
      <c r="Q31" s="1484">
        <f t="shared" si="127"/>
        <v>8.6999999999999994E-3</v>
      </c>
      <c r="R31" s="1473"/>
      <c r="S31" s="1474"/>
      <c r="T31" s="1475"/>
      <c r="U31" s="1475"/>
      <c r="V31" s="1475"/>
      <c r="X31" s="1475"/>
      <c r="Y31" s="1475"/>
      <c r="Z31" s="1475"/>
    </row>
    <row r="32" spans="1:34">
      <c r="A32" s="1460" t="s">
        <v>1159</v>
      </c>
      <c r="B32" s="1476">
        <f t="shared" ref="B32:C34" si="139">B31/(1+N31)</f>
        <v>293.62663262299913</v>
      </c>
      <c r="C32" s="1476">
        <f t="shared" si="139"/>
        <v>247.83634933123525</v>
      </c>
      <c r="D32" s="1476">
        <f t="shared" si="130"/>
        <v>247.83634933123525</v>
      </c>
      <c r="E32" s="1476">
        <f t="shared" ref="E32:F34" si="140">E31/(1+P31)</f>
        <v>401.09836226341076</v>
      </c>
      <c r="F32" s="1476">
        <f t="shared" si="140"/>
        <v>225.04213343908003</v>
      </c>
      <c r="G32" s="3336"/>
      <c r="H32" s="1486">
        <v>3</v>
      </c>
      <c r="I32" s="1486">
        <v>1.86</v>
      </c>
      <c r="J32" s="1486">
        <v>1.72</v>
      </c>
      <c r="K32" s="1486">
        <v>1.98</v>
      </c>
      <c r="L32" s="1487">
        <v>0.88</v>
      </c>
      <c r="N32" s="1471">
        <f t="shared" si="132"/>
        <v>1.8600000000000002E-2</v>
      </c>
      <c r="O32" s="1488">
        <f t="shared" si="127"/>
        <v>1.72E-2</v>
      </c>
      <c r="P32" s="1488">
        <f t="shared" si="127"/>
        <v>1.9799999999999998E-2</v>
      </c>
      <c r="Q32" s="1488">
        <f t="shared" si="127"/>
        <v>8.8000000000000005E-3</v>
      </c>
      <c r="R32" s="1473"/>
      <c r="S32" s="1471"/>
      <c r="T32" s="1472"/>
      <c r="U32" s="1472"/>
      <c r="V32" s="1472"/>
    </row>
    <row r="33" spans="1:26">
      <c r="A33" s="1460" t="s">
        <v>1160</v>
      </c>
      <c r="B33" s="1476">
        <f t="shared" si="139"/>
        <v>288.2649053828776</v>
      </c>
      <c r="C33" s="1476">
        <f t="shared" si="139"/>
        <v>243.64564425013293</v>
      </c>
      <c r="D33" s="1476">
        <f t="shared" si="130"/>
        <v>243.64564425013293</v>
      </c>
      <c r="E33" s="1476">
        <f t="shared" si="140"/>
        <v>393.31080825986544</v>
      </c>
      <c r="F33" s="1476">
        <f t="shared" si="140"/>
        <v>223.07903790551154</v>
      </c>
      <c r="G33" s="3336"/>
      <c r="H33" s="1464">
        <v>2</v>
      </c>
      <c r="I33" s="1464">
        <v>2.04</v>
      </c>
      <c r="J33" s="1464">
        <v>2.33</v>
      </c>
      <c r="K33" s="1464">
        <v>2.0699999999999998</v>
      </c>
      <c r="L33" s="1478">
        <v>0.69</v>
      </c>
      <c r="N33" s="1471">
        <f t="shared" si="132"/>
        <v>2.0400000000000001E-2</v>
      </c>
      <c r="O33" s="1488">
        <f t="shared" si="127"/>
        <v>2.3300000000000001E-2</v>
      </c>
      <c r="P33" s="1488">
        <f t="shared" si="127"/>
        <v>2.07E-2</v>
      </c>
      <c r="Q33" s="1488">
        <f t="shared" si="127"/>
        <v>6.8999999999999999E-3</v>
      </c>
      <c r="R33" s="1473"/>
      <c r="S33" s="1471"/>
      <c r="T33" s="1472"/>
      <c r="U33" s="1472"/>
      <c r="V33" s="1472"/>
      <c r="X33" s="1507"/>
      <c r="Y33" s="1508"/>
    </row>
    <row r="34" spans="1:26">
      <c r="A34" s="1460" t="s">
        <v>1161</v>
      </c>
      <c r="B34" s="1476">
        <f t="shared" si="139"/>
        <v>282.50186729015837</v>
      </c>
      <c r="C34" s="1476">
        <f t="shared" si="139"/>
        <v>238.09796174155468</v>
      </c>
      <c r="D34" s="1476">
        <f t="shared" si="130"/>
        <v>238.09796174155468</v>
      </c>
      <c r="E34" s="1476">
        <f t="shared" si="140"/>
        <v>385.33438646014054</v>
      </c>
      <c r="F34" s="1476">
        <f t="shared" si="140"/>
        <v>221.55034055567739</v>
      </c>
      <c r="G34" s="3337"/>
      <c r="H34" s="1463">
        <v>1</v>
      </c>
      <c r="I34" s="1463">
        <v>1.67</v>
      </c>
      <c r="J34" s="1463">
        <v>1.31</v>
      </c>
      <c r="K34" s="1463">
        <v>1.85</v>
      </c>
      <c r="L34" s="1477">
        <v>0.96</v>
      </c>
      <c r="N34" s="1479">
        <f t="shared" si="132"/>
        <v>1.67E-2</v>
      </c>
      <c r="O34" s="1480">
        <f t="shared" si="132"/>
        <v>1.3100000000000001E-2</v>
      </c>
      <c r="P34" s="1480">
        <f t="shared" si="132"/>
        <v>1.8500000000000003E-2</v>
      </c>
      <c r="Q34" s="1480">
        <f t="shared" si="132"/>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0"/>
        <v>234</v>
      </c>
      <c r="E35" s="1510">
        <v>379</v>
      </c>
      <c r="F35" s="1511">
        <v>220</v>
      </c>
      <c r="G35" s="3330">
        <v>2012</v>
      </c>
      <c r="H35" s="1481">
        <v>4</v>
      </c>
      <c r="I35" s="1481">
        <v>0.91</v>
      </c>
      <c r="J35" s="1481">
        <v>0.68</v>
      </c>
      <c r="K35" s="1481">
        <v>0.98</v>
      </c>
      <c r="L35" s="1482">
        <v>0.9</v>
      </c>
      <c r="N35" s="1471">
        <f t="shared" si="132"/>
        <v>9.1000000000000004E-3</v>
      </c>
      <c r="O35" s="1472">
        <f t="shared" si="132"/>
        <v>6.8000000000000005E-3</v>
      </c>
      <c r="P35" s="1472">
        <f t="shared" si="132"/>
        <v>9.7999999999999997E-3</v>
      </c>
      <c r="Q35" s="1472">
        <f t="shared" si="132"/>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0"/>
        <v>232.41954707985698</v>
      </c>
      <c r="E36" s="1476">
        <f t="shared" ref="E36:F38" si="141">E35/(1+P35)</f>
        <v>375.32184591008121</v>
      </c>
      <c r="F36" s="1476">
        <f t="shared" si="141"/>
        <v>218.03766105054513</v>
      </c>
      <c r="G36" s="3331"/>
      <c r="H36" s="1486">
        <v>3</v>
      </c>
      <c r="I36" s="1486">
        <v>0.09</v>
      </c>
      <c r="J36" s="1486">
        <v>0.28999999999999998</v>
      </c>
      <c r="K36" s="1486">
        <v>-0.01</v>
      </c>
      <c r="L36" s="1487">
        <v>0.57999999999999996</v>
      </c>
      <c r="N36" s="1471">
        <f t="shared" si="132"/>
        <v>8.9999999999999998E-4</v>
      </c>
      <c r="O36" s="1472">
        <f t="shared" si="132"/>
        <v>2.8999999999999998E-3</v>
      </c>
      <c r="P36" s="1472">
        <f t="shared" si="132"/>
        <v>-1E-4</v>
      </c>
      <c r="Q36" s="1472">
        <f t="shared" si="132"/>
        <v>5.7999999999999996E-3</v>
      </c>
      <c r="R36" s="1473"/>
      <c r="S36" s="1471"/>
      <c r="T36" s="1472"/>
      <c r="U36" s="1472"/>
      <c r="V36" s="1472"/>
    </row>
    <row r="37" spans="1:26">
      <c r="A37" s="1460" t="s">
        <v>1164</v>
      </c>
      <c r="B37" s="1476">
        <f>B36/(1+N36)</f>
        <v>275.24529281292263</v>
      </c>
      <c r="C37" s="1476">
        <f>C36/(1+O36)</f>
        <v>231.74747938962707</v>
      </c>
      <c r="D37" s="1476">
        <f t="shared" si="130"/>
        <v>231.74747938962707</v>
      </c>
      <c r="E37" s="1476">
        <f t="shared" si="141"/>
        <v>375.35938184826603</v>
      </c>
      <c r="F37" s="1476">
        <f t="shared" si="141"/>
        <v>216.78033510692495</v>
      </c>
      <c r="G37" s="3331"/>
      <c r="H37" s="1464">
        <v>2</v>
      </c>
      <c r="I37" s="1464">
        <v>0.02</v>
      </c>
      <c r="J37" s="1464">
        <v>0.12</v>
      </c>
      <c r="K37" s="1464">
        <v>-0.08</v>
      </c>
      <c r="L37" s="1478">
        <v>1.24</v>
      </c>
      <c r="N37" s="1471">
        <f t="shared" si="132"/>
        <v>2.0000000000000001E-4</v>
      </c>
      <c r="O37" s="1472">
        <f t="shared" si="132"/>
        <v>1.1999999999999999E-3</v>
      </c>
      <c r="P37" s="1472">
        <f t="shared" si="132"/>
        <v>-8.0000000000000004E-4</v>
      </c>
      <c r="Q37" s="1472">
        <f t="shared" si="132"/>
        <v>1.24E-2</v>
      </c>
      <c r="R37" s="1473"/>
      <c r="S37" s="1471"/>
      <c r="T37" s="1472"/>
      <c r="U37" s="1472"/>
      <c r="V37" s="1472"/>
    </row>
    <row r="38" spans="1:26" ht="13.5" thickBot="1">
      <c r="A38" s="1460" t="s">
        <v>1165</v>
      </c>
      <c r="B38" s="1476">
        <f>B37/(1+N37)</f>
        <v>275.19025476197027</v>
      </c>
      <c r="C38" s="1512">
        <v>232</v>
      </c>
      <c r="D38" s="1512">
        <f t="shared" si="130"/>
        <v>232</v>
      </c>
      <c r="E38" s="1476">
        <f t="shared" si="141"/>
        <v>375.65990977608692</v>
      </c>
      <c r="F38" s="1476">
        <f t="shared" si="141"/>
        <v>214.12518283971252</v>
      </c>
      <c r="G38" s="3332"/>
      <c r="H38" s="1463">
        <v>1</v>
      </c>
      <c r="I38" s="1463">
        <v>0.02</v>
      </c>
      <c r="J38" s="1463">
        <v>0.13</v>
      </c>
      <c r="K38" s="1463">
        <v>-0.04</v>
      </c>
      <c r="L38" s="1477">
        <v>0.46</v>
      </c>
      <c r="N38" s="1471">
        <f t="shared" si="132"/>
        <v>2.0000000000000001E-4</v>
      </c>
      <c r="O38" s="1472">
        <f t="shared" si="132"/>
        <v>1.2999999999999999E-3</v>
      </c>
      <c r="P38" s="1472">
        <f t="shared" si="132"/>
        <v>-4.0000000000000002E-4</v>
      </c>
      <c r="Q38" s="1472">
        <f t="shared" si="132"/>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0"/>
        <v>232</v>
      </c>
      <c r="E39" s="1468">
        <v>376</v>
      </c>
      <c r="F39" s="1469">
        <v>213</v>
      </c>
      <c r="G39" s="3330">
        <v>2011</v>
      </c>
      <c r="H39" s="1481">
        <v>4</v>
      </c>
      <c r="I39" s="1481">
        <v>-0.2</v>
      </c>
      <c r="J39" s="1481">
        <v>0.04</v>
      </c>
      <c r="K39" s="1481">
        <v>-0.34</v>
      </c>
      <c r="L39" s="1482">
        <v>0.46</v>
      </c>
      <c r="N39" s="1483">
        <f t="shared" si="132"/>
        <v>-2E-3</v>
      </c>
      <c r="O39" s="1484">
        <f t="shared" si="132"/>
        <v>4.0000000000000002E-4</v>
      </c>
      <c r="P39" s="1484">
        <f t="shared" si="132"/>
        <v>-3.4000000000000002E-3</v>
      </c>
      <c r="Q39" s="1484">
        <f t="shared" si="132"/>
        <v>4.5999999999999999E-3</v>
      </c>
      <c r="R39" s="1473"/>
      <c r="S39" s="1474"/>
      <c r="T39" s="1475"/>
      <c r="U39" s="1475"/>
      <c r="V39" s="1475"/>
      <c r="X39" s="1475"/>
      <c r="Y39" s="1475"/>
      <c r="Z39" s="1475"/>
    </row>
    <row r="40" spans="1:26">
      <c r="A40" s="1460" t="s">
        <v>1167</v>
      </c>
      <c r="B40" s="1476">
        <f t="shared" ref="B40:C42" si="142">B39/(1+N39)</f>
        <v>275.55110220440883</v>
      </c>
      <c r="C40" s="1476">
        <f t="shared" si="142"/>
        <v>231.90723710515795</v>
      </c>
      <c r="D40" s="1476">
        <f t="shared" si="130"/>
        <v>231.90723710515795</v>
      </c>
      <c r="E40" s="1476">
        <f t="shared" ref="E40:F42" si="143">E39/(1+P39)</f>
        <v>377.28276138872161</v>
      </c>
      <c r="F40" s="1476">
        <f t="shared" si="143"/>
        <v>212.02468644236512</v>
      </c>
      <c r="G40" s="3331">
        <v>2011</v>
      </c>
      <c r="H40" s="1486">
        <v>3</v>
      </c>
      <c r="I40" s="1486">
        <v>0.13</v>
      </c>
      <c r="J40" s="1486">
        <v>0.75</v>
      </c>
      <c r="K40" s="1486">
        <v>-0.08</v>
      </c>
      <c r="L40" s="1487">
        <v>0.53</v>
      </c>
      <c r="N40" s="1471">
        <f t="shared" si="132"/>
        <v>1.2999999999999999E-3</v>
      </c>
      <c r="O40" s="1488">
        <f t="shared" si="132"/>
        <v>7.4999999999999997E-3</v>
      </c>
      <c r="P40" s="1488">
        <f t="shared" si="132"/>
        <v>-8.0000000000000004E-4</v>
      </c>
      <c r="Q40" s="1488">
        <f t="shared" si="132"/>
        <v>5.3E-3</v>
      </c>
      <c r="R40" s="1473"/>
      <c r="S40" s="1471"/>
      <c r="T40" s="1472"/>
      <c r="U40" s="1472"/>
      <c r="V40" s="1472"/>
    </row>
    <row r="41" spans="1:26">
      <c r="A41" s="1460" t="s">
        <v>1168</v>
      </c>
      <c r="B41" s="1476">
        <f t="shared" si="142"/>
        <v>275.19335084830601</v>
      </c>
      <c r="C41" s="1476">
        <f t="shared" si="142"/>
        <v>230.18088050139744</v>
      </c>
      <c r="D41" s="1476">
        <f t="shared" si="130"/>
        <v>230.18088050139744</v>
      </c>
      <c r="E41" s="1476">
        <f t="shared" si="143"/>
        <v>377.58482925212331</v>
      </c>
      <c r="F41" s="1476">
        <f t="shared" si="143"/>
        <v>210.90687997847917</v>
      </c>
      <c r="G41" s="3331">
        <v>2011</v>
      </c>
      <c r="H41" s="1464">
        <v>2</v>
      </c>
      <c r="I41" s="1464">
        <v>-0.4</v>
      </c>
      <c r="J41" s="1464">
        <v>0.17</v>
      </c>
      <c r="K41" s="1464">
        <v>-0.57999999999999996</v>
      </c>
      <c r="L41" s="1478">
        <v>-0.2</v>
      </c>
      <c r="N41" s="1471">
        <f t="shared" si="132"/>
        <v>-4.0000000000000001E-3</v>
      </c>
      <c r="O41" s="1488">
        <f t="shared" si="132"/>
        <v>1.7000000000000001E-3</v>
      </c>
      <c r="P41" s="1488">
        <f t="shared" si="132"/>
        <v>-5.7999999999999996E-3</v>
      </c>
      <c r="Q41" s="1488">
        <f t="shared" si="132"/>
        <v>-2E-3</v>
      </c>
      <c r="R41" s="1473"/>
      <c r="S41" s="1471"/>
      <c r="T41" s="1472"/>
      <c r="U41" s="1472"/>
      <c r="V41" s="1472"/>
    </row>
    <row r="42" spans="1:26" ht="13.5" thickBot="1">
      <c r="A42" s="1460" t="s">
        <v>1169</v>
      </c>
      <c r="B42" s="1476">
        <f t="shared" si="142"/>
        <v>276.29854502841971</v>
      </c>
      <c r="C42" s="1476">
        <f t="shared" si="142"/>
        <v>229.79023709833027</v>
      </c>
      <c r="D42" s="1476">
        <f t="shared" si="130"/>
        <v>229.79023709833027</v>
      </c>
      <c r="E42" s="1476">
        <f t="shared" si="143"/>
        <v>379.78759731655936</v>
      </c>
      <c r="F42" s="1476">
        <f t="shared" si="143"/>
        <v>211.32953905659235</v>
      </c>
      <c r="G42" s="3332">
        <v>2011</v>
      </c>
      <c r="H42" s="1463">
        <v>1</v>
      </c>
      <c r="I42" s="1463">
        <v>2.65</v>
      </c>
      <c r="J42" s="1463">
        <v>3.76</v>
      </c>
      <c r="K42" s="1463">
        <v>1.89</v>
      </c>
      <c r="L42" s="1477">
        <v>7.95</v>
      </c>
      <c r="N42" s="1479">
        <f t="shared" si="132"/>
        <v>2.6499999999999999E-2</v>
      </c>
      <c r="O42" s="1480">
        <f t="shared" si="132"/>
        <v>3.7599999999999995E-2</v>
      </c>
      <c r="P42" s="1480">
        <f t="shared" si="132"/>
        <v>1.89E-2</v>
      </c>
      <c r="Q42" s="1480">
        <f t="shared" si="132"/>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0"/>
        <v>221</v>
      </c>
      <c r="E43" s="1468">
        <v>373</v>
      </c>
      <c r="F43" s="1469">
        <v>196</v>
      </c>
      <c r="G43" s="3330">
        <v>2010</v>
      </c>
      <c r="H43" s="1481">
        <v>4</v>
      </c>
      <c r="I43" s="1481">
        <v>5.72</v>
      </c>
      <c r="J43" s="1481">
        <v>6.57</v>
      </c>
      <c r="K43" s="1481">
        <v>5.72</v>
      </c>
      <c r="L43" s="1482">
        <v>2.72</v>
      </c>
      <c r="N43" s="1471">
        <f t="shared" si="132"/>
        <v>5.7200000000000001E-2</v>
      </c>
      <c r="O43" s="1472">
        <f t="shared" si="132"/>
        <v>6.5700000000000008E-2</v>
      </c>
      <c r="P43" s="1472">
        <f t="shared" si="132"/>
        <v>5.7200000000000001E-2</v>
      </c>
      <c r="Q43" s="1472">
        <f t="shared" si="132"/>
        <v>2.7200000000000002E-2</v>
      </c>
      <c r="R43" s="1473"/>
      <c r="S43" s="1474"/>
      <c r="T43" s="1475"/>
      <c r="U43" s="1475"/>
      <c r="V43" s="1475"/>
      <c r="X43" s="1475"/>
      <c r="Y43" s="1475"/>
      <c r="Z43" s="1475"/>
    </row>
    <row r="44" spans="1:26">
      <c r="A44" s="1460" t="s">
        <v>1171</v>
      </c>
      <c r="B44" s="1476">
        <f t="shared" ref="B44:C46" si="144">B43/(1+N43)</f>
        <v>254.44570563753314</v>
      </c>
      <c r="C44" s="1476">
        <f t="shared" si="144"/>
        <v>207.37543398705074</v>
      </c>
      <c r="D44" s="1476">
        <f t="shared" si="130"/>
        <v>207.37543398705074</v>
      </c>
      <c r="E44" s="1476">
        <f t="shared" ref="E44:F46" si="145">E43/(1+P43)</f>
        <v>352.81876655315932</v>
      </c>
      <c r="F44" s="1476">
        <f t="shared" si="145"/>
        <v>190.809968847352</v>
      </c>
      <c r="G44" s="3331">
        <v>2010</v>
      </c>
      <c r="H44" s="1486">
        <v>3</v>
      </c>
      <c r="I44" s="1486">
        <v>4.7300000000000004</v>
      </c>
      <c r="J44" s="1486">
        <v>3.9</v>
      </c>
      <c r="K44" s="1486">
        <v>5.03</v>
      </c>
      <c r="L44" s="1487">
        <v>4.21</v>
      </c>
      <c r="N44" s="1471">
        <f t="shared" si="132"/>
        <v>4.7300000000000002E-2</v>
      </c>
      <c r="O44" s="1472">
        <f t="shared" si="132"/>
        <v>3.9E-2</v>
      </c>
      <c r="P44" s="1472">
        <f t="shared" si="132"/>
        <v>5.0300000000000004E-2</v>
      </c>
      <c r="Q44" s="1472">
        <f t="shared" si="132"/>
        <v>4.2099999999999999E-2</v>
      </c>
      <c r="R44" s="1473"/>
      <c r="S44" s="1471"/>
      <c r="T44" s="1472"/>
      <c r="U44" s="1472"/>
      <c r="V44" s="1472"/>
    </row>
    <row r="45" spans="1:26">
      <c r="A45" s="1460" t="s">
        <v>1172</v>
      </c>
      <c r="B45" s="1476">
        <f t="shared" si="144"/>
        <v>242.95398227588385</v>
      </c>
      <c r="C45" s="1476">
        <f t="shared" si="144"/>
        <v>199.59137053614126</v>
      </c>
      <c r="D45" s="1476">
        <f t="shared" si="130"/>
        <v>199.59137053614126</v>
      </c>
      <c r="E45" s="1476">
        <f t="shared" si="145"/>
        <v>335.92189522342125</v>
      </c>
      <c r="F45" s="1476">
        <f t="shared" si="145"/>
        <v>183.10139991109489</v>
      </c>
      <c r="G45" s="3331">
        <v>2010</v>
      </c>
      <c r="H45" s="1464">
        <v>2</v>
      </c>
      <c r="I45" s="1464">
        <v>4.6900000000000004</v>
      </c>
      <c r="J45" s="1464">
        <v>3.55</v>
      </c>
      <c r="K45" s="1464">
        <v>5.07</v>
      </c>
      <c r="L45" s="1478">
        <v>4.2300000000000004</v>
      </c>
      <c r="N45" s="1471">
        <f t="shared" si="132"/>
        <v>4.6900000000000004E-2</v>
      </c>
      <c r="O45" s="1472">
        <f t="shared" si="132"/>
        <v>3.5499999999999997E-2</v>
      </c>
      <c r="P45" s="1472">
        <f t="shared" si="132"/>
        <v>5.0700000000000002E-2</v>
      </c>
      <c r="Q45" s="1472">
        <f t="shared" si="132"/>
        <v>4.2300000000000004E-2</v>
      </c>
      <c r="R45" s="1473"/>
      <c r="S45" s="1471"/>
      <c r="T45" s="1472"/>
      <c r="U45" s="1472"/>
      <c r="V45" s="1472"/>
    </row>
    <row r="46" spans="1:26" ht="13.5" thickBot="1">
      <c r="A46" s="1460" t="s">
        <v>1173</v>
      </c>
      <c r="B46" s="1476">
        <f t="shared" si="144"/>
        <v>232.06990378821649</v>
      </c>
      <c r="C46" s="1476">
        <f t="shared" si="144"/>
        <v>192.74878854286936</v>
      </c>
      <c r="D46" s="1476">
        <f t="shared" si="130"/>
        <v>192.74878854286936</v>
      </c>
      <c r="E46" s="1476">
        <f t="shared" si="145"/>
        <v>319.71247284992984</v>
      </c>
      <c r="F46" s="1476">
        <f t="shared" si="145"/>
        <v>175.67053622862409</v>
      </c>
      <c r="G46" s="3332">
        <v>2010</v>
      </c>
      <c r="H46" s="1463">
        <v>1</v>
      </c>
      <c r="I46" s="1463">
        <v>5.4</v>
      </c>
      <c r="J46" s="1463">
        <v>3.2</v>
      </c>
      <c r="K46" s="1463">
        <v>6.16</v>
      </c>
      <c r="L46" s="1477">
        <v>4.51</v>
      </c>
      <c r="N46" s="1471">
        <f t="shared" si="132"/>
        <v>5.4000000000000006E-2</v>
      </c>
      <c r="O46" s="1472">
        <f t="shared" si="132"/>
        <v>3.2000000000000001E-2</v>
      </c>
      <c r="P46" s="1472">
        <f t="shared" si="132"/>
        <v>6.1600000000000002E-2</v>
      </c>
      <c r="Q46" s="1472">
        <f t="shared" si="132"/>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0"/>
        <v>187</v>
      </c>
      <c r="E47" s="1468">
        <v>301</v>
      </c>
      <c r="F47" s="1469">
        <v>168</v>
      </c>
      <c r="G47" s="3330">
        <v>2009</v>
      </c>
      <c r="H47" s="1481">
        <v>4</v>
      </c>
      <c r="I47" s="1481">
        <v>2.2999999999999998</v>
      </c>
      <c r="J47" s="1481">
        <v>1.04</v>
      </c>
      <c r="K47" s="1481">
        <v>2.84</v>
      </c>
      <c r="L47" s="1482">
        <v>0.67</v>
      </c>
      <c r="N47" s="1483">
        <f t="shared" si="132"/>
        <v>2.3E-2</v>
      </c>
      <c r="O47" s="1484">
        <f t="shared" si="132"/>
        <v>1.04E-2</v>
      </c>
      <c r="P47" s="1484">
        <f t="shared" si="132"/>
        <v>2.8399999999999998E-2</v>
      </c>
      <c r="Q47" s="1484">
        <f t="shared" si="132"/>
        <v>6.7000000000000002E-3</v>
      </c>
      <c r="R47" s="1473"/>
      <c r="S47" s="1474"/>
      <c r="T47" s="1475"/>
      <c r="U47" s="1475"/>
      <c r="V47" s="1475"/>
      <c r="X47" s="1475"/>
      <c r="Y47" s="1475"/>
      <c r="Z47" s="1475"/>
    </row>
    <row r="48" spans="1:26">
      <c r="A48" s="1460" t="s">
        <v>1175</v>
      </c>
      <c r="B48" s="1476">
        <f t="shared" ref="B48:C50" si="146">B47/(1+N47)</f>
        <v>215.05376344086022</v>
      </c>
      <c r="C48" s="1476">
        <f t="shared" si="146"/>
        <v>185.0752177355503</v>
      </c>
      <c r="D48" s="1476">
        <f t="shared" si="130"/>
        <v>185.0752177355503</v>
      </c>
      <c r="E48" s="1476">
        <f t="shared" ref="E48:F50" si="147">E47/(1+P47)</f>
        <v>292.68767016725008</v>
      </c>
      <c r="F48" s="1476">
        <f t="shared" si="147"/>
        <v>166.88189132810174</v>
      </c>
      <c r="G48" s="3331">
        <v>2009</v>
      </c>
      <c r="H48" s="1486">
        <v>3</v>
      </c>
      <c r="I48" s="1486">
        <v>2.1</v>
      </c>
      <c r="J48" s="1486">
        <v>1.86</v>
      </c>
      <c r="K48" s="1486">
        <v>2.29</v>
      </c>
      <c r="L48" s="1487">
        <v>0.85</v>
      </c>
      <c r="N48" s="1471">
        <f t="shared" si="132"/>
        <v>2.1000000000000001E-2</v>
      </c>
      <c r="O48" s="1488">
        <f t="shared" si="132"/>
        <v>1.8600000000000002E-2</v>
      </c>
      <c r="P48" s="1488">
        <f t="shared" si="132"/>
        <v>2.29E-2</v>
      </c>
      <c r="Q48" s="1488">
        <f t="shared" si="132"/>
        <v>8.5000000000000006E-3</v>
      </c>
      <c r="R48" s="1473"/>
      <c r="S48" s="1471"/>
      <c r="T48" s="1472"/>
      <c r="U48" s="1472"/>
      <c r="V48" s="1472"/>
    </row>
    <row r="49" spans="1:26">
      <c r="A49" s="1460" t="s">
        <v>1176</v>
      </c>
      <c r="B49" s="1476">
        <f t="shared" si="146"/>
        <v>210.630522469011</v>
      </c>
      <c r="C49" s="1476">
        <f t="shared" si="146"/>
        <v>181.69567812247232</v>
      </c>
      <c r="D49" s="1476">
        <f t="shared" si="130"/>
        <v>181.69567812247232</v>
      </c>
      <c r="E49" s="1476">
        <f t="shared" si="147"/>
        <v>286.13517466736738</v>
      </c>
      <c r="F49" s="1476">
        <f t="shared" si="147"/>
        <v>165.47535084591149</v>
      </c>
      <c r="G49" s="3331">
        <v>2009</v>
      </c>
      <c r="H49" s="1464">
        <v>2</v>
      </c>
      <c r="I49" s="1464">
        <v>0.86</v>
      </c>
      <c r="J49" s="1464">
        <v>-1.1299999999999999</v>
      </c>
      <c r="K49" s="1464">
        <v>1.79</v>
      </c>
      <c r="L49" s="1478">
        <v>-2.0699999999999998</v>
      </c>
      <c r="N49" s="1471">
        <f t="shared" si="132"/>
        <v>8.6E-3</v>
      </c>
      <c r="O49" s="1488">
        <f t="shared" si="132"/>
        <v>-1.1299999999999999E-2</v>
      </c>
      <c r="P49" s="1488">
        <f t="shared" si="132"/>
        <v>1.7899999999999999E-2</v>
      </c>
      <c r="Q49" s="1488">
        <f t="shared" si="132"/>
        <v>-2.07E-2</v>
      </c>
      <c r="R49" s="1473"/>
      <c r="S49" s="1471"/>
      <c r="T49" s="1472"/>
      <c r="U49" s="1472"/>
      <c r="V49" s="1472"/>
    </row>
    <row r="50" spans="1:26">
      <c r="A50" s="1460" t="s">
        <v>1177</v>
      </c>
      <c r="B50" s="1476">
        <f t="shared" si="146"/>
        <v>208.83454537875372</v>
      </c>
      <c r="C50" s="1476">
        <f t="shared" si="146"/>
        <v>183.77230517090351</v>
      </c>
      <c r="D50" s="1476">
        <f t="shared" si="130"/>
        <v>183.77230517090351</v>
      </c>
      <c r="E50" s="1476">
        <f t="shared" si="147"/>
        <v>281.10342338870947</v>
      </c>
      <c r="F50" s="1476">
        <f t="shared" si="147"/>
        <v>168.97309388942256</v>
      </c>
      <c r="G50" s="3332">
        <v>2009</v>
      </c>
      <c r="H50" s="1463">
        <v>1</v>
      </c>
      <c r="I50" s="1463">
        <v>-2.64</v>
      </c>
      <c r="J50" s="1463">
        <v>-2.5299999999999998</v>
      </c>
      <c r="K50" s="1463">
        <v>-3.02</v>
      </c>
      <c r="L50" s="1477">
        <v>1.52</v>
      </c>
      <c r="N50" s="1479">
        <f t="shared" si="132"/>
        <v>-2.64E-2</v>
      </c>
      <c r="O50" s="1480">
        <f t="shared" si="132"/>
        <v>-2.53E-2</v>
      </c>
      <c r="P50" s="1480">
        <f t="shared" si="132"/>
        <v>-3.0200000000000001E-2</v>
      </c>
      <c r="Q50" s="1480">
        <f t="shared" si="132"/>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0"/>
        <v>188</v>
      </c>
      <c r="E51" s="1510">
        <v>289</v>
      </c>
      <c r="F51" s="1511">
        <v>166</v>
      </c>
      <c r="G51" s="3330">
        <v>2008</v>
      </c>
      <c r="H51" s="1481">
        <v>4</v>
      </c>
      <c r="I51" s="1481">
        <v>1.73</v>
      </c>
      <c r="J51" s="1481">
        <v>0.03</v>
      </c>
      <c r="K51" s="1481">
        <v>2.59</v>
      </c>
      <c r="L51" s="1482">
        <v>-1.66</v>
      </c>
      <c r="N51" s="1471">
        <f t="shared" si="132"/>
        <v>1.7299999999999999E-2</v>
      </c>
      <c r="O51" s="1472">
        <f t="shared" si="132"/>
        <v>2.9999999999999997E-4</v>
      </c>
      <c r="P51" s="1472">
        <f t="shared" si="132"/>
        <v>2.5899999999999999E-2</v>
      </c>
      <c r="Q51" s="1472">
        <f t="shared" si="132"/>
        <v>-1.66E-2</v>
      </c>
      <c r="R51" s="1473"/>
      <c r="S51" s="1474"/>
      <c r="T51" s="1475"/>
      <c r="U51" s="1475"/>
      <c r="V51" s="1475"/>
      <c r="X51" s="1475"/>
      <c r="Y51" s="1475"/>
      <c r="Z51" s="1475"/>
    </row>
    <row r="52" spans="1:26">
      <c r="A52" s="1460" t="s">
        <v>1179</v>
      </c>
      <c r="B52" s="1476">
        <f t="shared" ref="B52:C54" si="148">B51/(1+N51)</f>
        <v>210.36075887152265</v>
      </c>
      <c r="C52" s="1476">
        <f t="shared" si="148"/>
        <v>187.94361691492554</v>
      </c>
      <c r="D52" s="1476">
        <f t="shared" si="130"/>
        <v>187.94361691492554</v>
      </c>
      <c r="E52" s="1476">
        <f t="shared" ref="E52:F54" si="149">E51/(1+P51)</f>
        <v>281.70386977288234</v>
      </c>
      <c r="F52" s="1476">
        <f t="shared" si="149"/>
        <v>168.80211511083994</v>
      </c>
      <c r="G52" s="3331">
        <v>2008</v>
      </c>
      <c r="H52" s="1486">
        <v>3</v>
      </c>
      <c r="I52" s="1486">
        <v>1.96</v>
      </c>
      <c r="J52" s="1486">
        <v>2.36</v>
      </c>
      <c r="K52" s="1486">
        <v>1.82</v>
      </c>
      <c r="L52" s="1487">
        <v>2.2200000000000002</v>
      </c>
      <c r="N52" s="1471">
        <f t="shared" si="132"/>
        <v>1.9599999999999999E-2</v>
      </c>
      <c r="O52" s="1472">
        <f t="shared" si="132"/>
        <v>2.3599999999999999E-2</v>
      </c>
      <c r="P52" s="1472">
        <f t="shared" si="132"/>
        <v>1.8200000000000001E-2</v>
      </c>
      <c r="Q52" s="1472">
        <f t="shared" si="132"/>
        <v>2.2200000000000001E-2</v>
      </c>
      <c r="R52" s="1473"/>
      <c r="S52" s="1471"/>
      <c r="T52" s="1472"/>
      <c r="U52" s="1472"/>
      <c r="V52" s="1472"/>
    </row>
    <row r="53" spans="1:26">
      <c r="A53" s="1460" t="s">
        <v>1180</v>
      </c>
      <c r="B53" s="1476">
        <f t="shared" si="148"/>
        <v>206.31694671589116</v>
      </c>
      <c r="C53" s="1476">
        <f t="shared" si="148"/>
        <v>183.61041121036101</v>
      </c>
      <c r="D53" s="1476">
        <f t="shared" si="130"/>
        <v>183.61041121036101</v>
      </c>
      <c r="E53" s="1476">
        <f t="shared" si="149"/>
        <v>276.66850301795557</v>
      </c>
      <c r="F53" s="1476">
        <f t="shared" si="149"/>
        <v>165.1360938278614</v>
      </c>
      <c r="G53" s="3331">
        <v>2008</v>
      </c>
      <c r="H53" s="1464">
        <v>2</v>
      </c>
      <c r="I53" s="1464">
        <v>4.93</v>
      </c>
      <c r="J53" s="1464">
        <v>7.38</v>
      </c>
      <c r="K53" s="1464">
        <v>3.98</v>
      </c>
      <c r="L53" s="1478">
        <v>6.86</v>
      </c>
      <c r="N53" s="1471">
        <f t="shared" si="132"/>
        <v>4.9299999999999997E-2</v>
      </c>
      <c r="O53" s="1472">
        <f t="shared" si="132"/>
        <v>7.3800000000000004E-2</v>
      </c>
      <c r="P53" s="1472">
        <f t="shared" si="132"/>
        <v>3.9800000000000002E-2</v>
      </c>
      <c r="Q53" s="1472">
        <f t="shared" si="132"/>
        <v>6.8600000000000008E-2</v>
      </c>
      <c r="R53" s="1473"/>
      <c r="S53" s="1471"/>
      <c r="T53" s="1472"/>
      <c r="U53" s="1472"/>
      <c r="V53" s="1472"/>
    </row>
    <row r="54" spans="1:26" s="1516" customFormat="1" ht="13.5" thickBot="1">
      <c r="A54" s="1460" t="s">
        <v>1181</v>
      </c>
      <c r="B54" s="1513">
        <f t="shared" si="148"/>
        <v>196.62341248059772</v>
      </c>
      <c r="C54" s="1513">
        <f t="shared" si="148"/>
        <v>170.99125648199012</v>
      </c>
      <c r="D54" s="1513">
        <f t="shared" si="130"/>
        <v>170.99125648199012</v>
      </c>
      <c r="E54" s="1513">
        <f t="shared" si="149"/>
        <v>266.07857570490052</v>
      </c>
      <c r="F54" s="1513">
        <f t="shared" si="149"/>
        <v>154.53499328828505</v>
      </c>
      <c r="G54" s="3332">
        <v>2008</v>
      </c>
      <c r="H54" s="1514">
        <v>1</v>
      </c>
      <c r="I54" s="1514">
        <v>4.1399999999999997</v>
      </c>
      <c r="J54" s="1514">
        <v>3.45</v>
      </c>
      <c r="K54" s="1514">
        <v>4.95</v>
      </c>
      <c r="L54" s="1515">
        <v>4.82</v>
      </c>
      <c r="N54" s="1517">
        <f t="shared" si="132"/>
        <v>4.1399999999999999E-2</v>
      </c>
      <c r="O54" s="1518">
        <f t="shared" si="132"/>
        <v>3.4500000000000003E-2</v>
      </c>
      <c r="P54" s="1518">
        <f t="shared" si="132"/>
        <v>4.9500000000000002E-2</v>
      </c>
      <c r="Q54" s="1518">
        <f t="shared" si="132"/>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0"/>
        <v>165</v>
      </c>
      <c r="E55" s="1468">
        <v>254</v>
      </c>
      <c r="F55" s="1469">
        <v>148</v>
      </c>
      <c r="G55" s="3330">
        <v>2007</v>
      </c>
      <c r="H55" s="1521">
        <v>4</v>
      </c>
      <c r="I55" s="1521">
        <v>5.51</v>
      </c>
      <c r="J55" s="1521">
        <v>4.8899999999999997</v>
      </c>
      <c r="K55" s="1521">
        <v>6.43</v>
      </c>
      <c r="L55" s="1522">
        <v>5.36</v>
      </c>
      <c r="N55" s="1523">
        <f t="shared" ref="N55:O58" si="150">B55/B56-1</f>
        <v>4.1339718365245526E-2</v>
      </c>
      <c r="O55" s="1524">
        <f t="shared" si="150"/>
        <v>4.0324492593776018E-2</v>
      </c>
      <c r="P55" s="1524">
        <f t="shared" ref="P55:Q58" si="151">E55/E56-1</f>
        <v>6.1625555347990968E-2</v>
      </c>
      <c r="Q55" s="1524">
        <f t="shared" si="151"/>
        <v>4.6757569250590603E-2</v>
      </c>
      <c r="R55" s="1473"/>
      <c r="S55" s="1474"/>
      <c r="T55" s="1475"/>
      <c r="U55" s="1475"/>
      <c r="V55" s="1475"/>
      <c r="X55" s="1475"/>
      <c r="Y55" s="1475"/>
      <c r="Z55" s="1475"/>
    </row>
    <row r="56" spans="1:26">
      <c r="A56" s="1460" t="s">
        <v>1183</v>
      </c>
      <c r="B56" s="1476">
        <f t="shared" ref="B56:C58" si="152">B57+(B$55-B$59)*I56/SUM(I$55:I$58)</f>
        <v>180.5366651097618</v>
      </c>
      <c r="C56" s="1476">
        <f t="shared" si="152"/>
        <v>158.60435967302453</v>
      </c>
      <c r="D56" s="1476">
        <f t="shared" si="130"/>
        <v>158.60435967302453</v>
      </c>
      <c r="E56" s="1476">
        <f t="shared" ref="E56:F58" si="153">E57+(E$55-E$59)*K56/SUM(K$55:K$58)</f>
        <v>239.25573260785075</v>
      </c>
      <c r="F56" s="1476">
        <f t="shared" si="153"/>
        <v>141.38899430740037</v>
      </c>
      <c r="G56" s="3331">
        <v>2007</v>
      </c>
      <c r="H56" s="1486">
        <v>3</v>
      </c>
      <c r="I56" s="1486">
        <v>8.65</v>
      </c>
      <c r="J56" s="1486">
        <v>8.06</v>
      </c>
      <c r="K56" s="1486">
        <v>9.94</v>
      </c>
      <c r="L56" s="1487">
        <v>5.8</v>
      </c>
      <c r="N56" s="1523">
        <f t="shared" si="150"/>
        <v>6.940217571740015E-2</v>
      </c>
      <c r="O56" s="1524">
        <f t="shared" si="150"/>
        <v>7.1197482471153428E-2</v>
      </c>
      <c r="P56" s="1524">
        <f t="shared" si="151"/>
        <v>0.10529679922579582</v>
      </c>
      <c r="Q56" s="1524">
        <f t="shared" si="151"/>
        <v>5.3292245059512133E-2</v>
      </c>
      <c r="R56" s="1473"/>
      <c r="S56" s="1471"/>
      <c r="T56" s="1472"/>
      <c r="U56" s="1472"/>
      <c r="V56" s="1472"/>
      <c r="X56" s="1525"/>
      <c r="Y56" s="1525"/>
      <c r="Z56" s="1525"/>
    </row>
    <row r="57" spans="1:26">
      <c r="A57" s="1460" t="s">
        <v>1184</v>
      </c>
      <c r="B57" s="1476">
        <f t="shared" si="152"/>
        <v>168.82017748715555</v>
      </c>
      <c r="C57" s="1476">
        <f t="shared" si="152"/>
        <v>148.06267029972753</v>
      </c>
      <c r="D57" s="1476">
        <f t="shared" si="130"/>
        <v>148.06267029972753</v>
      </c>
      <c r="E57" s="1476">
        <f t="shared" si="153"/>
        <v>216.46288379323747</v>
      </c>
      <c r="F57" s="1476">
        <f t="shared" si="153"/>
        <v>134.23529411764704</v>
      </c>
      <c r="G57" s="3331">
        <v>2007</v>
      </c>
      <c r="H57" s="1464">
        <v>2</v>
      </c>
      <c r="I57" s="1464">
        <v>3.67</v>
      </c>
      <c r="J57" s="1464">
        <v>2.3199999999999998</v>
      </c>
      <c r="K57" s="1464">
        <v>5.0199999999999996</v>
      </c>
      <c r="L57" s="1478">
        <v>6.71</v>
      </c>
      <c r="N57" s="1523">
        <f t="shared" si="150"/>
        <v>3.0339138143848032E-2</v>
      </c>
      <c r="O57" s="1524">
        <f t="shared" si="150"/>
        <v>2.0922341588790472E-2</v>
      </c>
      <c r="P57" s="1524">
        <f t="shared" si="151"/>
        <v>5.6164796592717003E-2</v>
      </c>
      <c r="Q57" s="1524">
        <f t="shared" si="151"/>
        <v>6.5704536723887319E-2</v>
      </c>
      <c r="R57" s="1473"/>
      <c r="S57" s="1471"/>
      <c r="T57" s="1472"/>
      <c r="U57" s="1472"/>
      <c r="V57" s="1472"/>
      <c r="X57" s="1525"/>
      <c r="Y57" s="1525"/>
      <c r="Z57" s="1525"/>
    </row>
    <row r="58" spans="1:26">
      <c r="A58" s="1460" t="s">
        <v>1185</v>
      </c>
      <c r="B58" s="1476">
        <f t="shared" si="152"/>
        <v>163.84913591779542</v>
      </c>
      <c r="C58" s="1476">
        <f t="shared" si="152"/>
        <v>145.0283378746594</v>
      </c>
      <c r="D58" s="1476">
        <f t="shared" si="130"/>
        <v>145.0283378746594</v>
      </c>
      <c r="E58" s="1476">
        <f t="shared" si="153"/>
        <v>204.95180722891567</v>
      </c>
      <c r="F58" s="1476">
        <f t="shared" si="153"/>
        <v>125.95920303605313</v>
      </c>
      <c r="G58" s="3332">
        <v>2007</v>
      </c>
      <c r="H58" s="1463">
        <v>1</v>
      </c>
      <c r="I58" s="1463">
        <v>3.58</v>
      </c>
      <c r="J58" s="1463">
        <v>3.08</v>
      </c>
      <c r="K58" s="1463">
        <v>4.34</v>
      </c>
      <c r="L58" s="1477">
        <v>3.21</v>
      </c>
      <c r="N58" s="1526">
        <f t="shared" si="150"/>
        <v>3.0497710174814063E-2</v>
      </c>
      <c r="O58" s="1527">
        <f t="shared" si="150"/>
        <v>2.8569772160704998E-2</v>
      </c>
      <c r="P58" s="1527">
        <f t="shared" si="151"/>
        <v>5.1034908866234296E-2</v>
      </c>
      <c r="Q58" s="1527">
        <f t="shared" si="151"/>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0"/>
        <v>141</v>
      </c>
      <c r="E59" s="1489">
        <v>195</v>
      </c>
      <c r="F59" s="1490">
        <v>122</v>
      </c>
      <c r="G59" s="3330">
        <v>2006</v>
      </c>
      <c r="H59" s="1481">
        <v>4</v>
      </c>
      <c r="I59" s="1481">
        <v>3.79</v>
      </c>
      <c r="J59" s="1481">
        <v>2.21</v>
      </c>
      <c r="K59" s="1481">
        <v>5.65</v>
      </c>
      <c r="L59" s="1482">
        <v>5.41</v>
      </c>
      <c r="N59" s="1523">
        <f t="shared" ref="N59:O62" si="154">I59/SUM(I$59:I$62)*(B$59/B$63-1)</f>
        <v>7.245466462748526E-2</v>
      </c>
      <c r="O59" s="1524">
        <f t="shared" si="154"/>
        <v>2.3237230038062766E-2</v>
      </c>
      <c r="P59" s="1524">
        <f t="shared" ref="P59:Q62" si="155">K59/SUM(K$59:K$62)*(E$59/E$63-1)</f>
        <v>0.16146893866323722</v>
      </c>
      <c r="Q59" s="1524">
        <f t="shared" si="155"/>
        <v>5.0755230321793784E-2</v>
      </c>
      <c r="R59" s="1473"/>
      <c r="S59" s="1474"/>
      <c r="T59" s="1475"/>
      <c r="U59" s="1475"/>
      <c r="V59" s="1475"/>
      <c r="X59" s="1525"/>
      <c r="Y59" s="1525"/>
      <c r="Z59" s="1525"/>
    </row>
    <row r="60" spans="1:26">
      <c r="A60" s="1460" t="s">
        <v>1187</v>
      </c>
      <c r="B60" s="1476">
        <f t="shared" ref="B60:C62" si="156">B61+(B$59-B$63)*I60/SUM(I$59:I$62)</f>
        <v>149.00125628140702</v>
      </c>
      <c r="C60" s="1476">
        <f t="shared" si="156"/>
        <v>137.95592286501378</v>
      </c>
      <c r="D60" s="1476">
        <f t="shared" si="130"/>
        <v>137.95592286501378</v>
      </c>
      <c r="E60" s="1476">
        <f t="shared" ref="E60:F62" si="157">E61+(E$59-E$63)*K60/SUM(K$59:K$62)</f>
        <v>169.97231450719823</v>
      </c>
      <c r="F60" s="1476">
        <f t="shared" si="157"/>
        <v>116.21390374331551</v>
      </c>
      <c r="G60" s="3331">
        <v>2006</v>
      </c>
      <c r="H60" s="1486">
        <v>3</v>
      </c>
      <c r="I60" s="1486">
        <v>0.92</v>
      </c>
      <c r="J60" s="1486">
        <v>1.08</v>
      </c>
      <c r="K60" s="1486">
        <v>0.73</v>
      </c>
      <c r="L60" s="1487">
        <v>1.08</v>
      </c>
      <c r="N60" s="1523">
        <f t="shared" si="154"/>
        <v>1.7587939698492462E-2</v>
      </c>
      <c r="O60" s="1524">
        <f t="shared" si="154"/>
        <v>1.1355750425840628E-2</v>
      </c>
      <c r="P60" s="1524">
        <f t="shared" si="155"/>
        <v>2.0862358446754544E-2</v>
      </c>
      <c r="Q60" s="1524">
        <f t="shared" si="155"/>
        <v>1.0132282578103011E-2</v>
      </c>
      <c r="R60" s="1473"/>
      <c r="S60" s="1471"/>
      <c r="T60" s="1472"/>
      <c r="U60" s="1472"/>
      <c r="V60" s="1472"/>
      <c r="X60" s="1525"/>
      <c r="Y60" s="1525"/>
      <c r="Z60" s="1525"/>
    </row>
    <row r="61" spans="1:26">
      <c r="A61" s="1460" t="s">
        <v>1188</v>
      </c>
      <c r="B61" s="1476">
        <f t="shared" si="156"/>
        <v>146.57412060301507</v>
      </c>
      <c r="C61" s="1476">
        <f t="shared" si="156"/>
        <v>136.46831955922866</v>
      </c>
      <c r="D61" s="1476">
        <f t="shared" si="130"/>
        <v>136.46831955922866</v>
      </c>
      <c r="E61" s="1476">
        <f t="shared" si="157"/>
        <v>166.73864894795128</v>
      </c>
      <c r="F61" s="1476">
        <f t="shared" si="157"/>
        <v>115.05882352941177</v>
      </c>
      <c r="G61" s="3331">
        <v>2006</v>
      </c>
      <c r="H61" s="1464">
        <v>2</v>
      </c>
      <c r="I61" s="1464">
        <v>0.96</v>
      </c>
      <c r="J61" s="1464">
        <v>0.25</v>
      </c>
      <c r="K61" s="1464">
        <v>1.9</v>
      </c>
      <c r="L61" s="1478">
        <v>0.95</v>
      </c>
      <c r="N61" s="1523">
        <f t="shared" si="154"/>
        <v>1.8352632728861701E-2</v>
      </c>
      <c r="O61" s="1524">
        <f t="shared" si="154"/>
        <v>2.6286459319075526E-3</v>
      </c>
      <c r="P61" s="1524">
        <f t="shared" si="155"/>
        <v>5.4299289107991269E-2</v>
      </c>
      <c r="Q61" s="1524">
        <f t="shared" si="155"/>
        <v>8.9126559714794995E-3</v>
      </c>
      <c r="R61" s="1473"/>
      <c r="S61" s="1471"/>
      <c r="T61" s="1472"/>
      <c r="U61" s="1472"/>
      <c r="V61" s="1472"/>
      <c r="X61" s="1525"/>
      <c r="Y61" s="1525"/>
      <c r="Z61" s="1525"/>
    </row>
    <row r="62" spans="1:26">
      <c r="A62" s="1460" t="s">
        <v>1189</v>
      </c>
      <c r="B62" s="1476">
        <f t="shared" si="156"/>
        <v>144.04145728643215</v>
      </c>
      <c r="C62" s="1476">
        <f t="shared" si="156"/>
        <v>136.12396694214877</v>
      </c>
      <c r="D62" s="1476">
        <f t="shared" si="130"/>
        <v>136.12396694214877</v>
      </c>
      <c r="E62" s="1476">
        <f t="shared" si="157"/>
        <v>158.32225913621264</v>
      </c>
      <c r="F62" s="1476">
        <f t="shared" si="157"/>
        <v>114.04278074866311</v>
      </c>
      <c r="G62" s="3332">
        <v>2006</v>
      </c>
      <c r="H62" s="1463">
        <v>1</v>
      </c>
      <c r="I62" s="1463">
        <v>2.29</v>
      </c>
      <c r="J62" s="1463">
        <v>3.72</v>
      </c>
      <c r="K62" s="1463">
        <v>0.75</v>
      </c>
      <c r="L62" s="1477">
        <v>0.04</v>
      </c>
      <c r="N62" s="1526">
        <f t="shared" si="154"/>
        <v>4.3778675988638847E-2</v>
      </c>
      <c r="O62" s="1527">
        <f t="shared" si="154"/>
        <v>3.9114251466784385E-2</v>
      </c>
      <c r="P62" s="1527">
        <f t="shared" si="155"/>
        <v>2.1433929911049188E-2</v>
      </c>
      <c r="Q62" s="1527">
        <f t="shared" si="155"/>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0"/>
        <v>131</v>
      </c>
      <c r="E63" s="1489">
        <v>155</v>
      </c>
      <c r="F63" s="1490">
        <v>114</v>
      </c>
      <c r="G63" s="3330">
        <v>2005</v>
      </c>
      <c r="H63" s="1481">
        <v>4</v>
      </c>
      <c r="I63" s="1481">
        <v>3.29</v>
      </c>
      <c r="J63" s="1481">
        <v>1.44</v>
      </c>
      <c r="K63" s="1481">
        <v>0.66</v>
      </c>
      <c r="L63" s="1482">
        <v>7.78</v>
      </c>
      <c r="N63" s="1523">
        <f t="shared" ref="N63:O66" si="158">I63/SUM(I$63:I$66)*(B$63/B$67-1)</f>
        <v>9.9404603216919935E-2</v>
      </c>
      <c r="O63" s="1524">
        <f t="shared" si="158"/>
        <v>4.7636550760861554E-2</v>
      </c>
      <c r="P63" s="1524">
        <f t="shared" ref="P63:Q66" si="159">K63/SUM(K$63:K$66)*(E$63/E$67-1)</f>
        <v>8.3756345177664976E-2</v>
      </c>
      <c r="Q63" s="1524">
        <f t="shared" si="159"/>
        <v>5.2148766661559584E-2</v>
      </c>
      <c r="R63" s="1473"/>
      <c r="S63" s="1474"/>
      <c r="T63" s="1475"/>
      <c r="U63" s="1475"/>
      <c r="V63" s="1475"/>
      <c r="X63" s="1525"/>
      <c r="Y63" s="1525"/>
      <c r="Z63" s="1525"/>
    </row>
    <row r="64" spans="1:26">
      <c r="A64" s="1460" t="s">
        <v>1191</v>
      </c>
      <c r="B64" s="1476">
        <f t="shared" ref="B64:C66" si="160">B65+(B$63-B$67)*I64/SUM(I$63:I$66)</f>
        <v>125.9720430107527</v>
      </c>
      <c r="C64" s="1476">
        <f t="shared" si="160"/>
        <v>125.1883408071749</v>
      </c>
      <c r="D64" s="1476">
        <f t="shared" si="130"/>
        <v>125.1883408071749</v>
      </c>
      <c r="E64" s="1476">
        <f t="shared" ref="E64:F66" si="161">E65+(E$63-E$67)*K64/SUM(K$63:K$66)</f>
        <v>144.61421319796952</v>
      </c>
      <c r="F64" s="1476">
        <f t="shared" si="161"/>
        <v>108.42008196721311</v>
      </c>
      <c r="G64" s="3331">
        <v>2005</v>
      </c>
      <c r="H64" s="1486">
        <v>3</v>
      </c>
      <c r="I64" s="1486">
        <v>0.46</v>
      </c>
      <c r="J64" s="1486">
        <v>0.32</v>
      </c>
      <c r="K64" s="1486">
        <v>0.42</v>
      </c>
      <c r="L64" s="1487">
        <v>0.64</v>
      </c>
      <c r="N64" s="1523">
        <f t="shared" si="158"/>
        <v>1.3898515951301874E-2</v>
      </c>
      <c r="O64" s="1524">
        <f t="shared" si="158"/>
        <v>1.0585900169080346E-2</v>
      </c>
      <c r="P64" s="1524">
        <f t="shared" si="159"/>
        <v>5.3299492385786795E-2</v>
      </c>
      <c r="Q64" s="1524">
        <f t="shared" si="159"/>
        <v>4.2898728359123568E-3</v>
      </c>
      <c r="R64" s="1473"/>
      <c r="S64" s="1471"/>
      <c r="T64" s="1472"/>
      <c r="U64" s="1472"/>
      <c r="V64" s="1472"/>
      <c r="X64" s="1525"/>
      <c r="Y64" s="1525"/>
      <c r="Z64" s="1525"/>
    </row>
    <row r="65" spans="1:26">
      <c r="A65" s="1460" t="s">
        <v>1192</v>
      </c>
      <c r="B65" s="1476">
        <f t="shared" si="160"/>
        <v>124.29032258064517</v>
      </c>
      <c r="C65" s="1476">
        <f t="shared" si="160"/>
        <v>123.8968609865471</v>
      </c>
      <c r="D65" s="1476">
        <f t="shared" si="130"/>
        <v>123.8968609865471</v>
      </c>
      <c r="E65" s="1476">
        <f t="shared" si="161"/>
        <v>138.00507614213197</v>
      </c>
      <c r="F65" s="1476">
        <f t="shared" si="161"/>
        <v>107.96106557377048</v>
      </c>
      <c r="G65" s="3331">
        <v>2005</v>
      </c>
      <c r="H65" s="1464">
        <v>2</v>
      </c>
      <c r="I65" s="1464">
        <v>0.47</v>
      </c>
      <c r="J65" s="1464">
        <v>0.1</v>
      </c>
      <c r="K65" s="1464">
        <v>0.52</v>
      </c>
      <c r="L65" s="1478">
        <v>0.79</v>
      </c>
      <c r="N65" s="1523">
        <f t="shared" si="158"/>
        <v>1.420065760241713E-2</v>
      </c>
      <c r="O65" s="1524">
        <f t="shared" si="158"/>
        <v>3.3080938028376083E-3</v>
      </c>
      <c r="P65" s="1524">
        <f t="shared" si="159"/>
        <v>6.598984771573603E-2</v>
      </c>
      <c r="Q65" s="1524">
        <f t="shared" si="159"/>
        <v>5.2953117818293153E-3</v>
      </c>
      <c r="R65" s="1473"/>
      <c r="S65" s="1471"/>
      <c r="T65" s="1472"/>
      <c r="U65" s="1472"/>
      <c r="V65" s="1472"/>
      <c r="X65" s="1525"/>
      <c r="Y65" s="1525"/>
      <c r="Z65" s="1525"/>
    </row>
    <row r="66" spans="1:26">
      <c r="A66" s="1460" t="s">
        <v>1193</v>
      </c>
      <c r="B66" s="1476">
        <f t="shared" si="160"/>
        <v>122.57204301075269</v>
      </c>
      <c r="C66" s="1476">
        <f t="shared" si="160"/>
        <v>123.4932735426009</v>
      </c>
      <c r="D66" s="1476">
        <f t="shared" si="130"/>
        <v>123.4932735426009</v>
      </c>
      <c r="E66" s="1476">
        <f t="shared" si="161"/>
        <v>129.82233502538071</v>
      </c>
      <c r="F66" s="1476">
        <f t="shared" si="161"/>
        <v>107.39446721311475</v>
      </c>
      <c r="G66" s="3332">
        <v>2005</v>
      </c>
      <c r="H66" s="1463">
        <v>1</v>
      </c>
      <c r="I66" s="1463">
        <v>0.43</v>
      </c>
      <c r="J66" s="1463">
        <v>0.37</v>
      </c>
      <c r="K66" s="1463">
        <v>0.37</v>
      </c>
      <c r="L66" s="1477">
        <v>0.55000000000000004</v>
      </c>
      <c r="N66" s="1526">
        <f t="shared" si="158"/>
        <v>1.2992090997956099E-2</v>
      </c>
      <c r="O66" s="1527">
        <f t="shared" si="158"/>
        <v>1.2239947070499151E-2</v>
      </c>
      <c r="P66" s="1527">
        <f t="shared" si="159"/>
        <v>4.6954314720812178E-2</v>
      </c>
      <c r="Q66" s="1527">
        <f t="shared" si="159"/>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0"/>
        <v>122</v>
      </c>
      <c r="E67" s="1510">
        <v>124</v>
      </c>
      <c r="F67" s="1511">
        <v>107</v>
      </c>
      <c r="G67" s="3330">
        <v>2004</v>
      </c>
      <c r="H67" s="1481">
        <v>4</v>
      </c>
      <c r="I67" s="1481">
        <v>0.33</v>
      </c>
      <c r="J67" s="1481">
        <v>0.5</v>
      </c>
      <c r="K67" s="1481">
        <v>0.5</v>
      </c>
      <c r="L67" s="1482">
        <v>0</v>
      </c>
      <c r="N67" s="1523">
        <f t="shared" ref="N67:O70" si="162">I67/SUM(I$67:I$70)*(B$67/B$71-1)</f>
        <v>1.3391770148526898E-2</v>
      </c>
      <c r="O67" s="1524">
        <f t="shared" si="162"/>
        <v>1.063264221158958E-2</v>
      </c>
      <c r="P67" s="1524">
        <f t="shared" ref="P67:Q70" si="163">K67/SUM(K$67:K$70)*(E$67/E$71-1)</f>
        <v>2.2244466688911134E-2</v>
      </c>
      <c r="Q67" s="1524">
        <f t="shared" si="163"/>
        <v>0</v>
      </c>
      <c r="R67" s="1473"/>
      <c r="S67" s="1474"/>
      <c r="T67" s="1475"/>
      <c r="U67" s="1475"/>
      <c r="V67" s="1475"/>
      <c r="X67" s="1525"/>
      <c r="Y67" s="1525"/>
      <c r="Z67" s="1525"/>
    </row>
    <row r="68" spans="1:26">
      <c r="A68" s="1460" t="s">
        <v>1195</v>
      </c>
      <c r="B68" s="1476">
        <f t="shared" ref="B68:C70" si="164">B69+(B$67-B$71)*I68/SUM(I$67:I$70)</f>
        <v>119.51351351351352</v>
      </c>
      <c r="C68" s="1476">
        <f t="shared" si="164"/>
        <v>120.7878787878788</v>
      </c>
      <c r="D68" s="1476">
        <f t="shared" si="130"/>
        <v>120.7878787878788</v>
      </c>
      <c r="E68" s="1476">
        <f t="shared" ref="E68:F70" si="165">E69+(E$67-E$71)*K68/SUM(K$67:K$70)</f>
        <v>121.5975975975976</v>
      </c>
      <c r="F68" s="1476">
        <f t="shared" si="165"/>
        <v>107</v>
      </c>
      <c r="G68" s="3331">
        <v>2004</v>
      </c>
      <c r="H68" s="1486">
        <v>3</v>
      </c>
      <c r="I68" s="1486">
        <v>0.56000000000000005</v>
      </c>
      <c r="J68" s="1486">
        <v>0.8</v>
      </c>
      <c r="K68" s="1486">
        <v>0.83</v>
      </c>
      <c r="L68" s="1487">
        <v>0.06</v>
      </c>
      <c r="N68" s="1523">
        <f t="shared" si="162"/>
        <v>2.2725428130833527E-2</v>
      </c>
      <c r="O68" s="1524">
        <f t="shared" si="162"/>
        <v>1.7012227538543329E-2</v>
      </c>
      <c r="P68" s="1524">
        <f t="shared" si="163"/>
        <v>3.6925814703592477E-2</v>
      </c>
      <c r="Q68" s="1524">
        <f t="shared" si="163"/>
        <v>2.8846153846153744E-2</v>
      </c>
      <c r="R68" s="1473"/>
      <c r="S68" s="1471"/>
      <c r="T68" s="1472"/>
      <c r="U68" s="1472"/>
      <c r="V68" s="1472"/>
      <c r="X68" s="1525"/>
      <c r="Y68" s="1525"/>
      <c r="Z68" s="1525"/>
    </row>
    <row r="69" spans="1:26">
      <c r="A69" s="1460" t="s">
        <v>1196</v>
      </c>
      <c r="B69" s="1476">
        <f t="shared" si="164"/>
        <v>116.99099099099099</v>
      </c>
      <c r="C69" s="1476">
        <f t="shared" si="164"/>
        <v>118.84848484848486</v>
      </c>
      <c r="D69" s="1476">
        <f t="shared" si="130"/>
        <v>118.84848484848486</v>
      </c>
      <c r="E69" s="1476">
        <f t="shared" si="165"/>
        <v>117.60960960960961</v>
      </c>
      <c r="F69" s="1476">
        <f t="shared" si="165"/>
        <v>104</v>
      </c>
      <c r="G69" s="3331">
        <v>2004</v>
      </c>
      <c r="H69" s="1464">
        <v>2</v>
      </c>
      <c r="I69" s="1464">
        <v>1</v>
      </c>
      <c r="J69" s="1464">
        <v>1.5</v>
      </c>
      <c r="K69" s="1464">
        <v>1.5</v>
      </c>
      <c r="L69" s="1478">
        <v>0</v>
      </c>
      <c r="N69" s="1523">
        <f t="shared" si="162"/>
        <v>4.0581121662202721E-2</v>
      </c>
      <c r="O69" s="1524">
        <f t="shared" si="162"/>
        <v>3.1897926634768738E-2</v>
      </c>
      <c r="P69" s="1524">
        <f t="shared" si="163"/>
        <v>6.6733400066733395E-2</v>
      </c>
      <c r="Q69" s="1524">
        <f t="shared" si="163"/>
        <v>0</v>
      </c>
      <c r="R69" s="1473"/>
      <c r="S69" s="1471"/>
      <c r="T69" s="1472"/>
      <c r="U69" s="1472"/>
      <c r="V69" s="1472"/>
      <c r="X69" s="1525"/>
      <c r="Y69" s="1525"/>
      <c r="Z69" s="1525"/>
    </row>
    <row r="70" spans="1:26" s="1516" customFormat="1" ht="13.5" thickBot="1">
      <c r="A70" s="1460" t="s">
        <v>1197</v>
      </c>
      <c r="B70" s="1513">
        <f t="shared" si="164"/>
        <v>112.48648648648648</v>
      </c>
      <c r="C70" s="1513">
        <f t="shared" si="164"/>
        <v>115.21212121212122</v>
      </c>
      <c r="D70" s="1513">
        <f t="shared" si="130"/>
        <v>115.21212121212122</v>
      </c>
      <c r="E70" s="1513">
        <f t="shared" si="165"/>
        <v>110.4024024024024</v>
      </c>
      <c r="F70" s="1513">
        <f t="shared" si="165"/>
        <v>104</v>
      </c>
      <c r="G70" s="3332">
        <v>2004</v>
      </c>
      <c r="H70" s="1514">
        <v>1</v>
      </c>
      <c r="I70" s="1514">
        <v>0.33</v>
      </c>
      <c r="J70" s="1514">
        <v>0.5</v>
      </c>
      <c r="K70" s="1514">
        <v>0.5</v>
      </c>
      <c r="L70" s="1515">
        <v>0</v>
      </c>
      <c r="N70" s="1528">
        <f t="shared" si="162"/>
        <v>1.3391770148526898E-2</v>
      </c>
      <c r="O70" s="1529">
        <f t="shared" si="162"/>
        <v>1.063264221158958E-2</v>
      </c>
      <c r="P70" s="1529">
        <f t="shared" si="163"/>
        <v>2.2244466688911134E-2</v>
      </c>
      <c r="Q70" s="1529">
        <f t="shared" si="163"/>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0"/>
        <v>114</v>
      </c>
      <c r="E71" s="1531">
        <v>108</v>
      </c>
      <c r="F71" s="1532">
        <v>104</v>
      </c>
      <c r="G71" s="3330">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6">B73+(B$71-B$75)/4</f>
        <v>109.75</v>
      </c>
      <c r="C72" s="1535">
        <f t="shared" si="166"/>
        <v>112.25</v>
      </c>
      <c r="D72" s="1535">
        <f t="shared" si="130"/>
        <v>112.25</v>
      </c>
      <c r="E72" s="1535">
        <f t="shared" ref="E72:F74" si="167">E73+(E$71-E$75)/4</f>
        <v>107.25</v>
      </c>
      <c r="F72" s="1535">
        <f t="shared" si="167"/>
        <v>103.5</v>
      </c>
      <c r="G72" s="3331">
        <v>2003</v>
      </c>
      <c r="H72" s="1486">
        <v>3</v>
      </c>
      <c r="I72" s="1533"/>
      <c r="J72" s="1533"/>
      <c r="K72" s="1533"/>
      <c r="L72" s="1533"/>
      <c r="X72" s="1525"/>
      <c r="Y72" s="1525"/>
      <c r="Z72" s="1525"/>
    </row>
    <row r="73" spans="1:26">
      <c r="A73" s="1460" t="s">
        <v>1200</v>
      </c>
      <c r="B73" s="1535">
        <f t="shared" si="166"/>
        <v>108.5</v>
      </c>
      <c r="C73" s="1535">
        <f t="shared" si="166"/>
        <v>110.5</v>
      </c>
      <c r="D73" s="1535">
        <f t="shared" si="130"/>
        <v>110.5</v>
      </c>
      <c r="E73" s="1535">
        <f t="shared" si="167"/>
        <v>106.5</v>
      </c>
      <c r="F73" s="1535">
        <f t="shared" si="167"/>
        <v>103</v>
      </c>
      <c r="G73" s="3331">
        <v>2003</v>
      </c>
      <c r="H73" s="1464">
        <v>2</v>
      </c>
      <c r="I73" s="1533"/>
      <c r="J73" s="1533"/>
      <c r="K73" s="1533"/>
      <c r="L73" s="1533"/>
      <c r="X73" s="1525"/>
      <c r="Y73" s="1525"/>
      <c r="Z73" s="1525"/>
    </row>
    <row r="74" spans="1:26" ht="13.5" thickBot="1">
      <c r="A74" s="1460" t="s">
        <v>1201</v>
      </c>
      <c r="B74" s="1535">
        <f t="shared" si="166"/>
        <v>107.25</v>
      </c>
      <c r="C74" s="1535">
        <f t="shared" si="166"/>
        <v>108.75</v>
      </c>
      <c r="D74" s="1535">
        <f t="shared" si="130"/>
        <v>108.75</v>
      </c>
      <c r="E74" s="1535">
        <f t="shared" si="167"/>
        <v>105.75</v>
      </c>
      <c r="F74" s="1535">
        <f t="shared" si="167"/>
        <v>102.5</v>
      </c>
      <c r="G74" s="3332">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0"/>
        <v>107</v>
      </c>
      <c r="E75" s="1537">
        <v>105</v>
      </c>
      <c r="F75" s="1538">
        <v>102</v>
      </c>
      <c r="G75" s="3330">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68">B77+(B$75-B$79)/4</f>
        <v>105</v>
      </c>
      <c r="C76" s="1535">
        <f t="shared" si="168"/>
        <v>106</v>
      </c>
      <c r="D76" s="1535">
        <f t="shared" si="130"/>
        <v>106</v>
      </c>
      <c r="E76" s="1535">
        <f t="shared" ref="E76:F78" si="169">E77+(E$75-E$79)/4</f>
        <v>104.5</v>
      </c>
      <c r="F76" s="1535">
        <f t="shared" si="169"/>
        <v>101.5</v>
      </c>
      <c r="G76" s="3331">
        <v>2002</v>
      </c>
      <c r="H76" s="1486">
        <v>3</v>
      </c>
      <c r="I76" s="1533"/>
      <c r="J76" s="1533"/>
      <c r="K76" s="1533"/>
      <c r="L76" s="1533"/>
      <c r="X76" s="1525"/>
      <c r="Y76" s="1525"/>
      <c r="Z76" s="1525"/>
    </row>
    <row r="77" spans="1:26">
      <c r="A77" s="1460" t="s">
        <v>1204</v>
      </c>
      <c r="B77" s="1535">
        <f t="shared" si="168"/>
        <v>104</v>
      </c>
      <c r="C77" s="1535">
        <f t="shared" si="168"/>
        <v>105</v>
      </c>
      <c r="D77" s="1535">
        <f t="shared" si="130"/>
        <v>105</v>
      </c>
      <c r="E77" s="1535">
        <f t="shared" si="169"/>
        <v>104</v>
      </c>
      <c r="F77" s="1535">
        <f t="shared" si="169"/>
        <v>101</v>
      </c>
      <c r="G77" s="3331">
        <v>2002</v>
      </c>
      <c r="H77" s="1464">
        <v>2</v>
      </c>
      <c r="I77" s="1533"/>
      <c r="J77" s="1533"/>
      <c r="K77" s="1533"/>
      <c r="L77" s="1533"/>
      <c r="X77" s="1525"/>
      <c r="Y77" s="1525"/>
      <c r="Z77" s="1525"/>
    </row>
    <row r="78" spans="1:26" s="1497" customFormat="1" ht="13.5" thickBot="1">
      <c r="A78" s="1493" t="s">
        <v>1205</v>
      </c>
      <c r="B78" s="1539">
        <f t="shared" si="168"/>
        <v>103</v>
      </c>
      <c r="C78" s="1539">
        <f t="shared" si="168"/>
        <v>104</v>
      </c>
      <c r="D78" s="1539">
        <f t="shared" si="130"/>
        <v>104</v>
      </c>
      <c r="E78" s="1539">
        <f t="shared" si="169"/>
        <v>103.5</v>
      </c>
      <c r="F78" s="1539">
        <f t="shared" si="169"/>
        <v>100.5</v>
      </c>
      <c r="G78" s="3332">
        <v>2002</v>
      </c>
      <c r="H78" s="1540">
        <v>1</v>
      </c>
      <c r="I78" s="1541"/>
      <c r="J78" s="1541"/>
      <c r="K78" s="1541"/>
      <c r="L78" s="1541"/>
      <c r="N78" s="1542"/>
      <c r="S78" s="1542"/>
      <c r="X78" s="1543"/>
      <c r="Y78" s="1543"/>
      <c r="Z78" s="1543"/>
    </row>
    <row r="79" spans="1:26" ht="13.5" thickBot="1">
      <c r="B79" s="1544">
        <v>102</v>
      </c>
      <c r="C79" s="1545">
        <v>103</v>
      </c>
      <c r="D79" s="1545">
        <f t="shared" si="130"/>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v>
      </c>
      <c r="B3" s="3024"/>
      <c r="C3" s="3024"/>
      <c r="D3" s="3024"/>
      <c r="E3" s="3024"/>
    </row>
    <row r="4" spans="1:5" ht="19.5" thickBot="1">
      <c r="A4" s="1959"/>
      <c r="B4" s="3022" t="s">
        <v>1624</v>
      </c>
      <c r="C4" s="3022"/>
      <c r="D4" s="3022"/>
      <c r="E4" s="1959"/>
    </row>
    <row r="5" spans="1:5" ht="16.5" thickTop="1">
      <c r="A5" s="1957"/>
      <c r="B5" s="3020" t="s">
        <v>1616</v>
      </c>
      <c r="C5" s="1960" t="s">
        <v>1617</v>
      </c>
      <c r="D5" s="1039">
        <f ca="1">结果表!H101</f>
        <v>7480</v>
      </c>
      <c r="E5" s="1957"/>
    </row>
    <row r="6" spans="1:5" ht="15.75">
      <c r="A6" s="1957"/>
      <c r="B6" s="3020"/>
      <c r="C6" s="1960" t="s">
        <v>1618</v>
      </c>
      <c r="D6" s="1039" t="str">
        <f ca="1">NUMBERSTRING(INT(D5*10000),2)&amp;"元整"</f>
        <v>柒仟肆佰捌拾万元整</v>
      </c>
      <c r="E6" s="1957"/>
    </row>
    <row r="7" spans="1:5" ht="15.75">
      <c r="A7" s="1957"/>
      <c r="B7" s="3025"/>
      <c r="C7" s="1961" t="s">
        <v>1619</v>
      </c>
      <c r="D7" s="1040">
        <f ca="1">结果表!H102</f>
        <v>8009</v>
      </c>
      <c r="E7" s="1957"/>
    </row>
    <row r="8" spans="1:5" ht="15.75">
      <c r="A8" s="1957"/>
      <c r="B8" s="3026" t="str">
        <f>结果表!E103</f>
        <v>2.估价师知悉的法定优先受偿款</v>
      </c>
      <c r="C8" s="1962" t="s">
        <v>1620</v>
      </c>
      <c r="D8" s="1040">
        <f>结果表!H103</f>
        <v>0</v>
      </c>
      <c r="E8" s="1957"/>
    </row>
    <row r="9" spans="1:5" ht="15.75">
      <c r="A9" s="1957"/>
      <c r="B9" s="3028"/>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3019" t="str">
        <f>结果表!E107</f>
        <v>3.房地产抵押价值</v>
      </c>
      <c r="C13" s="1965" t="s">
        <v>1617</v>
      </c>
      <c r="D13" s="1042">
        <f ca="1">结果表!H107</f>
        <v>7480</v>
      </c>
      <c r="E13" s="1957"/>
    </row>
    <row r="14" spans="1:5" ht="15.75">
      <c r="A14" s="1957"/>
      <c r="B14" s="3020"/>
      <c r="C14" s="1960" t="s">
        <v>1618</v>
      </c>
      <c r="D14" s="1039" t="str">
        <f ca="1">NUMBERSTRING(INT(D13*10000),2)&amp;"元整"</f>
        <v>柒仟肆佰捌拾万元整</v>
      </c>
      <c r="E14" s="1957"/>
    </row>
    <row r="15" spans="1:5" ht="15">
      <c r="A15" s="1957"/>
      <c r="B15" s="3025"/>
      <c r="C15" s="1961" t="s">
        <v>1628</v>
      </c>
      <c r="D15" s="1051">
        <f ca="1">结果表!H108</f>
        <v>8009</v>
      </c>
      <c r="E15" s="1957"/>
    </row>
    <row r="16" spans="1:5" ht="15">
      <c r="A16" s="1957"/>
      <c r="B16" s="3026" t="str">
        <f>结果表!E109</f>
        <v>——</v>
      </c>
      <c r="C16" s="1965" t="s">
        <v>1629</v>
      </c>
      <c r="D16" s="1966" t="str">
        <f>结果表!H109</f>
        <v>——</v>
      </c>
      <c r="E16" s="1957"/>
    </row>
    <row r="17" spans="1:5" ht="15.75">
      <c r="A17" s="1957"/>
      <c r="B17" s="3027"/>
      <c r="C17" s="1960" t="s">
        <v>1630</v>
      </c>
      <c r="D17" s="1039" t="e">
        <f>NUMBERSTRING(INT(D16*10000),2)&amp;"元整"</f>
        <v>#VALUE!</v>
      </c>
      <c r="E17" s="1957"/>
    </row>
    <row r="18" spans="1:5" ht="15">
      <c r="A18" s="1957"/>
      <c r="B18" s="3028"/>
      <c r="C18" s="1961" t="s">
        <v>1619</v>
      </c>
      <c r="D18" s="1051" t="str">
        <f>结果表!H110</f>
        <v>——</v>
      </c>
      <c r="E18" s="1957"/>
    </row>
    <row r="19" spans="1:5" ht="15.75">
      <c r="A19" s="1957"/>
      <c r="B19" s="3019" t="str">
        <f>结果表!E111</f>
        <v>——</v>
      </c>
      <c r="C19" s="1965" t="s">
        <v>1617</v>
      </c>
      <c r="D19" s="1040" t="str">
        <f>结果表!H111</f>
        <v>——</v>
      </c>
      <c r="E19" s="1957"/>
    </row>
    <row r="20" spans="1:5" ht="15.75">
      <c r="A20" s="1957"/>
      <c r="B20" s="3020"/>
      <c r="C20" s="1960" t="s">
        <v>1630</v>
      </c>
      <c r="D20" s="1039" t="e">
        <f>NUMBERSTRING(INT(D19*10000),2)&amp;"元整"</f>
        <v>#VALUE!</v>
      </c>
      <c r="E20" s="1957"/>
    </row>
    <row r="21" spans="1:5" ht="15.75" thickBot="1">
      <c r="A21" s="1957"/>
      <c r="B21" s="3021"/>
      <c r="C21" s="1967" t="s">
        <v>1628</v>
      </c>
      <c r="D21" s="1052"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3001</v>
      </c>
      <c r="C1" s="3340" t="s">
        <v>3002</v>
      </c>
      <c r="D1" s="3341"/>
      <c r="E1" s="3341"/>
      <c r="F1" s="3341"/>
      <c r="G1" s="3341"/>
      <c r="H1" s="3341"/>
      <c r="I1" s="3341"/>
      <c r="J1" s="3341"/>
      <c r="K1" s="3341"/>
      <c r="L1" s="3341"/>
      <c r="M1" s="3341"/>
      <c r="N1" s="3341"/>
      <c r="O1" s="3341"/>
      <c r="P1" s="3341"/>
      <c r="Q1" s="3341"/>
      <c r="R1" s="3341"/>
      <c r="S1" s="3342"/>
      <c r="T1" s="1203" t="s">
        <v>3003</v>
      </c>
    </row>
    <row r="2" spans="1:45" s="706" customFormat="1">
      <c r="A2" s="1204"/>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3005</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3006</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3007</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3009</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3011</v>
      </c>
      <c r="B17" s="2908"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3013</v>
      </c>
      <c r="E19" s="1791"/>
      <c r="F19" s="1791"/>
      <c r="G19" s="1791"/>
      <c r="H19" s="1279"/>
      <c r="I19" s="167"/>
      <c r="J19" s="167"/>
      <c r="K19" s="167"/>
      <c r="L19" s="167"/>
      <c r="M19" s="167"/>
      <c r="N19" s="167"/>
      <c r="O19" s="167"/>
      <c r="P19" s="167"/>
      <c r="Q19" s="167"/>
      <c r="R19" s="787"/>
      <c r="S19" s="137"/>
    </row>
    <row r="20" spans="1:45" ht="16.5" thickBot="1">
      <c r="A20" s="714" t="s">
        <v>3014</v>
      </c>
      <c r="B20" s="337" t="e">
        <f ca="1">IF(D20="——",S22,S22-F20)</f>
        <v>#REF!</v>
      </c>
      <c r="C20" s="167"/>
      <c r="D20" s="2910" t="s">
        <v>3015</v>
      </c>
      <c r="E20" s="1792"/>
      <c r="F20" s="1203" t="e">
        <f ca="1">SUMIF(INDIRECT("'"&amp;H20&amp;"'"&amp;"!A:A"),"承租人权益价值",INDIRECT("'"&amp;H20&amp;"'"&amp;"!c:c"))</f>
        <v>#REF!</v>
      </c>
      <c r="G20" s="1203" t="s">
        <v>3016</v>
      </c>
      <c r="H20" s="2911"/>
      <c r="I20" s="167"/>
      <c r="J20" s="167"/>
      <c r="K20" s="167"/>
      <c r="L20" s="167"/>
      <c r="M20" s="167"/>
      <c r="N20" s="167"/>
      <c r="O20" s="167"/>
      <c r="P20" s="167"/>
      <c r="Q20" s="167"/>
      <c r="R20" s="787"/>
      <c r="S20" s="137"/>
    </row>
    <row r="21" spans="1:45" ht="15.75">
      <c r="A21" s="714" t="s">
        <v>3017</v>
      </c>
      <c r="B21" s="337">
        <f>R22</f>
        <v>10000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100</v>
      </c>
      <c r="C22" s="3119" t="s">
        <v>33</v>
      </c>
      <c r="D22" s="3120"/>
      <c r="E22" s="3120"/>
      <c r="F22" s="3120"/>
      <c r="G22" s="3120"/>
      <c r="H22" s="3120"/>
      <c r="I22" s="3120"/>
      <c r="J22" s="3120"/>
      <c r="K22" s="3120"/>
      <c r="L22" s="3120"/>
      <c r="M22" s="3120"/>
      <c r="N22" s="3120"/>
      <c r="O22" s="3120"/>
      <c r="P22" s="3120"/>
      <c r="Q22" s="3339"/>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27530</v>
      </c>
      <c r="C2" s="2" t="s">
        <v>133</v>
      </c>
      <c r="D2" s="242"/>
      <c r="E2" s="242"/>
      <c r="F2" s="242"/>
      <c r="G2" s="242"/>
    </row>
    <row r="3" spans="1:7" s="243" customFormat="1" ht="18" customHeight="1" thickBot="1">
      <c r="A3" s="246" t="s">
        <v>85</v>
      </c>
      <c r="B3" s="247">
        <f ca="1">ROUND(B2*10000/'数据-汇总表'!E3,0)</f>
        <v>29478</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150</v>
      </c>
      <c r="F9" s="264"/>
      <c r="G9" s="269"/>
    </row>
    <row r="10" spans="1:7" s="257" customFormat="1" ht="13.5" customHeight="1">
      <c r="A10" s="949" t="s">
        <v>801</v>
      </c>
      <c r="B10" s="267" t="s">
        <v>94</v>
      </c>
      <c r="C10" s="268">
        <f>ROUND(D10*E10/10000,0)</f>
        <v>177</v>
      </c>
      <c r="D10" s="1031">
        <f>'数据-汇总表'!E6</f>
        <v>9339.3000000000011</v>
      </c>
      <c r="E10" s="268">
        <f>'数据-取费表'!B28</f>
        <v>190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187</v>
      </c>
      <c r="D19" s="1035">
        <f>'数据-汇总表'!E3</f>
        <v>9339.3000000000011</v>
      </c>
      <c r="E19" s="254">
        <f>'数据-取费表'!B31</f>
        <v>200</v>
      </c>
      <c r="F19" s="274"/>
      <c r="G19" s="1" t="s">
        <v>1070</v>
      </c>
    </row>
    <row r="20" spans="1:7" s="257" customFormat="1" ht="13.5" customHeight="1">
      <c r="A20" s="947" t="s">
        <v>1053</v>
      </c>
      <c r="B20" s="253" t="s">
        <v>104</v>
      </c>
      <c r="C20" s="275">
        <f>ROUND((C5+C19)*F20,0)</f>
        <v>416</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914</v>
      </c>
      <c r="D22" s="278">
        <f ca="1">C26</f>
        <v>4.0000000000000002E-4</v>
      </c>
      <c r="E22" s="279" t="s">
        <v>126</v>
      </c>
      <c r="F22" s="280">
        <f ca="1">'数据-取费表'!B40</f>
        <v>4.3499999999999997E-2</v>
      </c>
      <c r="G22" s="1288" t="str">
        <f>IF('数据-取费表'!B22&lt;=1,"单利计息","复利计息")</f>
        <v>单利计息</v>
      </c>
    </row>
    <row r="23" spans="1:7" s="257" customFormat="1" ht="13.5" customHeight="1">
      <c r="A23" s="950" t="s">
        <v>794</v>
      </c>
      <c r="B23" s="258" t="s">
        <v>1057</v>
      </c>
      <c r="C23" s="1354">
        <f ca="1">ROUND(IF('数据-取费表'!B22&lt;=1,C5*F22*'数据-取费表'!B23,C5*(POWER((1+F22),'数据-取费表'!B23)-1)),0)</f>
        <v>897</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8</v>
      </c>
      <c r="D24" s="281"/>
      <c r="E24" s="281"/>
      <c r="F24" s="282"/>
      <c r="G24" s="283" t="s">
        <v>109</v>
      </c>
    </row>
    <row r="25" spans="1:7" s="257" customFormat="1" ht="24">
      <c r="A25" s="950" t="s">
        <v>793</v>
      </c>
      <c r="B25" s="258" t="s">
        <v>1054</v>
      </c>
      <c r="C25" s="1354">
        <f ca="1">ROUND(IF('数据-取费表'!B22&lt;=1,C20*F22*'数据-取费表'!B23/2,C20*(POWER((1+F22),'数据-取费表'!B23/2)-1)),0)</f>
        <v>9</v>
      </c>
      <c r="D25" s="281"/>
      <c r="E25" s="284"/>
      <c r="F25" s="282"/>
      <c r="G25" s="285" t="s">
        <v>110</v>
      </c>
    </row>
    <row r="26" spans="1:7" s="257" customFormat="1">
      <c r="A26" s="950" t="s">
        <v>795</v>
      </c>
      <c r="B26" s="258" t="s">
        <v>1056</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1061</v>
      </c>
      <c r="D27" s="278">
        <f>C29</f>
        <v>1E-3</v>
      </c>
      <c r="E27" s="279" t="s">
        <v>126</v>
      </c>
      <c r="F27" s="289">
        <f>'数据-取费表'!Q16</f>
        <v>0.05</v>
      </c>
      <c r="G27" s="290" t="s">
        <v>1065</v>
      </c>
    </row>
    <row r="28" spans="1:7" s="257" customFormat="1" ht="13.5" customHeight="1">
      <c r="A28" s="950" t="s">
        <v>794</v>
      </c>
      <c r="B28" s="291" t="s">
        <v>1058</v>
      </c>
      <c r="C28" s="292">
        <f>ROUND((C5+C19+C20)*F27*'数据-取费表'!B21/'数据-取费表'!B20,0)</f>
        <v>1061</v>
      </c>
      <c r="D28" s="278"/>
      <c r="E28" s="279"/>
      <c r="F28" s="289"/>
      <c r="G28" s="290"/>
    </row>
    <row r="29" spans="1:7" s="257" customFormat="1" ht="13.5" customHeight="1">
      <c r="A29" s="950" t="s">
        <v>792</v>
      </c>
      <c r="B29" s="291" t="s">
        <v>1059</v>
      </c>
      <c r="C29" s="281">
        <f>ROUND(C21*F27*'数据-取费表'!B21/'数据-取费表'!B20,4)</f>
        <v>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25035</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3114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2801</v>
      </c>
      <c r="D34" s="260"/>
      <c r="E34" s="263"/>
      <c r="F34" s="300">
        <f>IF('数据-取费表'!B24=0,1,'数据-取费表'!N16)</f>
        <v>1</v>
      </c>
      <c r="G34" s="262" t="s">
        <v>116</v>
      </c>
    </row>
    <row r="35" spans="1:7" ht="13.5" customHeight="1">
      <c r="A35" s="950" t="s">
        <v>796</v>
      </c>
      <c r="B35" s="258" t="s">
        <v>60</v>
      </c>
      <c r="C35" s="263">
        <f>ROUND(C34*F35,0)</f>
        <v>84</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187</v>
      </c>
      <c r="D37" s="260">
        <f>'数据-汇总表'!E3</f>
        <v>9339.3000000000011</v>
      </c>
      <c r="E37" s="292">
        <f>'数据-取费表'!B35</f>
        <v>200</v>
      </c>
      <c r="F37" s="302"/>
      <c r="G37" s="304" t="s">
        <v>119</v>
      </c>
    </row>
    <row r="38" spans="1:7" ht="13.5" customHeight="1">
      <c r="A38" s="950" t="s">
        <v>799</v>
      </c>
      <c r="B38" s="258" t="s">
        <v>63</v>
      </c>
      <c r="C38" s="263">
        <f>ROUND(C34*F38,0)</f>
        <v>42</v>
      </c>
      <c r="D38" s="263"/>
      <c r="E38" s="263"/>
      <c r="F38" s="302">
        <f>'数据-取费表'!B36</f>
        <v>1.4999999999999999E-2</v>
      </c>
      <c r="G38" s="262" t="s">
        <v>117</v>
      </c>
    </row>
    <row r="39" spans="1:7" s="257" customFormat="1" ht="13.5" customHeight="1">
      <c r="A39" s="947" t="s">
        <v>783</v>
      </c>
      <c r="B39" s="253" t="s">
        <v>104</v>
      </c>
      <c r="C39" s="275">
        <f>ROUND(C33*F20,0)</f>
        <v>62</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69</v>
      </c>
      <c r="D41" s="278">
        <f ca="1">C44</f>
        <v>4.0000000000000002E-4</v>
      </c>
      <c r="E41" s="279" t="s">
        <v>129</v>
      </c>
      <c r="F41" s="280"/>
      <c r="G41" s="1288" t="str">
        <f>IF('数据-取费表'!B22&lt;=1,"单利计息","复利计息")</f>
        <v>单利计息</v>
      </c>
    </row>
    <row r="42" spans="1:7" ht="13.5" customHeight="1">
      <c r="A42" s="950" t="s">
        <v>794</v>
      </c>
      <c r="B42" s="258" t="s">
        <v>1057</v>
      </c>
      <c r="C42" s="281">
        <f ca="1">ROUND(IF('数据-取费表'!B22&lt;=1,C33*F22*'数据-取费表'!B21/2,C33*(POWER((1+F22),'数据-取费表'!B21/2)-1)),0)</f>
        <v>68</v>
      </c>
      <c r="D42" s="281"/>
      <c r="E42" s="281"/>
      <c r="F42" s="282"/>
      <c r="G42" s="3204" t="s">
        <v>121</v>
      </c>
    </row>
    <row r="43" spans="1:7" ht="13.5" customHeight="1">
      <c r="A43" s="950" t="s">
        <v>792</v>
      </c>
      <c r="B43" s="258" t="s">
        <v>1060</v>
      </c>
      <c r="C43" s="281">
        <f ca="1">ROUND(IF('数据-取费表'!B22&lt;=1,C39*F22*'数据-取费表'!B21/2,C39*(POWER((1+F22),'数据-取费表'!B21/2)-1)),0)</f>
        <v>1</v>
      </c>
      <c r="D43" s="281"/>
      <c r="E43" s="281"/>
      <c r="F43" s="282"/>
      <c r="G43" s="3205"/>
    </row>
    <row r="44" spans="1:7" ht="13.5" customHeight="1">
      <c r="A44" s="950" t="s">
        <v>793</v>
      </c>
      <c r="B44" s="258" t="s">
        <v>1062</v>
      </c>
      <c r="C44" s="281">
        <f ca="1">ROUND(IF('数据-取费表'!B22&lt;=1,C40*F22*'数据-取费表'!B21/2,C40*(POWER((1+F22),'数据-取费表'!B21/2)-1)),4)</f>
        <v>4.0000000000000002E-4</v>
      </c>
      <c r="D44" s="281"/>
      <c r="E44" s="281"/>
      <c r="F44" s="282"/>
      <c r="G44" s="3206"/>
    </row>
    <row r="45" spans="1:7" s="257" customFormat="1" ht="13.5" customHeight="1">
      <c r="A45" s="947" t="s">
        <v>786</v>
      </c>
      <c r="B45" s="287" t="s">
        <v>112</v>
      </c>
      <c r="C45" s="288">
        <f>C46</f>
        <v>159</v>
      </c>
      <c r="D45" s="278">
        <f>C47</f>
        <v>1E-3</v>
      </c>
      <c r="E45" s="279" t="s">
        <v>129</v>
      </c>
      <c r="F45" s="289"/>
      <c r="G45" s="290" t="s">
        <v>1068</v>
      </c>
    </row>
    <row r="46" spans="1:7" s="257" customFormat="1" ht="13.5" customHeight="1">
      <c r="A46" s="950" t="s">
        <v>794</v>
      </c>
      <c r="B46" s="291" t="s">
        <v>1061</v>
      </c>
      <c r="C46" s="292">
        <f>ROUND((C33+C39)*F27,0)</f>
        <v>159</v>
      </c>
      <c r="D46" s="306"/>
      <c r="E46" s="279"/>
      <c r="F46" s="289"/>
      <c r="G46" s="290"/>
    </row>
    <row r="47" spans="1:7" s="257" customFormat="1" ht="13.5" customHeight="1">
      <c r="A47" s="950" t="s">
        <v>792</v>
      </c>
      <c r="B47" s="291" t="s">
        <v>1063</v>
      </c>
      <c r="C47" s="281">
        <f>ROUND(C40*F27,4)</f>
        <v>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3675</v>
      </c>
      <c r="D49" s="275"/>
      <c r="E49" s="275"/>
      <c r="F49" s="307"/>
      <c r="G49" s="277" t="s">
        <v>1069</v>
      </c>
    </row>
    <row r="50" spans="1:7" s="301" customFormat="1" ht="24">
      <c r="A50" s="947" t="s">
        <v>789</v>
      </c>
      <c r="B50" s="253" t="s">
        <v>124</v>
      </c>
      <c r="C50" s="275"/>
      <c r="D50" s="275"/>
      <c r="E50" s="275"/>
      <c r="F50" s="307">
        <f>IF('数据-取费表'!B24=0,'数据-取费表'!N16,1)</f>
        <v>0.67900000000000005</v>
      </c>
      <c r="G50" s="290" t="s">
        <v>125</v>
      </c>
    </row>
    <row r="51" spans="1:7" ht="16.5" customHeight="1">
      <c r="A51" s="947" t="s">
        <v>790</v>
      </c>
      <c r="B51" s="253" t="s">
        <v>132</v>
      </c>
      <c r="C51" s="275">
        <f ca="1">ROUND(C49*F50,0)</f>
        <v>2495</v>
      </c>
      <c r="D51" s="275"/>
      <c r="E51" s="275"/>
      <c r="F51" s="307"/>
      <c r="G51" s="277" t="s">
        <v>64</v>
      </c>
    </row>
    <row r="52" spans="1:7" s="251" customFormat="1" ht="16.5" thickBot="1">
      <c r="A52" s="308" t="s">
        <v>65</v>
      </c>
      <c r="B52" s="309"/>
      <c r="C52" s="310">
        <f ca="1">C31+C51</f>
        <v>27530</v>
      </c>
      <c r="D52" s="309"/>
      <c r="E52" s="309"/>
      <c r="F52" s="309"/>
      <c r="G52" s="311"/>
    </row>
    <row r="55" spans="1:7" ht="15">
      <c r="B55" s="313" t="s">
        <v>66</v>
      </c>
      <c r="C55" s="314"/>
    </row>
    <row r="56" spans="1:7">
      <c r="B56" s="316" t="s">
        <v>67</v>
      </c>
      <c r="C56" s="317">
        <f ca="1">ROUND(C51/C52,3)</f>
        <v>9.0999999999999998E-2</v>
      </c>
    </row>
    <row r="57" spans="1:7">
      <c r="B57" s="316" t="s">
        <v>68</v>
      </c>
      <c r="C57" s="318">
        <f ca="1">1-C56</f>
        <v>0.90900000000000003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3" t="s">
        <v>156</v>
      </c>
      <c r="B1" s="3343"/>
      <c r="C1" s="3343"/>
      <c r="D1" s="3343"/>
      <c r="E1" s="3343"/>
      <c r="F1" s="334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4" t="s">
        <v>169</v>
      </c>
      <c r="B2" s="3344"/>
      <c r="C2" s="3344"/>
      <c r="D2" s="3344"/>
      <c r="E2" s="3344"/>
      <c r="F2" s="334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3" t="s">
        <v>867</v>
      </c>
      <c r="B1" s="3343"/>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43934</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H15"/>
  <sheetViews>
    <sheetView workbookViewId="0">
      <selection activeCell="N73" sqref="N73"/>
    </sheetView>
  </sheetViews>
  <sheetFormatPr defaultRowHeight="13.5"/>
  <cols>
    <col min="6" max="6" width="16.5" customWidth="1"/>
    <col min="7" max="7" width="15" customWidth="1"/>
    <col min="8" max="8" width="9.5" bestFit="1" customWidth="1"/>
  </cols>
  <sheetData>
    <row r="8" spans="4:8">
      <c r="D8" s="2964"/>
      <c r="E8" s="2964"/>
      <c r="F8" s="2964"/>
      <c r="G8" s="2965"/>
      <c r="H8" s="2965"/>
    </row>
    <row r="9" spans="4:8" ht="27" customHeight="1">
      <c r="D9" s="2964"/>
      <c r="E9" s="3347"/>
      <c r="F9" s="2966"/>
      <c r="G9" s="2964"/>
      <c r="H9" s="2964"/>
    </row>
    <row r="10" spans="4:8">
      <c r="D10" s="2964"/>
      <c r="E10" s="3348"/>
      <c r="F10" s="2966"/>
      <c r="G10" s="2964"/>
      <c r="H10" s="2964"/>
    </row>
    <row r="11" spans="4:8">
      <c r="D11" s="2964"/>
      <c r="E11" s="3348"/>
      <c r="F11" s="2966"/>
      <c r="G11" s="2964"/>
      <c r="H11" s="2964"/>
    </row>
    <row r="12" spans="4:8">
      <c r="D12" s="2964"/>
      <c r="E12" s="2965"/>
      <c r="F12" s="2966"/>
      <c r="G12" s="2965"/>
      <c r="H12" s="2964"/>
    </row>
    <row r="13" spans="4:8">
      <c r="D13" s="2964"/>
      <c r="E13" s="2965"/>
      <c r="F13" s="2966"/>
      <c r="G13" s="2964"/>
      <c r="H13" s="2964"/>
    </row>
    <row r="14" spans="4:8">
      <c r="D14" s="2964"/>
      <c r="E14" s="2964"/>
      <c r="F14" s="2964"/>
      <c r="G14" s="2964"/>
      <c r="H14" s="2964"/>
    </row>
    <row r="15" spans="4:8">
      <c r="D15" s="2964"/>
      <c r="E15" s="2964"/>
      <c r="F15" s="2964"/>
      <c r="G15" s="2964"/>
      <c r="H15" s="2964"/>
    </row>
  </sheetData>
  <mergeCells count="1">
    <mergeCell ref="E9:E11"/>
  </mergeCells>
  <phoneticPr fontId="143" type="noConversion"/>
  <pageMargins left="0.7" right="0.7" top="0.75" bottom="0.75" header="0.3" footer="0.3"/>
  <pageSetup paperSize="9" orientation="portrait" horizontalDpi="1200" verticalDpi="120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0"/>
  <sheetViews>
    <sheetView topLeftCell="C1" workbookViewId="0">
      <selection activeCell="M10" sqref="M10"/>
    </sheetView>
  </sheetViews>
  <sheetFormatPr defaultColWidth="12.25" defaultRowHeight="13.5"/>
  <cols>
    <col min="1" max="1" width="8.625" style="1634" customWidth="1"/>
    <col min="2" max="4" width="12.25" style="1634"/>
    <col min="5" max="5" width="11.625" style="1634" customWidth="1"/>
    <col min="6" max="6" width="12.25" style="3007"/>
    <col min="7" max="11" width="12.375" style="1634" bestFit="1" customWidth="1"/>
    <col min="12" max="12" width="12.25" style="1634"/>
    <col min="13" max="13" width="13.125" style="1634" bestFit="1" customWidth="1"/>
    <col min="14" max="14" width="12.375" style="1634" bestFit="1" customWidth="1"/>
    <col min="15" max="16384" width="12.25" style="1634"/>
  </cols>
  <sheetData>
    <row r="1" spans="1:14">
      <c r="A1" s="2968" t="s">
        <v>3089</v>
      </c>
      <c r="B1" s="2969" t="s">
        <v>3090</v>
      </c>
      <c r="C1" s="2969" t="s">
        <v>3091</v>
      </c>
      <c r="D1" s="2970" t="s">
        <v>3092</v>
      </c>
      <c r="E1" s="2971" t="s">
        <v>3093</v>
      </c>
      <c r="F1" s="3004" t="s">
        <v>3094</v>
      </c>
      <c r="G1" s="2972" t="s">
        <v>3095</v>
      </c>
      <c r="H1" s="2973" t="s">
        <v>3096</v>
      </c>
      <c r="I1" s="2974" t="s">
        <v>3097</v>
      </c>
      <c r="J1" s="2974" t="s">
        <v>3098</v>
      </c>
      <c r="K1" s="2974" t="s">
        <v>3099</v>
      </c>
      <c r="L1" s="2970" t="s">
        <v>3100</v>
      </c>
      <c r="M1" s="2975" t="s">
        <v>3101</v>
      </c>
    </row>
    <row r="2" spans="1:14" ht="24">
      <c r="A2" s="2976">
        <v>1</v>
      </c>
      <c r="B2" s="2977" t="s">
        <v>3102</v>
      </c>
      <c r="C2" s="2978" t="s">
        <v>3103</v>
      </c>
      <c r="D2" s="2978" t="s">
        <v>3104</v>
      </c>
      <c r="E2" s="2979">
        <v>1300</v>
      </c>
      <c r="F2" s="3005" t="s">
        <v>3105</v>
      </c>
      <c r="G2" s="2981">
        <v>316333</v>
      </c>
      <c r="H2" s="2982">
        <v>43070</v>
      </c>
      <c r="I2" s="2976">
        <v>2</v>
      </c>
      <c r="J2" s="2976">
        <v>3</v>
      </c>
      <c r="K2" s="2976">
        <v>25</v>
      </c>
      <c r="L2" s="2980" t="s">
        <v>3106</v>
      </c>
      <c r="M2" s="2983">
        <v>1898000</v>
      </c>
      <c r="N2" s="1634">
        <f>ROUND(M2/365/E2,1)</f>
        <v>4</v>
      </c>
    </row>
    <row r="3" spans="1:14" ht="24">
      <c r="A3" s="2976">
        <v>2</v>
      </c>
      <c r="B3" s="2977" t="s">
        <v>3102</v>
      </c>
      <c r="C3" s="2978" t="s">
        <v>3107</v>
      </c>
      <c r="D3" s="2978" t="s">
        <v>3104</v>
      </c>
      <c r="E3" s="2979">
        <v>106</v>
      </c>
      <c r="F3" s="3005" t="s">
        <v>3105</v>
      </c>
      <c r="G3" s="2981">
        <v>25794</v>
      </c>
      <c r="H3" s="2982">
        <v>43070</v>
      </c>
      <c r="I3" s="2976">
        <v>2</v>
      </c>
      <c r="J3" s="2976">
        <v>3</v>
      </c>
      <c r="K3" s="2976">
        <v>25</v>
      </c>
      <c r="L3" s="2980" t="s">
        <v>3106</v>
      </c>
      <c r="M3" s="2983">
        <v>154760</v>
      </c>
      <c r="N3" s="1634">
        <f t="shared" ref="N3:N25" si="0">ROUND(M3/365/E3,1)</f>
        <v>4</v>
      </c>
    </row>
    <row r="4" spans="1:14" ht="36">
      <c r="A4" s="2976">
        <v>3</v>
      </c>
      <c r="B4" s="2977" t="s">
        <v>3102</v>
      </c>
      <c r="C4" s="2978" t="s">
        <v>3108</v>
      </c>
      <c r="D4" s="2978" t="s">
        <v>3109</v>
      </c>
      <c r="E4" s="2979">
        <v>1406</v>
      </c>
      <c r="F4" s="3349" t="s">
        <v>3110</v>
      </c>
      <c r="G4" s="3350">
        <v>364112</v>
      </c>
      <c r="H4" s="3351">
        <v>43070</v>
      </c>
      <c r="I4" s="3352">
        <v>2</v>
      </c>
      <c r="J4" s="3353">
        <v>9.83</v>
      </c>
      <c r="K4" s="3352">
        <v>25</v>
      </c>
      <c r="L4" s="3002" t="s">
        <v>3111</v>
      </c>
      <c r="M4" s="3354">
        <v>2184672</v>
      </c>
      <c r="N4" s="3355">
        <f t="shared" si="0"/>
        <v>4.3</v>
      </c>
    </row>
    <row r="5" spans="1:14" ht="24">
      <c r="A5" s="2976" t="s">
        <v>3170</v>
      </c>
      <c r="B5" s="2977" t="s">
        <v>3102</v>
      </c>
      <c r="C5" s="2984" t="s">
        <v>3112</v>
      </c>
      <c r="D5" s="2985"/>
      <c r="E5" s="2979">
        <v>30</v>
      </c>
      <c r="F5" s="3005" t="s">
        <v>3113</v>
      </c>
      <c r="G5" s="2986">
        <v>8200</v>
      </c>
      <c r="H5" s="2982">
        <v>43344</v>
      </c>
      <c r="I5" s="2987">
        <v>0</v>
      </c>
      <c r="J5" s="2987">
        <v>3</v>
      </c>
      <c r="K5" s="2976">
        <v>16</v>
      </c>
      <c r="L5" s="2980" t="s">
        <v>3106</v>
      </c>
      <c r="M5" s="2988">
        <v>49200</v>
      </c>
      <c r="N5" s="1634">
        <f t="shared" si="0"/>
        <v>4.5</v>
      </c>
    </row>
    <row r="6" spans="1:14" ht="36">
      <c r="A6" s="2976">
        <v>9</v>
      </c>
      <c r="B6" s="2977" t="s">
        <v>3102</v>
      </c>
      <c r="C6" s="2978" t="s">
        <v>3114</v>
      </c>
      <c r="D6" s="2978" t="s">
        <v>3115</v>
      </c>
      <c r="E6" s="2989"/>
      <c r="F6" s="3005" t="s">
        <v>3116</v>
      </c>
      <c r="G6" s="2981"/>
      <c r="H6" s="2982">
        <v>43739</v>
      </c>
      <c r="I6" s="2976">
        <v>0</v>
      </c>
      <c r="J6" s="2976">
        <v>1</v>
      </c>
      <c r="K6" s="2976">
        <v>3</v>
      </c>
      <c r="L6" s="2980" t="s">
        <v>3106</v>
      </c>
      <c r="M6" s="2983">
        <v>10000</v>
      </c>
      <c r="N6" s="1634" t="e">
        <f t="shared" si="0"/>
        <v>#DIV/0!</v>
      </c>
    </row>
    <row r="7" spans="1:14" ht="36">
      <c r="A7" s="2976">
        <v>10</v>
      </c>
      <c r="B7" s="2977" t="s">
        <v>3102</v>
      </c>
      <c r="C7" s="3356" t="s">
        <v>3117</v>
      </c>
      <c r="D7" s="3356" t="s">
        <v>3118</v>
      </c>
      <c r="E7" s="3357">
        <v>2150</v>
      </c>
      <c r="F7" s="3349" t="s">
        <v>3119</v>
      </c>
      <c r="G7" s="3350">
        <v>523166</v>
      </c>
      <c r="H7" s="3351">
        <v>43405</v>
      </c>
      <c r="I7" s="3352">
        <v>3</v>
      </c>
      <c r="J7" s="3352">
        <v>10</v>
      </c>
      <c r="K7" s="3352">
        <v>14</v>
      </c>
      <c r="L7" s="3002" t="s">
        <v>3120</v>
      </c>
      <c r="M7" s="3354">
        <v>3139000</v>
      </c>
      <c r="N7" s="1634">
        <f t="shared" si="0"/>
        <v>4</v>
      </c>
    </row>
    <row r="8" spans="1:14" ht="36">
      <c r="A8" s="2976">
        <v>11</v>
      </c>
      <c r="B8" s="2977" t="s">
        <v>3102</v>
      </c>
      <c r="C8" s="2978" t="s">
        <v>3121</v>
      </c>
      <c r="D8" s="2978" t="s">
        <v>3122</v>
      </c>
      <c r="E8" s="2979">
        <v>400</v>
      </c>
      <c r="F8" s="3005" t="s">
        <v>3123</v>
      </c>
      <c r="G8" s="2981">
        <v>73000</v>
      </c>
      <c r="H8" s="2982">
        <v>43405</v>
      </c>
      <c r="I8" s="2976">
        <v>0</v>
      </c>
      <c r="J8" s="2976">
        <v>5</v>
      </c>
      <c r="K8" s="2976">
        <v>14</v>
      </c>
      <c r="L8" s="2980" t="s">
        <v>3124</v>
      </c>
      <c r="M8" s="2983">
        <v>438000</v>
      </c>
      <c r="N8" s="1634">
        <f t="shared" si="0"/>
        <v>3</v>
      </c>
    </row>
    <row r="9" spans="1:14" ht="36">
      <c r="A9" s="2976">
        <v>12</v>
      </c>
      <c r="B9" s="2977" t="s">
        <v>3102</v>
      </c>
      <c r="C9" s="2978" t="s">
        <v>3125</v>
      </c>
      <c r="D9" s="2978" t="s">
        <v>3126</v>
      </c>
      <c r="E9" s="2990"/>
      <c r="F9" s="3005" t="s">
        <v>3127</v>
      </c>
      <c r="G9" s="2981">
        <v>0</v>
      </c>
      <c r="H9" s="2982">
        <v>43405</v>
      </c>
      <c r="I9" s="2976">
        <v>0</v>
      </c>
      <c r="J9" s="2976">
        <v>3</v>
      </c>
      <c r="K9" s="2976">
        <v>14</v>
      </c>
      <c r="L9" s="2980" t="s">
        <v>3128</v>
      </c>
      <c r="M9" s="2983">
        <v>10000</v>
      </c>
    </row>
    <row r="10" spans="1:14" ht="36">
      <c r="A10" s="2976">
        <v>14</v>
      </c>
      <c r="B10" s="2977" t="s">
        <v>3102</v>
      </c>
      <c r="C10" s="2978" t="s">
        <v>3129</v>
      </c>
      <c r="D10" s="2978" t="s">
        <v>3122</v>
      </c>
      <c r="E10" s="2979">
        <v>210</v>
      </c>
      <c r="F10" s="3005" t="s">
        <v>3130</v>
      </c>
      <c r="G10" s="2981">
        <v>38326</v>
      </c>
      <c r="H10" s="2982">
        <v>43435</v>
      </c>
      <c r="I10" s="2976">
        <v>1</v>
      </c>
      <c r="J10" s="2976">
        <v>3</v>
      </c>
      <c r="K10" s="2976">
        <v>13</v>
      </c>
      <c r="L10" s="2980" t="s">
        <v>3106</v>
      </c>
      <c r="M10" s="2983">
        <v>229956</v>
      </c>
      <c r="N10" s="1634">
        <f t="shared" si="0"/>
        <v>3</v>
      </c>
    </row>
    <row r="11" spans="1:14" ht="36">
      <c r="A11" s="2976">
        <v>15</v>
      </c>
      <c r="B11" s="2977" t="s">
        <v>3102</v>
      </c>
      <c r="C11" s="2978" t="s">
        <v>3131</v>
      </c>
      <c r="D11" s="2978" t="s">
        <v>3132</v>
      </c>
      <c r="E11" s="2979">
        <v>115</v>
      </c>
      <c r="F11" s="3005" t="s">
        <v>3133</v>
      </c>
      <c r="G11" s="2981">
        <v>22386</v>
      </c>
      <c r="H11" s="2982">
        <v>43466</v>
      </c>
      <c r="I11" s="2976">
        <v>0</v>
      </c>
      <c r="J11" s="2976">
        <v>3</v>
      </c>
      <c r="K11" s="2976">
        <v>12</v>
      </c>
      <c r="L11" s="2980" t="s">
        <v>3106</v>
      </c>
      <c r="M11" s="2983">
        <v>134316</v>
      </c>
      <c r="N11" s="1634">
        <f t="shared" si="0"/>
        <v>3.2</v>
      </c>
    </row>
    <row r="12" spans="1:14" ht="36">
      <c r="A12" s="2976">
        <v>16</v>
      </c>
      <c r="B12" s="2977" t="s">
        <v>3102</v>
      </c>
      <c r="C12" s="2978" t="s">
        <v>3134</v>
      </c>
      <c r="D12" s="2978" t="s">
        <v>3122</v>
      </c>
      <c r="E12" s="2979">
        <v>85</v>
      </c>
      <c r="F12" s="3005" t="s">
        <v>3135</v>
      </c>
      <c r="G12" s="2981">
        <v>15512</v>
      </c>
      <c r="H12" s="2982">
        <v>43466</v>
      </c>
      <c r="I12" s="2976">
        <v>1</v>
      </c>
      <c r="J12" s="2976">
        <v>3</v>
      </c>
      <c r="K12" s="2976">
        <v>12</v>
      </c>
      <c r="L12" s="2980" t="s">
        <v>3106</v>
      </c>
      <c r="M12" s="2983">
        <v>93072</v>
      </c>
      <c r="N12" s="1634">
        <f t="shared" si="0"/>
        <v>3</v>
      </c>
    </row>
    <row r="13" spans="1:14" ht="36">
      <c r="A13" s="2976">
        <v>17</v>
      </c>
      <c r="B13" s="2977" t="s">
        <v>3102</v>
      </c>
      <c r="C13" s="2978" t="s">
        <v>3136</v>
      </c>
      <c r="D13" s="2978" t="s">
        <v>3132</v>
      </c>
      <c r="E13" s="2979">
        <v>130</v>
      </c>
      <c r="F13" s="3005" t="s">
        <v>3137</v>
      </c>
      <c r="G13" s="2981">
        <v>25306</v>
      </c>
      <c r="H13" s="2982">
        <v>43497</v>
      </c>
      <c r="I13" s="2976">
        <v>1</v>
      </c>
      <c r="J13" s="2976">
        <v>5</v>
      </c>
      <c r="K13" s="2976">
        <v>11</v>
      </c>
      <c r="L13" s="2980" t="s">
        <v>3124</v>
      </c>
      <c r="M13" s="2983">
        <v>151840</v>
      </c>
      <c r="N13" s="1634">
        <f t="shared" si="0"/>
        <v>3.2</v>
      </c>
    </row>
    <row r="14" spans="1:14" ht="36">
      <c r="A14" s="2991">
        <v>19</v>
      </c>
      <c r="B14" s="2992" t="s">
        <v>3102</v>
      </c>
      <c r="C14" s="2993" t="s">
        <v>3138</v>
      </c>
      <c r="D14" s="3356" t="s">
        <v>3139</v>
      </c>
      <c r="E14" s="3357">
        <v>824</v>
      </c>
      <c r="F14" s="3349" t="s">
        <v>3140</v>
      </c>
      <c r="G14" s="3350"/>
      <c r="H14" s="3351">
        <v>43800</v>
      </c>
      <c r="I14" s="3352">
        <v>0</v>
      </c>
      <c r="J14" s="3352">
        <v>10</v>
      </c>
      <c r="K14" s="3352">
        <v>1</v>
      </c>
      <c r="L14" s="3002" t="s">
        <v>3106</v>
      </c>
      <c r="M14" s="3354">
        <v>1149744</v>
      </c>
      <c r="N14" s="1634">
        <f t="shared" si="0"/>
        <v>3.8</v>
      </c>
    </row>
    <row r="15" spans="1:14" ht="36">
      <c r="A15" s="2976">
        <v>20</v>
      </c>
      <c r="B15" s="2977" t="s">
        <v>3102</v>
      </c>
      <c r="C15" s="2978" t="s">
        <v>3141</v>
      </c>
      <c r="D15" s="2978" t="s">
        <v>3132</v>
      </c>
      <c r="E15" s="2979">
        <v>41</v>
      </c>
      <c r="F15" s="3005" t="s">
        <v>3142</v>
      </c>
      <c r="G15" s="2981">
        <v>7981</v>
      </c>
      <c r="H15" s="2982">
        <v>43525</v>
      </c>
      <c r="I15" s="2976">
        <v>0</v>
      </c>
      <c r="J15" s="2976">
        <v>3</v>
      </c>
      <c r="K15" s="2976">
        <v>10</v>
      </c>
      <c r="L15" s="2980" t="s">
        <v>3106</v>
      </c>
      <c r="M15" s="2983">
        <v>47888</v>
      </c>
      <c r="N15" s="1634">
        <f t="shared" si="0"/>
        <v>3.2</v>
      </c>
    </row>
    <row r="16" spans="1:14" ht="36">
      <c r="A16" s="2995" t="s">
        <v>3143</v>
      </c>
      <c r="B16" s="2996" t="s">
        <v>3102</v>
      </c>
      <c r="C16" s="2997" t="s">
        <v>3144</v>
      </c>
      <c r="D16" s="2997" t="s">
        <v>3132</v>
      </c>
      <c r="E16" s="2998">
        <v>15</v>
      </c>
      <c r="F16" s="3006" t="s">
        <v>3145</v>
      </c>
      <c r="G16" s="2994"/>
      <c r="H16" s="3000">
        <v>43617</v>
      </c>
      <c r="I16" s="2995"/>
      <c r="J16" s="2995">
        <v>3</v>
      </c>
      <c r="K16" s="2995">
        <v>7</v>
      </c>
      <c r="L16" s="2999" t="s">
        <v>3106</v>
      </c>
      <c r="M16" s="3001">
        <v>8760</v>
      </c>
      <c r="N16" s="1634">
        <f t="shared" si="0"/>
        <v>1.6</v>
      </c>
    </row>
    <row r="17" spans="1:14" ht="36">
      <c r="A17" s="2976">
        <v>21</v>
      </c>
      <c r="B17" s="2977" t="s">
        <v>3102</v>
      </c>
      <c r="C17" s="2978" t="s">
        <v>3146</v>
      </c>
      <c r="D17" s="2978" t="s">
        <v>3122</v>
      </c>
      <c r="E17" s="2979">
        <v>150</v>
      </c>
      <c r="F17" s="3005" t="s">
        <v>3147</v>
      </c>
      <c r="G17" s="2981"/>
      <c r="H17" s="2982">
        <v>43466</v>
      </c>
      <c r="I17" s="2976">
        <v>0</v>
      </c>
      <c r="J17" s="2976">
        <v>1</v>
      </c>
      <c r="K17" s="2976">
        <v>12</v>
      </c>
      <c r="L17" s="2980" t="s">
        <v>3148</v>
      </c>
      <c r="M17" s="2983">
        <v>170475</v>
      </c>
      <c r="N17" s="1634">
        <f t="shared" si="0"/>
        <v>3.1</v>
      </c>
    </row>
    <row r="18" spans="1:14" ht="36">
      <c r="A18" s="2976">
        <v>22</v>
      </c>
      <c r="B18" s="2977" t="s">
        <v>3102</v>
      </c>
      <c r="C18" s="2978" t="s">
        <v>3149</v>
      </c>
      <c r="D18" s="2978" t="s">
        <v>3132</v>
      </c>
      <c r="E18" s="2979">
        <v>352</v>
      </c>
      <c r="F18" s="3005" t="s">
        <v>3150</v>
      </c>
      <c r="G18" s="2981">
        <v>68523</v>
      </c>
      <c r="H18" s="2982">
        <v>43556</v>
      </c>
      <c r="I18" s="2976">
        <v>0</v>
      </c>
      <c r="J18" s="2976">
        <v>3</v>
      </c>
      <c r="K18" s="2976">
        <v>9</v>
      </c>
      <c r="L18" s="2980" t="s">
        <v>3106</v>
      </c>
      <c r="M18" s="2983">
        <v>411136</v>
      </c>
      <c r="N18" s="1634">
        <f t="shared" si="0"/>
        <v>3.2</v>
      </c>
    </row>
    <row r="19" spans="1:14" ht="36">
      <c r="A19" s="2976">
        <v>23</v>
      </c>
      <c r="B19" s="2977" t="s">
        <v>3102</v>
      </c>
      <c r="C19" s="2978" t="s">
        <v>3151</v>
      </c>
      <c r="D19" s="2978" t="s">
        <v>3132</v>
      </c>
      <c r="E19" s="2979">
        <v>65</v>
      </c>
      <c r="F19" s="3005" t="s">
        <v>3152</v>
      </c>
      <c r="G19" s="2981">
        <v>12653</v>
      </c>
      <c r="H19" s="2982">
        <v>43586</v>
      </c>
      <c r="I19" s="2976">
        <v>0</v>
      </c>
      <c r="J19" s="2976">
        <v>3</v>
      </c>
      <c r="K19" s="2976">
        <v>8</v>
      </c>
      <c r="L19" s="2980" t="s">
        <v>3106</v>
      </c>
      <c r="M19" s="2983">
        <v>75920</v>
      </c>
      <c r="N19" s="1634">
        <f t="shared" si="0"/>
        <v>3.2</v>
      </c>
    </row>
    <row r="20" spans="1:14" ht="36">
      <c r="A20" s="2976">
        <v>25</v>
      </c>
      <c r="B20" s="2977" t="s">
        <v>3102</v>
      </c>
      <c r="C20" s="2978" t="s">
        <v>3153</v>
      </c>
      <c r="D20" s="2978" t="s">
        <v>3132</v>
      </c>
      <c r="E20" s="2979">
        <v>130</v>
      </c>
      <c r="F20" s="3005" t="s">
        <v>3154</v>
      </c>
      <c r="G20" s="2981">
        <v>25307</v>
      </c>
      <c r="H20" s="2982">
        <v>43617</v>
      </c>
      <c r="I20" s="2976">
        <v>0</v>
      </c>
      <c r="J20" s="2976">
        <v>1</v>
      </c>
      <c r="K20" s="2976">
        <v>7</v>
      </c>
      <c r="L20" s="2980" t="s">
        <v>3155</v>
      </c>
      <c r="M20" s="2983">
        <v>151840</v>
      </c>
      <c r="N20" s="1634">
        <f t="shared" si="0"/>
        <v>3.2</v>
      </c>
    </row>
    <row r="21" spans="1:14" ht="36">
      <c r="A21" s="2976">
        <v>26</v>
      </c>
      <c r="B21" s="2977" t="s">
        <v>3102</v>
      </c>
      <c r="C21" s="2978" t="s">
        <v>3156</v>
      </c>
      <c r="D21" s="2978" t="s">
        <v>3132</v>
      </c>
      <c r="E21" s="2979">
        <v>21</v>
      </c>
      <c r="F21" s="3005" t="s">
        <v>3157</v>
      </c>
      <c r="G21" s="2981">
        <v>5000</v>
      </c>
      <c r="H21" s="2982">
        <v>43617</v>
      </c>
      <c r="I21" s="2976">
        <v>0</v>
      </c>
      <c r="J21" s="2976">
        <v>3</v>
      </c>
      <c r="K21" s="2976">
        <v>7</v>
      </c>
      <c r="L21" s="2980" t="s">
        <v>3106</v>
      </c>
      <c r="M21" s="2983">
        <v>30000</v>
      </c>
      <c r="N21" s="1634">
        <f t="shared" si="0"/>
        <v>3.9</v>
      </c>
    </row>
    <row r="22" spans="1:14" ht="36">
      <c r="A22" s="2976">
        <v>27</v>
      </c>
      <c r="B22" s="2977" t="s">
        <v>3102</v>
      </c>
      <c r="C22" s="2978" t="s">
        <v>3158</v>
      </c>
      <c r="D22" s="2978" t="s">
        <v>3132</v>
      </c>
      <c r="E22" s="2979">
        <v>175</v>
      </c>
      <c r="F22" s="3005" t="s">
        <v>3159</v>
      </c>
      <c r="G22" s="2981">
        <v>34067</v>
      </c>
      <c r="H22" s="2982">
        <v>43647</v>
      </c>
      <c r="I22" s="2976">
        <v>0</v>
      </c>
      <c r="J22" s="2976">
        <v>1</v>
      </c>
      <c r="K22" s="2976">
        <v>6</v>
      </c>
      <c r="L22" s="2980" t="s">
        <v>3155</v>
      </c>
      <c r="M22" s="2983">
        <v>204400</v>
      </c>
      <c r="N22" s="1634">
        <f t="shared" si="0"/>
        <v>3.2</v>
      </c>
    </row>
    <row r="23" spans="1:14" ht="24">
      <c r="A23" s="2976">
        <v>28</v>
      </c>
      <c r="B23" s="2977" t="s">
        <v>3102</v>
      </c>
      <c r="C23" s="2978" t="s">
        <v>3160</v>
      </c>
      <c r="D23" s="2978"/>
      <c r="E23" s="2990"/>
      <c r="F23" s="3005" t="s">
        <v>3161</v>
      </c>
      <c r="G23" s="2981"/>
      <c r="H23" s="2982">
        <v>43617</v>
      </c>
      <c r="I23" s="2976">
        <v>0</v>
      </c>
      <c r="J23" s="2976">
        <v>1</v>
      </c>
      <c r="K23" s="2976">
        <v>7</v>
      </c>
      <c r="L23" s="2980"/>
      <c r="M23" s="2983">
        <v>10000</v>
      </c>
    </row>
    <row r="24" spans="1:14" ht="36">
      <c r="A24" s="2976">
        <v>29</v>
      </c>
      <c r="B24" s="2977" t="s">
        <v>3102</v>
      </c>
      <c r="C24" s="2978" t="s">
        <v>3162</v>
      </c>
      <c r="D24" s="2978"/>
      <c r="E24" s="2990"/>
      <c r="F24" s="3005" t="s">
        <v>3163</v>
      </c>
      <c r="G24" s="2981"/>
      <c r="H24" s="2982">
        <v>43586</v>
      </c>
      <c r="I24" s="2976">
        <v>0</v>
      </c>
      <c r="J24" s="2976">
        <v>1</v>
      </c>
      <c r="K24" s="2976">
        <v>8</v>
      </c>
      <c r="L24" s="2980"/>
      <c r="M24" s="2983">
        <v>10000</v>
      </c>
    </row>
    <row r="25" spans="1:14" ht="26.25" customHeight="1">
      <c r="A25" s="2976">
        <v>30</v>
      </c>
      <c r="B25" s="2977" t="s">
        <v>3102</v>
      </c>
      <c r="C25" s="2978" t="s">
        <v>3164</v>
      </c>
      <c r="D25" s="2978" t="s">
        <v>3165</v>
      </c>
      <c r="E25" s="2979">
        <v>308</v>
      </c>
      <c r="F25" s="3005" t="s">
        <v>3166</v>
      </c>
      <c r="G25" s="2981"/>
      <c r="H25" s="2982">
        <v>43647</v>
      </c>
      <c r="I25" s="2976">
        <v>0</v>
      </c>
      <c r="J25" s="2976">
        <v>3</v>
      </c>
      <c r="K25" s="2976">
        <v>6</v>
      </c>
      <c r="L25" s="3002" t="s">
        <v>3167</v>
      </c>
      <c r="M25" s="2983">
        <v>202356</v>
      </c>
      <c r="N25" s="1634">
        <f t="shared" si="0"/>
        <v>1.8</v>
      </c>
    </row>
    <row r="26" spans="1:14" ht="24">
      <c r="A26" s="2976">
        <v>31</v>
      </c>
      <c r="B26" s="2977" t="s">
        <v>3102</v>
      </c>
      <c r="C26" s="2978" t="s">
        <v>3168</v>
      </c>
      <c r="D26" s="2978"/>
      <c r="E26" s="2979"/>
      <c r="F26" s="3005"/>
      <c r="G26" s="2981"/>
      <c r="H26" s="2982"/>
      <c r="I26" s="3003">
        <v>0</v>
      </c>
      <c r="J26" s="3003">
        <v>1</v>
      </c>
      <c r="K26" s="2976">
        <v>1461</v>
      </c>
      <c r="L26" s="2980"/>
      <c r="M26" s="2983">
        <v>10000</v>
      </c>
    </row>
    <row r="27" spans="1:14" ht="24">
      <c r="A27" s="2976">
        <v>32</v>
      </c>
      <c r="B27" s="2977" t="s">
        <v>3102</v>
      </c>
      <c r="C27" s="2978" t="s">
        <v>3169</v>
      </c>
      <c r="D27" s="2978"/>
      <c r="E27" s="2979"/>
      <c r="F27" s="3005"/>
      <c r="G27" s="2981"/>
      <c r="H27" s="2982"/>
      <c r="I27" s="3003">
        <v>0</v>
      </c>
      <c r="J27" s="3003">
        <v>1</v>
      </c>
      <c r="K27" s="2976">
        <v>1461</v>
      </c>
      <c r="L27" s="2980"/>
      <c r="M27" s="2983">
        <v>10000</v>
      </c>
    </row>
    <row r="30" spans="1:14">
      <c r="D30" s="3008" t="s">
        <v>3171</v>
      </c>
      <c r="E30" s="3009">
        <f>SUM(E2:E25)</f>
        <v>8013</v>
      </c>
    </row>
  </sheetData>
  <phoneticPr fontId="14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1635</v>
      </c>
      <c r="B2" s="3030" t="s">
        <v>1636</v>
      </c>
      <c r="C2" s="3030" t="s">
        <v>1637</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31"/>
      <c r="B3" s="3031"/>
      <c r="C3" s="3031"/>
      <c r="D3" s="1043" t="s">
        <v>1632</v>
      </c>
      <c r="E3" s="1043" t="s">
        <v>1638</v>
      </c>
      <c r="F3" s="1043" t="s">
        <v>1632</v>
      </c>
      <c r="G3" s="1043" t="s">
        <v>1633</v>
      </c>
      <c r="H3" s="1043" t="s">
        <v>1632</v>
      </c>
      <c r="I3" s="1043" t="s">
        <v>1633</v>
      </c>
    </row>
    <row r="4" spans="1:9" ht="30">
      <c r="A4" s="1971" t="str">
        <f>项目基本情况!S2</f>
        <v>北京市出让国有建设用地使用权及在建建筑物房地产</v>
      </c>
      <c r="B4" s="1043">
        <f>项目基本情况!C17</f>
        <v>9339.3000000000011</v>
      </c>
      <c r="C4" s="1043">
        <f>项目基本情况!C18</f>
        <v>7066.74</v>
      </c>
      <c r="D4" s="1043">
        <f ca="1">结果表!D118</f>
        <v>3733</v>
      </c>
      <c r="E4" s="1043">
        <f ca="1">结果表!E118</f>
        <v>3997</v>
      </c>
      <c r="F4" s="1043">
        <f ca="1">结果表!F118</f>
        <v>3747</v>
      </c>
      <c r="G4" s="1043">
        <f ca="1">结果表!G118</f>
        <v>4012</v>
      </c>
      <c r="H4" s="1043">
        <f ca="1">结果表!H118</f>
        <v>7480</v>
      </c>
      <c r="I4" s="1043">
        <f ca="1">结果表!I118</f>
        <v>8009</v>
      </c>
    </row>
    <row r="5" spans="1:9" ht="30" customHeight="1">
      <c r="A5" s="3031" t="s">
        <v>1634</v>
      </c>
      <c r="B5" s="3031"/>
      <c r="C5" s="3031"/>
      <c r="D5" s="3032" t="str">
        <f ca="1">结果表!D119</f>
        <v>叁仟柒佰叁拾叁万元整</v>
      </c>
      <c r="E5" s="3032"/>
      <c r="F5" s="3032" t="str">
        <f ca="1">结果表!F119</f>
        <v>叁仟柒佰肆拾柒万元整</v>
      </c>
      <c r="G5" s="3032"/>
      <c r="H5" s="3032" t="str">
        <f ca="1">结果表!H119</f>
        <v>柒仟肆佰捌拾万元整</v>
      </c>
      <c r="I5" s="3032"/>
    </row>
    <row r="6" spans="1:9" ht="15.75">
      <c r="A6" s="3033" t="str">
        <f>结果表!A120</f>
        <v>估价师知悉的法定优先受偿款</v>
      </c>
      <c r="B6" s="3033"/>
      <c r="C6" s="3033"/>
      <c r="D6" s="3033">
        <f>结果表!D120</f>
        <v>0</v>
      </c>
      <c r="E6" s="3033"/>
      <c r="F6" s="3033"/>
      <c r="G6" s="3033"/>
      <c r="H6" s="3033"/>
      <c r="I6" s="3033"/>
    </row>
    <row r="7" spans="1:9" ht="15">
      <c r="A7" s="3031" t="s">
        <v>1634</v>
      </c>
      <c r="B7" s="3031"/>
      <c r="C7" s="3031"/>
      <c r="D7" s="3034" t="str">
        <f>结果表!D121</f>
        <v>零元整</v>
      </c>
      <c r="E7" s="3035"/>
      <c r="F7" s="3035"/>
      <c r="G7" s="3035"/>
      <c r="H7" s="3035"/>
      <c r="I7" s="3036"/>
    </row>
    <row r="8" spans="1:9" ht="15.75">
      <c r="A8" s="3033" t="str">
        <f>结果表!A122</f>
        <v>房地产抵押价值</v>
      </c>
      <c r="B8" s="3033"/>
      <c r="C8" s="3033"/>
      <c r="D8" s="3033">
        <f ca="1">结果表!D122</f>
        <v>7480</v>
      </c>
      <c r="E8" s="3033"/>
      <c r="F8" s="3033"/>
      <c r="G8" s="3033"/>
      <c r="H8" s="3033"/>
      <c r="I8" s="3033"/>
    </row>
    <row r="9" spans="1:9" ht="15">
      <c r="A9" s="3031" t="s">
        <v>1634</v>
      </c>
      <c r="B9" s="3031"/>
      <c r="C9" s="3031"/>
      <c r="D9" s="3032" t="str">
        <f ca="1">结果表!D123</f>
        <v>柒仟肆佰捌拾万元整</v>
      </c>
      <c r="E9" s="3032"/>
      <c r="F9" s="3032"/>
      <c r="G9" s="3032"/>
      <c r="H9" s="3032"/>
      <c r="I9" s="3032"/>
    </row>
    <row r="10" spans="1:9" ht="15.75">
      <c r="A10" s="3033" t="str">
        <f>结果表!A124</f>
        <v/>
      </c>
      <c r="B10" s="3033"/>
      <c r="C10" s="3033"/>
      <c r="D10" s="3033" t="str">
        <f>结果表!D124</f>
        <v>——</v>
      </c>
      <c r="E10" s="3033"/>
      <c r="F10" s="3033"/>
      <c r="G10" s="3033"/>
      <c r="H10" s="3033"/>
      <c r="I10" s="3033"/>
    </row>
    <row r="11" spans="1:9" ht="15">
      <c r="A11" s="3031" t="s">
        <v>1634</v>
      </c>
      <c r="B11" s="3031"/>
      <c r="C11" s="3031"/>
      <c r="D11" s="3032" t="e">
        <f>结果表!D125</f>
        <v>#VALUE!</v>
      </c>
      <c r="E11" s="3032"/>
      <c r="F11" s="3032"/>
      <c r="G11" s="3032"/>
      <c r="H11" s="3032"/>
      <c r="I11" s="3032"/>
    </row>
    <row r="12" spans="1:9" ht="15.75">
      <c r="A12" s="3033" t="str">
        <f>结果表!A126</f>
        <v/>
      </c>
      <c r="B12" s="3033"/>
      <c r="C12" s="3033"/>
      <c r="D12" s="3033" t="str">
        <f>结果表!D126</f>
        <v>——</v>
      </c>
      <c r="E12" s="3033"/>
      <c r="F12" s="3033"/>
      <c r="G12" s="3033"/>
      <c r="H12" s="3033"/>
      <c r="I12" s="3033"/>
    </row>
    <row r="13" spans="1:9" ht="15.75" thickBot="1">
      <c r="A13" s="3037" t="s">
        <v>1634</v>
      </c>
      <c r="B13" s="3037"/>
      <c r="C13" s="3037"/>
      <c r="D13" s="3038" t="e">
        <f>结果表!D127</f>
        <v>#VALUE!</v>
      </c>
      <c r="E13" s="3038"/>
      <c r="F13" s="3038"/>
      <c r="G13" s="3038"/>
      <c r="H13" s="3038"/>
      <c r="I13" s="3038"/>
    </row>
    <row r="14" spans="1:9" ht="15" thickTop="1">
      <c r="A14" s="3039" t="s">
        <v>1639</v>
      </c>
      <c r="B14" s="3039"/>
      <c r="C14" s="3039"/>
      <c r="D14" s="3039"/>
      <c r="E14" s="3039"/>
      <c r="F14" s="3039"/>
      <c r="G14" s="3039"/>
      <c r="H14" s="3039"/>
      <c r="I14" s="3039"/>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40" t="s">
        <v>1656</v>
      </c>
      <c r="B1" s="3040"/>
      <c r="C1" s="3040"/>
      <c r="D1" s="3040"/>
    </row>
    <row r="2" spans="1:4" ht="18">
      <c r="A2" s="3041" t="s">
        <v>1640</v>
      </c>
      <c r="B2" s="3041"/>
      <c r="C2" s="3041"/>
      <c r="D2" s="3041"/>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41" t="s">
        <v>1646</v>
      </c>
      <c r="B6" s="3041"/>
      <c r="C6" s="3041"/>
      <c r="D6" s="3041"/>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3042" t="s">
        <v>1649</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4"/>
      <c r="C12" s="3044"/>
      <c r="D12" s="3044"/>
    </row>
    <row r="13" spans="1:4" ht="30" customHeight="1">
      <c r="A13" s="3043" t="str">
        <f>IF(项目基本情况!B8="抵押","3.抵押双方在办理抵押登记手续时，应使用本公司出具的正式《房地产评估报告》，特提醒报告使用者注意。","——")</f>
        <v>——</v>
      </c>
      <c r="B13" s="3044"/>
      <c r="C13" s="3044"/>
      <c r="D13" s="3044"/>
    </row>
    <row r="14" spans="1:4" ht="15.75" customHeight="1">
      <c r="A14" s="3043" t="str">
        <f>IF(项目基本情况!B8="抵押","4.本次评估估价师所知悉的法定优先受偿款情况说明如下：","——")</f>
        <v>——</v>
      </c>
      <c r="B14" s="3044"/>
      <c r="C14" s="3044"/>
      <c r="D14" s="3044"/>
    </row>
    <row r="15" spans="1:4" ht="42" customHeight="1">
      <c r="A15" s="3043" t="str">
        <f>IF(项目基本情况!B8="抵押","（1）"&amp;CONCATENATE(项目基本情况!L20,项目基本情况!L21,项目基本情况!L22),"——")</f>
        <v>——</v>
      </c>
      <c r="B15" s="3043"/>
      <c r="C15" s="3043"/>
      <c r="D15" s="3043"/>
    </row>
    <row r="16" spans="1:4" ht="30" customHeight="1">
      <c r="A16" s="3046" t="s">
        <v>1650</v>
      </c>
      <c r="B16" s="3046"/>
      <c r="C16" s="3046"/>
      <c r="D16" s="3046"/>
    </row>
    <row r="17" spans="1:4" ht="144" customHeight="1">
      <c r="A17" s="3046" t="s">
        <v>1651</v>
      </c>
      <c r="B17" s="3046"/>
      <c r="C17" s="3046"/>
      <c r="D17" s="3046"/>
    </row>
    <row r="18" spans="1:4" ht="15.75" customHeight="1">
      <c r="A18" s="3043" t="str">
        <f>IF(项目基本情况!B8="抵押",结果表!K120,"——")</f>
        <v>——</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3"/>
      <c r="C20" s="3043"/>
      <c r="D20" s="3043"/>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7"/>
      <c r="C21" s="3047"/>
      <c r="D21" s="3047"/>
    </row>
    <row r="22" spans="1:4" ht="18.75" customHeight="1">
      <c r="A22" s="3048" t="s">
        <v>1652</v>
      </c>
      <c r="B22" s="3048"/>
      <c r="C22" s="3048"/>
      <c r="D22" s="3048"/>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45">
        <v>42551</v>
      </c>
      <c r="D31" s="30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54" t="s">
        <v>1663</v>
      </c>
      <c r="B15" s="3049" t="s">
        <v>136</v>
      </c>
      <c r="C15" s="3050"/>
    </row>
    <row r="16" spans="1:7" ht="13.5">
      <c r="A16" s="3055"/>
      <c r="B16" s="3049" t="s">
        <v>69</v>
      </c>
      <c r="C16" s="3050"/>
    </row>
    <row r="17" spans="1:3" ht="13.5">
      <c r="A17" s="3055"/>
      <c r="B17" s="3052" t="s">
        <v>1664</v>
      </c>
      <c r="C17" s="1998" t="s">
        <v>1663</v>
      </c>
    </row>
    <row r="18" spans="1:3" ht="13.5">
      <c r="A18" s="3055"/>
      <c r="B18" s="3052"/>
      <c r="C18" s="1998" t="s">
        <v>1665</v>
      </c>
    </row>
    <row r="19" spans="1:3" ht="13.5">
      <c r="A19" s="3055"/>
      <c r="B19" s="3052"/>
      <c r="C19" s="1998" t="s">
        <v>1666</v>
      </c>
    </row>
    <row r="20" spans="1:3" ht="13.5">
      <c r="A20" s="3056"/>
      <c r="B20" s="3051" t="s">
        <v>1667</v>
      </c>
      <c r="C20" s="3050"/>
    </row>
    <row r="21" spans="1:3" ht="13.5">
      <c r="A21" s="1999" t="s">
        <v>1668</v>
      </c>
      <c r="B21" s="2000"/>
      <c r="C21" s="2001"/>
    </row>
    <row r="22" spans="1:3" ht="13.5">
      <c r="A22" s="3053" t="s">
        <v>1669</v>
      </c>
      <c r="B22" s="3051" t="s">
        <v>1670</v>
      </c>
      <c r="C22" s="3050"/>
    </row>
    <row r="23" spans="1:3" ht="13.5">
      <c r="A23" s="3053"/>
      <c r="B23" s="3051" t="s">
        <v>1671</v>
      </c>
      <c r="C23" s="3050"/>
    </row>
    <row r="24" spans="1:3" ht="13.5">
      <c r="A24" s="3053"/>
      <c r="B24" s="3051" t="s">
        <v>1672</v>
      </c>
      <c r="C24" s="3050"/>
    </row>
    <row r="25" spans="1:3" ht="13.5">
      <c r="A25" s="3053"/>
      <c r="B25" s="3052" t="s">
        <v>1673</v>
      </c>
      <c r="C25" s="1998" t="s">
        <v>1674</v>
      </c>
    </row>
    <row r="26" spans="1:3" ht="13.5">
      <c r="A26" s="3053"/>
      <c r="B26" s="3052"/>
      <c r="C26" s="1998" t="s">
        <v>1675</v>
      </c>
    </row>
    <row r="27" spans="1:3" ht="13.5">
      <c r="A27" s="3053"/>
      <c r="B27" s="3052"/>
      <c r="C27" s="1998" t="s">
        <v>1676</v>
      </c>
    </row>
    <row r="28" spans="1:3" ht="13.5">
      <c r="A28" s="3053"/>
      <c r="B28" s="3052"/>
      <c r="C28" s="1998" t="s">
        <v>1677</v>
      </c>
    </row>
    <row r="29" spans="1:3" ht="13.5">
      <c r="A29" s="3053"/>
      <c r="B29" s="3052"/>
      <c r="C29" s="1998" t="s">
        <v>1678</v>
      </c>
    </row>
    <row r="30" spans="1:3" ht="13.5">
      <c r="A30" s="3053"/>
      <c r="B30" s="3052"/>
      <c r="C30" s="1998" t="s">
        <v>1679</v>
      </c>
    </row>
    <row r="31" spans="1:3" ht="13.5">
      <c r="A31" s="3053"/>
      <c r="B31" s="3052"/>
      <c r="C31" s="1998" t="s">
        <v>1680</v>
      </c>
    </row>
    <row r="32" spans="1:3" ht="13.5">
      <c r="A32" s="3053"/>
      <c r="B32" s="3052"/>
      <c r="C32" s="1998" t="s">
        <v>1681</v>
      </c>
    </row>
    <row r="33" spans="1:3" ht="13.5">
      <c r="A33" s="3053"/>
      <c r="B33" s="3052"/>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43994</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927">
        <v>44876</v>
      </c>
      <c r="D4" s="2350" t="s">
        <v>832</v>
      </c>
      <c r="E4" s="1021">
        <f ca="1">IF(F4&lt;B2,"已过期",96010014)</f>
        <v>96010014</v>
      </c>
      <c r="F4" s="1029">
        <v>47118</v>
      </c>
    </row>
    <row r="5" spans="1:6" ht="24" customHeight="1">
      <c r="A5" s="1701"/>
      <c r="B5" s="1021"/>
      <c r="C5" s="2347"/>
      <c r="D5" s="2350"/>
      <c r="E5" s="1021"/>
      <c r="F5" s="1029"/>
    </row>
    <row r="6" spans="1:6" ht="24" customHeight="1">
      <c r="A6" s="1701" t="s">
        <v>833</v>
      </c>
      <c r="B6" s="1021">
        <f ca="1">IF(C6&lt;B2,"已过期",1119970111)</f>
        <v>1119970111</v>
      </c>
      <c r="C6" s="2347">
        <v>44876</v>
      </c>
      <c r="D6" s="2350" t="s">
        <v>833</v>
      </c>
      <c r="E6" s="1021">
        <f ca="1">IF(F6&lt;B2,"已过期",94010078)</f>
        <v>94010078</v>
      </c>
      <c r="F6" s="1029">
        <v>46387</v>
      </c>
    </row>
    <row r="7" spans="1:6" ht="24" customHeight="1">
      <c r="A7" s="1701" t="s">
        <v>834</v>
      </c>
      <c r="B7" s="1021">
        <f ca="1">IF(C7&lt;B2,"已过期",1120050019)</f>
        <v>1120050019</v>
      </c>
      <c r="C7" s="2347">
        <v>44395</v>
      </c>
      <c r="D7" s="2350" t="s">
        <v>834</v>
      </c>
      <c r="E7" s="1021">
        <f ca="1">IF(F7&lt;B2,"已过期",2002110030)</f>
        <v>2002110030</v>
      </c>
      <c r="F7" s="1029">
        <v>46387</v>
      </c>
    </row>
    <row r="8" spans="1:6" ht="24" customHeight="1">
      <c r="A8" s="1701" t="s">
        <v>835</v>
      </c>
      <c r="B8" s="1021">
        <f ca="1">IF(C8&lt;B2,"已过期",1120000080)</f>
        <v>1120000080</v>
      </c>
      <c r="C8" s="2927">
        <v>44876</v>
      </c>
      <c r="D8" s="2350" t="s">
        <v>835</v>
      </c>
      <c r="E8" s="1021">
        <f ca="1">IF(F8&lt;B2,"已过期",2000110082)</f>
        <v>2000110082</v>
      </c>
      <c r="F8" s="1029">
        <v>46387</v>
      </c>
    </row>
    <row r="9" spans="1:6" ht="24" customHeight="1">
      <c r="A9" s="1701" t="s">
        <v>836</v>
      </c>
      <c r="B9" s="1021">
        <f ca="1">IF(C9&lt;B2,"已过期",1419970001)</f>
        <v>1419970001</v>
      </c>
      <c r="C9" s="2927">
        <v>44899</v>
      </c>
      <c r="D9" s="2350" t="s">
        <v>836</v>
      </c>
      <c r="E9" s="1021">
        <f ca="1">IF(F9&lt;B2,"已过期",2002110125)</f>
        <v>2002110125</v>
      </c>
      <c r="F9" s="1029">
        <v>47118</v>
      </c>
    </row>
    <row r="10" spans="1:6" ht="24" customHeight="1">
      <c r="A10" s="1701" t="s">
        <v>837</v>
      </c>
      <c r="B10" s="1021">
        <f ca="1">IF(C10&lt;B2,"已过期",1120060040)</f>
        <v>1120060040</v>
      </c>
      <c r="C10" s="2347">
        <v>44554</v>
      </c>
      <c r="D10" s="2350" t="s">
        <v>837</v>
      </c>
      <c r="E10" s="1021">
        <f ca="1">IF(F10&lt;B2,"已过期",2004110096)</f>
        <v>2004110096</v>
      </c>
      <c r="F10" s="1029">
        <v>47118</v>
      </c>
    </row>
    <row r="11" spans="1:6" ht="24" customHeight="1">
      <c r="A11" s="1701" t="s">
        <v>838</v>
      </c>
      <c r="B11" s="1021">
        <f ca="1">IF(C11&lt;B2,"已过期",1120100036)</f>
        <v>1120100036</v>
      </c>
      <c r="C11" s="2347">
        <v>44675</v>
      </c>
      <c r="D11" s="2350" t="s">
        <v>838</v>
      </c>
      <c r="E11" s="1021">
        <f ca="1">IF(F11&lt;B2,"已过期",2010110070)</f>
        <v>2010110070</v>
      </c>
      <c r="F11" s="1029">
        <v>47907</v>
      </c>
    </row>
    <row r="12" spans="1:6" ht="24" customHeight="1">
      <c r="A12" s="1701"/>
      <c r="B12" s="1021"/>
      <c r="C12" s="2927"/>
      <c r="D12" s="1701"/>
      <c r="E12" s="1021"/>
      <c r="F12" s="1029"/>
    </row>
    <row r="13" spans="1:6" ht="24" customHeight="1">
      <c r="A13" s="1701" t="s">
        <v>839</v>
      </c>
      <c r="B13" s="1021">
        <f ca="1">IF(C13&lt;B2,"已过期",1120070131)</f>
        <v>1120070131</v>
      </c>
      <c r="C13" s="2347">
        <v>44849</v>
      </c>
      <c r="D13" s="2350" t="s">
        <v>839</v>
      </c>
      <c r="E13" s="1021">
        <f ca="1">IF(F13&lt;B2,"已过期",2014110011)</f>
        <v>2014110011</v>
      </c>
      <c r="F13" s="1029">
        <v>49302</v>
      </c>
    </row>
    <row r="14" spans="1:6" ht="24" customHeight="1">
      <c r="A14" s="1701" t="s">
        <v>3042</v>
      </c>
      <c r="B14" s="1021">
        <f ca="1">IF(C14&lt;B2,"已过期",1120040230)</f>
        <v>1120040230</v>
      </c>
      <c r="C14" s="2347">
        <v>44864</v>
      </c>
      <c r="D14" s="2350" t="s">
        <v>3042</v>
      </c>
      <c r="E14" s="1021">
        <f ca="1">IF(F14&lt;B2,"已过期",98030020)</f>
        <v>98030020</v>
      </c>
      <c r="F14" s="1029">
        <v>47118</v>
      </c>
    </row>
    <row r="15" spans="1:6" ht="24" customHeight="1">
      <c r="A15" s="1702"/>
      <c r="B15" s="1021"/>
      <c r="C15" s="2347"/>
      <c r="D15" s="2351"/>
      <c r="E15" s="1021"/>
      <c r="F15" s="1022"/>
    </row>
    <row r="16" spans="1:6" ht="24" customHeight="1">
      <c r="A16" s="1701"/>
      <c r="B16" s="1021"/>
      <c r="C16" s="2927"/>
      <c r="D16" s="2350"/>
      <c r="E16" s="1021"/>
      <c r="F16" s="1029"/>
    </row>
    <row r="17" spans="1:7" ht="24" customHeight="1">
      <c r="A17" s="1701"/>
      <c r="B17" s="1021"/>
      <c r="C17" s="2347"/>
      <c r="D17" s="2350"/>
      <c r="E17" s="1021"/>
      <c r="F17" s="1029"/>
    </row>
    <row r="18" spans="1:7" ht="24" customHeight="1">
      <c r="A18" s="1701" t="s">
        <v>3049</v>
      </c>
      <c r="B18" s="1021">
        <v>1120190079</v>
      </c>
      <c r="C18" s="2927">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840</v>
      </c>
      <c r="E21" s="1021">
        <f ca="1">IF(F21&lt;B2,"已过期",2011110090)</f>
        <v>2011110090</v>
      </c>
      <c r="F21" s="1029">
        <v>48302</v>
      </c>
    </row>
    <row r="22" spans="1:7" ht="24" customHeight="1">
      <c r="A22" s="1701" t="s">
        <v>841</v>
      </c>
      <c r="B22" s="1021">
        <f ca="1">IF(C22&lt;B2,"已过期",1120020033)</f>
        <v>1120020033</v>
      </c>
      <c r="C22" s="2927">
        <v>44339</v>
      </c>
      <c r="D22" s="2350" t="s">
        <v>841</v>
      </c>
      <c r="E22" s="1021">
        <f ca="1">IF(F22&lt;B2,"已过期",2000110137)</f>
        <v>2000110137</v>
      </c>
      <c r="F22" s="1029">
        <v>46387</v>
      </c>
    </row>
    <row r="23" spans="1:7" ht="24" customHeight="1">
      <c r="A23" s="1701" t="s">
        <v>3051</v>
      </c>
      <c r="B23" s="1021">
        <v>1119980106</v>
      </c>
      <c r="C23" s="2347">
        <v>44969</v>
      </c>
      <c r="D23" s="2350"/>
      <c r="E23" s="1021"/>
      <c r="F23" s="1021"/>
    </row>
    <row r="24" spans="1:7" s="1023" customFormat="1" ht="24" customHeight="1">
      <c r="A24" s="1702" t="s">
        <v>1328</v>
      </c>
      <c r="B24" s="1702" t="s">
        <v>1328</v>
      </c>
      <c r="C24" s="2348" t="s">
        <v>1328</v>
      </c>
      <c r="D24" s="2351" t="s">
        <v>1328</v>
      </c>
      <c r="E24" s="1702" t="s">
        <v>1328</v>
      </c>
      <c r="F24" s="1702" t="s">
        <v>1328</v>
      </c>
    </row>
    <row r="25" spans="1:7" ht="24" customHeight="1">
      <c r="A25" s="3057" t="s">
        <v>842</v>
      </c>
      <c r="B25" s="3057"/>
      <c r="C25" s="3057"/>
      <c r="D25" s="3057"/>
      <c r="E25" s="3057"/>
      <c r="F25" s="3057"/>
      <c r="G25" s="3057"/>
    </row>
    <row r="26" spans="1:7" s="1024" customFormat="1" ht="24" customHeight="1">
      <c r="A26" s="3058" t="s">
        <v>843</v>
      </c>
      <c r="B26" s="3058"/>
      <c r="C26" s="3059"/>
      <c r="D26" s="3060" t="s">
        <v>844</v>
      </c>
      <c r="E26" s="3058"/>
      <c r="F26" s="3058"/>
    </row>
    <row r="27" spans="1:7" s="1026" customFormat="1" ht="24" customHeight="1">
      <c r="A27" s="1025" t="s">
        <v>845</v>
      </c>
      <c r="B27" s="1020" t="s">
        <v>846</v>
      </c>
      <c r="C27" s="2346" t="s">
        <v>847</v>
      </c>
      <c r="D27" s="2353" t="s">
        <v>845</v>
      </c>
      <c r="E27" s="1020" t="s">
        <v>846</v>
      </c>
      <c r="F27" s="1020" t="s">
        <v>847</v>
      </c>
    </row>
    <row r="28" spans="1:7" s="1026" customFormat="1" ht="24" customHeight="1">
      <c r="A28" s="1027" t="s">
        <v>848</v>
      </c>
      <c r="B28" s="1028" t="s">
        <v>849</v>
      </c>
      <c r="C28" s="1029">
        <v>44820</v>
      </c>
      <c r="D28" s="2354" t="s">
        <v>850</v>
      </c>
      <c r="E28" s="1027" t="s">
        <v>851</v>
      </c>
      <c r="F28" s="1057">
        <v>44377</v>
      </c>
    </row>
    <row r="29" spans="1:7" s="1026" customFormat="1" ht="24" customHeight="1">
      <c r="A29" s="1027"/>
      <c r="B29" s="1027"/>
      <c r="C29" s="2352"/>
      <c r="D29" s="2354" t="s">
        <v>852</v>
      </c>
      <c r="E29" s="1201" t="s">
        <v>3050</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(2)</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2020-06-12T06:46:48Z</dcterms:modified>
</cp:coreProperties>
</file>