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32CF6ED7-A526-43D0-B25C-5DA63A8887D7}" xr6:coauthVersionLast="47" xr6:coauthVersionMax="47" xr10:uidLastSave="{00000000-0000-0000-0000-000000000000}"/>
  <bookViews>
    <workbookView xWindow="-120" yWindow="-120" windowWidth="21840" windowHeight="13140" tabRatio="899" firstSheet="11"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5-9号楼销售台账" sheetId="86" r:id="rId10"/>
    <sheet name="比较法选取案例" sheetId="84" r:id="rId11"/>
    <sheet name="案例中指信息" sheetId="85" r:id="rId12"/>
    <sheet name="定义" sheetId="10" r:id="rId13"/>
    <sheet name="常用公式" sheetId="78" state="hidden" r:id="rId14"/>
    <sheet name="租赁台账" sheetId="81" r:id="rId15"/>
    <sheet name="Sheet1" sheetId="80" r:id="rId16"/>
    <sheet name="Sheet3" sheetId="87" r:id="rId17"/>
    <sheet name="项目基本情况" sheetId="4" r:id="rId18"/>
    <sheet name="数据-基础表" sheetId="3" r:id="rId19"/>
    <sheet name="数据-汇总表" sheetId="6" r:id="rId20"/>
    <sheet name="数据-取费表" sheetId="1" r:id="rId21"/>
    <sheet name="估价对象房地状况" sheetId="20" state="hidden" r:id="rId22"/>
    <sheet name="系统读取表" sheetId="74" r:id="rId23"/>
    <sheet name="结果表" sheetId="9" r:id="rId24"/>
    <sheet name="比较法-办公" sheetId="34" r:id="rId25"/>
    <sheet name="收益法" sheetId="15"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结果表-地下" sheetId="82" r:id="rId41"/>
    <sheet name="成本法" sheetId="68" r:id="rId42"/>
    <sheet name="基准地价修正" sheetId="43" r:id="rId43"/>
    <sheet name="收益法地下" sheetId="8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state="hidden" r:id="rId53"/>
  </sheets>
  <externalReferences>
    <externalReference r:id="rId54"/>
    <externalReference r:id="rId55"/>
    <externalReference r:id="rId56"/>
  </externalReferences>
  <definedNames>
    <definedName name="_xlnm._FilterDatabase" localSheetId="24"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8"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7" hidden="1">项目基本情况!$A$42:$N$42</definedName>
    <definedName name="_xlnm.Print_Area" localSheetId="15">Sheet1!$B$1:$M$24</definedName>
    <definedName name="_xlnm.Print_Area" localSheetId="24">'比较法-办公'!$A$1:$K$55,'比较法-办公'!$A$58:$M$132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成本法!$A$1:$G$57</definedName>
    <definedName name="_xlnm.Print_Area" localSheetId="26">'成本法 (元)'!$A$1:$G$57</definedName>
    <definedName name="_xlnm.Print_Area" localSheetId="21">估价对象房地状况!$A$1:$G$24</definedName>
    <definedName name="_xlnm.Print_Area" localSheetId="8">估价师及机构信息!$A$1:$G$22</definedName>
    <definedName name="_xlnm.Print_Area" localSheetId="39">'基准地价（汇总）'!$A$1:$E$13</definedName>
    <definedName name="_xlnm.Print_Area" localSheetId="42">基准地价修正!$A$1:$J$44,基准地价修正!$A$47:$H$101,基准地价修正!$R$1:$V$16</definedName>
    <definedName name="_xlnm.Print_Area" localSheetId="27">假设开发法!$A$1:$K$32</definedName>
    <definedName name="_xlnm.Print_Area" localSheetId="23">结果表!$A$1:$I$127</definedName>
    <definedName name="_xlnm.Print_Area" localSheetId="40">'结果表-地下'!$A$1:$I$127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3">收益法地下!$A$1:$F$43,收益法地下!$H$3:$M$29,收益法地下!$A$46:$F$71,收益法地下!$I$46:$N$65</definedName>
    <definedName name="_xlnm.Print_Area" localSheetId="19">'数据-汇总表'!$A$1:$P$32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2">系统读取表!$A$1:$I$26</definedName>
    <definedName name="_xlnm.Print_Area" localSheetId="17">项目基本情况!$A$1:$I$38</definedName>
    <definedName name="_xlnm.Print_Area" localSheetId="14">租赁台账!$A$1:$H$21</definedName>
    <definedName name="八级">区片价!$P$1:$P$44</definedName>
    <definedName name="办公">定义!$Y$2</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修正!$C$19:$C$53</definedName>
    <definedName name="法定最高年限" localSheetId="15">[1]定义!$G$1:$G$6</definedName>
    <definedName name="法定最高年限">定义!$G$1:$G$6</definedName>
    <definedName name="工业">定义!$AB$2:$AB$12</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服务">定义!$Z$2:$Z$14</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定义!$X$2:$X$9</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修正!$C$73:$C$140</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9">'[2]数据-汇总表'!$C$17:$C$26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[1]定义!$F$1:$F$12</definedName>
    <definedName name="主用途">定义!$F$1:$F$12</definedName>
    <definedName name="住宅">定义!$AA$2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5" i="74" l="1"/>
  <c r="B14" i="74"/>
  <c r="L27" i="81"/>
  <c r="Q27" i="81"/>
  <c r="Q26" i="81"/>
  <c r="L11" i="81"/>
  <c r="M11" i="81"/>
  <c r="N11" i="81"/>
  <c r="L23" i="81"/>
  <c r="M23" i="81"/>
  <c r="N23" i="81"/>
  <c r="O23" i="81"/>
  <c r="P23" i="81"/>
  <c r="Q23" i="81"/>
  <c r="R23" i="81"/>
  <c r="S23" i="81"/>
  <c r="T23" i="81"/>
  <c r="U23" i="81"/>
  <c r="K23" i="81"/>
  <c r="L22" i="81"/>
  <c r="M22" i="81"/>
  <c r="N22" i="81"/>
  <c r="O22" i="81"/>
  <c r="P22" i="81"/>
  <c r="Q22" i="81"/>
  <c r="R22" i="81"/>
  <c r="S22" i="81"/>
  <c r="T22" i="81"/>
  <c r="U22" i="81"/>
  <c r="N10" i="81"/>
  <c r="M10" i="81"/>
  <c r="L10" i="81"/>
  <c r="K22" i="81"/>
  <c r="I22" i="81"/>
  <c r="F22" i="81"/>
  <c r="F11" i="81"/>
  <c r="F10" i="81" s="1"/>
  <c r="I10" i="81"/>
  <c r="I13" i="34"/>
  <c r="C13" i="34"/>
  <c r="D25" i="81" l="1"/>
  <c r="D26" i="81"/>
  <c r="AD7" i="1" l="1"/>
  <c r="AD6" i="1"/>
  <c r="J30" i="80"/>
  <c r="I30" i="80"/>
  <c r="AA7" i="1"/>
  <c r="AA6" i="1"/>
  <c r="F23" i="81"/>
  <c r="N18" i="81"/>
  <c r="O18" i="81"/>
  <c r="P18" i="81"/>
  <c r="Q18" i="81"/>
  <c r="R18" i="81"/>
  <c r="S18" i="81"/>
  <c r="T18" i="81"/>
  <c r="U18" i="81"/>
  <c r="M18" i="81"/>
  <c r="L18" i="81"/>
  <c r="I19" i="81"/>
  <c r="L19" i="81" s="1"/>
  <c r="T19" i="81" l="1"/>
  <c r="P19" i="81"/>
  <c r="O19" i="81"/>
  <c r="R19" i="81"/>
  <c r="N19" i="81"/>
  <c r="S19" i="81"/>
  <c r="M19" i="81"/>
  <c r="U19" i="81"/>
  <c r="Q19" i="81"/>
  <c r="J2" i="81" l="1"/>
  <c r="Q25" i="81" s="1"/>
  <c r="I7" i="6"/>
  <c r="Q30" i="81" l="1"/>
  <c r="Z7" i="1" s="1"/>
  <c r="AF7" i="1"/>
  <c r="L25" i="81"/>
  <c r="K18" i="81"/>
  <c r="K19" i="81"/>
  <c r="C25" i="81"/>
  <c r="C26" i="81"/>
  <c r="E26" i="81" s="1"/>
  <c r="E25" i="81"/>
  <c r="J8" i="86"/>
  <c r="I8" i="86"/>
  <c r="G8" i="86"/>
  <c r="C8" i="86"/>
  <c r="H7" i="86"/>
  <c r="D7" i="86"/>
  <c r="H6" i="86"/>
  <c r="H5" i="86"/>
  <c r="H4" i="86"/>
  <c r="H3" i="86"/>
  <c r="H8" i="86" s="1"/>
  <c r="D3" i="86"/>
  <c r="I21" i="81"/>
  <c r="I20" i="81"/>
  <c r="I17" i="81"/>
  <c r="I16" i="81"/>
  <c r="I15" i="81"/>
  <c r="I14" i="81"/>
  <c r="I13" i="81"/>
  <c r="I8" i="81"/>
  <c r="I6" i="81"/>
  <c r="I5" i="81"/>
  <c r="I4" i="81"/>
  <c r="I7" i="81"/>
  <c r="I9" i="81"/>
  <c r="L30" i="81" l="1"/>
  <c r="Z6" i="1" s="1"/>
  <c r="AF6" i="1"/>
  <c r="U6" i="1"/>
  <c r="M7" i="81"/>
  <c r="N7" i="81"/>
  <c r="N5" i="81"/>
  <c r="M5" i="81"/>
  <c r="Q14" i="81"/>
  <c r="U14" i="81"/>
  <c r="S14" i="81"/>
  <c r="T14" i="81"/>
  <c r="M14" i="81"/>
  <c r="N14" i="81"/>
  <c r="R14" i="81"/>
  <c r="O14" i="81"/>
  <c r="P14" i="81"/>
  <c r="Q20" i="81"/>
  <c r="U20" i="81"/>
  <c r="S20" i="81"/>
  <c r="T20" i="81"/>
  <c r="N20" i="81"/>
  <c r="R20" i="81"/>
  <c r="M20" i="81"/>
  <c r="O20" i="81"/>
  <c r="P20" i="81"/>
  <c r="M9" i="81"/>
  <c r="N9" i="81"/>
  <c r="Q21" i="81"/>
  <c r="U21" i="81"/>
  <c r="S21" i="81"/>
  <c r="T21" i="81"/>
  <c r="M21" i="81"/>
  <c r="N21" i="81"/>
  <c r="R21" i="81"/>
  <c r="O21" i="81"/>
  <c r="P21" i="81"/>
  <c r="N6" i="81"/>
  <c r="M6" i="81"/>
  <c r="Q16" i="81"/>
  <c r="U16" i="81"/>
  <c r="S16" i="81"/>
  <c r="T16" i="81"/>
  <c r="N16" i="81"/>
  <c r="R16" i="81"/>
  <c r="M16" i="81"/>
  <c r="O16" i="81"/>
  <c r="P16" i="81"/>
  <c r="Q15" i="81"/>
  <c r="U15" i="81"/>
  <c r="M15" i="81"/>
  <c r="S15" i="81"/>
  <c r="T15" i="81"/>
  <c r="N15" i="81"/>
  <c r="R15" i="81"/>
  <c r="O15" i="81"/>
  <c r="P15" i="81"/>
  <c r="N8" i="81"/>
  <c r="M8" i="81"/>
  <c r="N4" i="81"/>
  <c r="M4" i="81"/>
  <c r="Q13" i="81"/>
  <c r="U13" i="81"/>
  <c r="S13" i="81"/>
  <c r="M13" i="81"/>
  <c r="P13" i="81"/>
  <c r="T13" i="81"/>
  <c r="N13" i="81"/>
  <c r="R13" i="81"/>
  <c r="O13" i="81"/>
  <c r="Q17" i="81"/>
  <c r="U17" i="81"/>
  <c r="S17" i="81"/>
  <c r="T17" i="81"/>
  <c r="N17" i="81"/>
  <c r="R17" i="81"/>
  <c r="O17" i="81"/>
  <c r="M17" i="81"/>
  <c r="P17" i="81"/>
  <c r="L6" i="81"/>
  <c r="K6" i="81"/>
  <c r="L16" i="81"/>
  <c r="K16" i="81"/>
  <c r="L8" i="81"/>
  <c r="K8" i="81"/>
  <c r="L4" i="81"/>
  <c r="K4" i="81"/>
  <c r="L17" i="81"/>
  <c r="K17" i="81"/>
  <c r="L9" i="81"/>
  <c r="K9" i="81"/>
  <c r="L15" i="81"/>
  <c r="K15" i="81"/>
  <c r="L21" i="81"/>
  <c r="K21" i="81"/>
  <c r="L7" i="81"/>
  <c r="K7" i="81"/>
  <c r="L13" i="81"/>
  <c r="K13" i="81"/>
  <c r="L5" i="81"/>
  <c r="K5" i="81"/>
  <c r="L14" i="81"/>
  <c r="K14" i="81"/>
  <c r="L20" i="81"/>
  <c r="K20" i="81"/>
  <c r="I3" i="81"/>
  <c r="H30" i="80"/>
  <c r="AC59" i="34"/>
  <c r="AD59" i="34" s="1"/>
  <c r="AE59" i="34" s="1"/>
  <c r="AF59" i="34" s="1"/>
  <c r="AG59" i="34" s="1"/>
  <c r="AH59" i="34" s="1"/>
  <c r="AI59" i="34" s="1"/>
  <c r="AJ59" i="34" s="1"/>
  <c r="AK59" i="34" s="1"/>
  <c r="AL59" i="34" s="1"/>
  <c r="AM59" i="34" s="1"/>
  <c r="P59" i="34"/>
  <c r="Q59" i="34" s="1"/>
  <c r="R59" i="34" s="1"/>
  <c r="S59" i="34" s="1"/>
  <c r="T59" i="34" s="1"/>
  <c r="U59" i="34" s="1"/>
  <c r="V59" i="34" s="1"/>
  <c r="W59" i="34" s="1"/>
  <c r="X59" i="34" s="1"/>
  <c r="Y59" i="34" s="1"/>
  <c r="Z59" i="34" s="1"/>
  <c r="AA59" i="34" s="1"/>
  <c r="AB59" i="34" s="1"/>
  <c r="I48" i="34"/>
  <c r="G48" i="34"/>
  <c r="E48" i="34"/>
  <c r="G34" i="34"/>
  <c r="E34" i="34"/>
  <c r="I37" i="34"/>
  <c r="G37" i="34"/>
  <c r="E37" i="34"/>
  <c r="C34" i="34"/>
  <c r="E13" i="34"/>
  <c r="E105" i="34"/>
  <c r="F105" i="34" s="1"/>
  <c r="G105" i="34" s="1"/>
  <c r="H105" i="34" s="1"/>
  <c r="D105" i="34"/>
  <c r="F67" i="34"/>
  <c r="E67" i="34" s="1"/>
  <c r="D67" i="34" s="1"/>
  <c r="C67" i="34" s="1"/>
  <c r="I7" i="34"/>
  <c r="G7" i="34"/>
  <c r="E7" i="34"/>
  <c r="I6" i="34"/>
  <c r="G6" i="34"/>
  <c r="E6" i="34"/>
  <c r="I5" i="34"/>
  <c r="G5" i="34"/>
  <c r="E5" i="34"/>
  <c r="N3" i="81" l="1"/>
  <c r="M3" i="81"/>
  <c r="L3" i="81"/>
  <c r="K3" i="81"/>
  <c r="M14" i="80"/>
  <c r="R26" i="81" l="1"/>
  <c r="U7" i="1" s="1"/>
  <c r="Q72" i="83"/>
  <c r="Q59" i="83"/>
  <c r="K59" i="83"/>
  <c r="P74" i="83" s="1"/>
  <c r="F59" i="83"/>
  <c r="Q58" i="83"/>
  <c r="Q51" i="83"/>
  <c r="J50" i="83"/>
  <c r="J51" i="83" s="1"/>
  <c r="M47" i="83"/>
  <c r="D46" i="83"/>
  <c r="F34" i="83"/>
  <c r="F62" i="83" s="1"/>
  <c r="F33" i="83"/>
  <c r="F61" i="83" s="1"/>
  <c r="F32" i="83"/>
  <c r="F60" i="83" s="1"/>
  <c r="F31" i="83"/>
  <c r="F28" i="83"/>
  <c r="C28" i="83" s="1"/>
  <c r="F23" i="83"/>
  <c r="D24" i="83" s="1"/>
  <c r="F21" i="83"/>
  <c r="M20" i="83"/>
  <c r="F20" i="83"/>
  <c r="M19" i="83"/>
  <c r="M18" i="83"/>
  <c r="F18" i="83"/>
  <c r="M17" i="83"/>
  <c r="F17" i="83"/>
  <c r="F15" i="83"/>
  <c r="G1" i="83"/>
  <c r="A120" i="82"/>
  <c r="A118" i="82"/>
  <c r="E111" i="82"/>
  <c r="H112" i="82" s="1"/>
  <c r="E109" i="82"/>
  <c r="A124" i="82" s="1"/>
  <c r="E107" i="82"/>
  <c r="A122" i="82" s="1"/>
  <c r="H106" i="82"/>
  <c r="H105" i="82"/>
  <c r="H104" i="82"/>
  <c r="H103" i="82"/>
  <c r="D120" i="82" s="1"/>
  <c r="D101" i="82"/>
  <c r="C101" i="82"/>
  <c r="D93" i="82"/>
  <c r="C91" i="82"/>
  <c r="E90" i="82"/>
  <c r="D89" i="82"/>
  <c r="C89" i="82" s="1"/>
  <c r="C87" i="82" s="1"/>
  <c r="D78" i="82"/>
  <c r="H77" i="82"/>
  <c r="D77" i="82"/>
  <c r="C77" i="82" s="1"/>
  <c r="C74" i="82" s="1"/>
  <c r="C76"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C18" i="82" s="1"/>
  <c r="D18" i="82" s="1"/>
  <c r="L4" i="82"/>
  <c r="K4" i="82"/>
  <c r="A2" i="82"/>
  <c r="H1" i="82"/>
  <c r="G94" i="43"/>
  <c r="G95" i="43"/>
  <c r="G96" i="43"/>
  <c r="G97" i="43"/>
  <c r="G98" i="43"/>
  <c r="G99" i="43"/>
  <c r="G100" i="43"/>
  <c r="G101" i="43"/>
  <c r="G93" i="43"/>
  <c r="L14" i="1"/>
  <c r="F19" i="6"/>
  <c r="I13" i="3"/>
  <c r="H35" i="80"/>
  <c r="H37" i="80" s="1"/>
  <c r="H32" i="80"/>
  <c r="D23" i="80"/>
  <c r="E23" i="80" s="1"/>
  <c r="C20" i="80"/>
  <c r="E20" i="80" s="1"/>
  <c r="L19" i="80"/>
  <c r="K19" i="80"/>
  <c r="M18" i="80"/>
  <c r="M17" i="80"/>
  <c r="M19" i="80" s="1"/>
  <c r="M16" i="80"/>
  <c r="M15" i="80"/>
  <c r="L12" i="80"/>
  <c r="L9" i="80" s="1"/>
  <c r="D40" i="43" s="1"/>
  <c r="K12" i="80"/>
  <c r="Q9" i="80"/>
  <c r="Q10" i="80" s="1"/>
  <c r="G9" i="80"/>
  <c r="J5" i="80" s="1"/>
  <c r="Q8" i="80"/>
  <c r="H8" i="80"/>
  <c r="H7" i="80"/>
  <c r="H6" i="80"/>
  <c r="H5" i="80"/>
  <c r="H4" i="80"/>
  <c r="J2" i="80"/>
  <c r="J1" i="80"/>
  <c r="D3" i="4"/>
  <c r="E27" i="45"/>
  <c r="J15" i="83"/>
  <c r="F6" i="83"/>
  <c r="F26" i="83"/>
  <c r="M9" i="83"/>
  <c r="M23" i="83"/>
  <c r="C76" i="83"/>
  <c r="F37" i="83"/>
  <c r="L8" i="80" l="1"/>
  <c r="D42" i="43" s="1"/>
  <c r="N6" i="1"/>
  <c r="Q71" i="83"/>
  <c r="F65" i="83"/>
  <c r="C27" i="83"/>
  <c r="P61" i="83"/>
  <c r="D22" i="83"/>
  <c r="D23" i="83"/>
  <c r="C92" i="82"/>
  <c r="C94" i="82"/>
  <c r="D121" i="82"/>
  <c r="K120" i="82"/>
  <c r="H111" i="82"/>
  <c r="D126" i="82" s="1"/>
  <c r="D127" i="82" s="1"/>
  <c r="A126" i="82"/>
  <c r="H109" i="82"/>
  <c r="R8" i="80"/>
  <c r="L10" i="80"/>
  <c r="R9" i="80"/>
  <c r="H9" i="80"/>
  <c r="A3" i="3" s="1"/>
  <c r="M7" i="80"/>
  <c r="N8" i="80"/>
  <c r="N12" i="80" s="1"/>
  <c r="G14" i="73"/>
  <c r="F14" i="73"/>
  <c r="E14" i="73"/>
  <c r="F38" i="83"/>
  <c r="F40" i="83"/>
  <c r="M28" i="83"/>
  <c r="F42" i="83"/>
  <c r="F16" i="83"/>
  <c r="F9" i="83"/>
  <c r="M24" i="83"/>
  <c r="M6" i="83"/>
  <c r="M22" i="83"/>
  <c r="L47" i="83"/>
  <c r="L48" i="83"/>
  <c r="M8" i="83"/>
  <c r="M26" i="83"/>
  <c r="F36" i="83"/>
  <c r="F8" i="83"/>
  <c r="L11" i="80" l="1"/>
  <c r="D41" i="43"/>
  <c r="N7" i="1"/>
  <c r="N14" i="1" s="1"/>
  <c r="C37" i="34"/>
  <c r="Y6" i="1"/>
  <c r="F68" i="83"/>
  <c r="F64" i="83"/>
  <c r="N59" i="83"/>
  <c r="L58" i="83"/>
  <c r="M59" i="83"/>
  <c r="L59" i="83"/>
  <c r="F66" i="83"/>
  <c r="L57" i="83"/>
  <c r="L56" i="83"/>
  <c r="L60" i="83"/>
  <c r="J57" i="83"/>
  <c r="J55" i="83" s="1"/>
  <c r="J58" i="83" s="1"/>
  <c r="Q50" i="83" s="1"/>
  <c r="I54" i="83"/>
  <c r="J53" i="83"/>
  <c r="F51" i="83"/>
  <c r="D124" i="82"/>
  <c r="D125" i="82" s="1"/>
  <c r="H110" i="82"/>
  <c r="R10" i="80"/>
  <c r="I12" i="79"/>
  <c r="AN13" i="3" l="1"/>
  <c r="K13" i="3"/>
  <c r="G20" i="6" s="1"/>
  <c r="Y7" i="1"/>
  <c r="F1" i="83"/>
  <c r="Q52" i="83"/>
  <c r="Q66" i="83"/>
  <c r="Q57" i="83"/>
  <c r="Q73" i="83"/>
  <c r="Q60" i="83"/>
  <c r="Q61" i="83"/>
  <c r="Q74"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F13" i="83"/>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3" i="79"/>
  <c r="AG33" i="79" s="1"/>
  <c r="S35" i="79"/>
  <c r="AG35" i="79" s="1"/>
  <c r="S34" i="79"/>
  <c r="AG34"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AD38" i="79"/>
  <c r="AD35" i="79"/>
  <c r="AD36" i="79"/>
  <c r="AD37" i="79"/>
  <c r="AR40" i="79"/>
  <c r="AR41" i="79" s="1"/>
  <c r="AR42" i="79" s="1"/>
  <c r="AR43" i="79" s="1"/>
  <c r="AR44" i="79" s="1"/>
  <c r="AR45" i="79" s="1"/>
  <c r="AR46" i="79" s="1"/>
  <c r="AR47" i="79" s="1"/>
  <c r="AR48" i="79" s="1"/>
  <c r="AR49" i="79" s="1"/>
  <c r="AR50" i="79" s="1"/>
  <c r="AR51" i="79" s="1"/>
  <c r="AR52" i="79" s="1"/>
  <c r="AA31" i="79"/>
  <c r="AD31"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9" i="79"/>
  <c r="AK49" i="79" s="1"/>
  <c r="AH49" i="79"/>
  <c r="W23" i="79"/>
  <c r="AK23" i="79" s="1"/>
  <c r="AH23" i="79"/>
  <c r="W12" i="79"/>
  <c r="AK12" i="79" s="1"/>
  <c r="AH12"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13" i="79"/>
  <c r="AK13" i="79" s="1"/>
  <c r="AH13" i="79"/>
  <c r="W48" i="79"/>
  <c r="AK48" i="79" s="1"/>
  <c r="AH48" i="79"/>
  <c r="W43" i="79"/>
  <c r="AK43" i="79" s="1"/>
  <c r="AH43" i="79"/>
  <c r="W38" i="79"/>
  <c r="AK38" i="79" s="1"/>
  <c r="AH38" i="79"/>
  <c r="AH33" i="79"/>
  <c r="W33" i="79"/>
  <c r="AK33" i="79" s="1"/>
  <c r="W21" i="79"/>
  <c r="AK21" i="79" s="1"/>
  <c r="AH21" i="79"/>
  <c r="W45" i="79"/>
  <c r="AK45" i="79" s="1"/>
  <c r="AH4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BN14" i="3"/>
  <c r="BN15" i="3"/>
  <c r="BN16" i="3"/>
  <c r="BL16" i="3" s="1"/>
  <c r="BN17" i="3"/>
  <c r="BP13" i="3"/>
  <c r="BP14" i="3"/>
  <c r="BP15" i="3"/>
  <c r="BP16" i="3"/>
  <c r="BP17" i="3"/>
  <c r="E19" i="6"/>
  <c r="E20" i="6"/>
  <c r="K7" i="1" s="1"/>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L581" i="3" s="1"/>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AC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B73" i="35"/>
  <c r="J23" i="35" s="1"/>
  <c r="AC23" i="35" s="1"/>
  <c r="H23" i="35"/>
  <c r="U23" i="35" s="1"/>
  <c r="B57" i="35"/>
  <c r="B61" i="35"/>
  <c r="B59" i="35"/>
  <c r="F12" i="35" s="1"/>
  <c r="B131" i="34"/>
  <c r="B129" i="34"/>
  <c r="H46" i="34" s="1"/>
  <c r="U46" i="34" s="1"/>
  <c r="B127" i="34"/>
  <c r="B99" i="34"/>
  <c r="B97" i="34"/>
  <c r="B95" i="34"/>
  <c r="F30" i="34" s="1"/>
  <c r="B93" i="34"/>
  <c r="B75" i="34"/>
  <c r="B73" i="34"/>
  <c r="B71" i="34"/>
  <c r="B130" i="33"/>
  <c r="B128" i="33"/>
  <c r="B126" i="33"/>
  <c r="B98" i="33"/>
  <c r="J31" i="33" s="1"/>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S8" i="34" s="1"/>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F46" i="21" s="1"/>
  <c r="AA46" i="21" s="1"/>
  <c r="B128" i="21"/>
  <c r="J45" i="21"/>
  <c r="W45" i="21" s="1"/>
  <c r="B126" i="21"/>
  <c r="B98" i="21"/>
  <c r="H31" i="21" s="1"/>
  <c r="B96" i="21"/>
  <c r="B94" i="21"/>
  <c r="B92" i="21"/>
  <c r="B90" i="2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F36" i="39"/>
  <c r="S36" i="39" s="1"/>
  <c r="H36" i="39"/>
  <c r="AB36" i="39" s="1"/>
  <c r="J35" i="39"/>
  <c r="AC35" i="39" s="1"/>
  <c r="F35" i="39"/>
  <c r="AA35" i="39"/>
  <c r="J36" i="39"/>
  <c r="AC36" i="39" s="1"/>
  <c r="U30" i="37"/>
  <c r="W31" i="37"/>
  <c r="F103" i="37"/>
  <c r="G103" i="37" s="1"/>
  <c r="H103" i="37" s="1"/>
  <c r="I103" i="37" s="1"/>
  <c r="J103" i="37" s="1"/>
  <c r="K103" i="37" s="1"/>
  <c r="L103" i="37" s="1"/>
  <c r="M103" i="37" s="1"/>
  <c r="F39" i="37"/>
  <c r="S39" i="37" s="1"/>
  <c r="F29" i="36"/>
  <c r="AA29" i="36" s="1"/>
  <c r="F16" i="36"/>
  <c r="AA16" i="36" s="1"/>
  <c r="W28" i="36"/>
  <c r="H22" i="35"/>
  <c r="AB22" i="35"/>
  <c r="AC27" i="35"/>
  <c r="W28" i="35"/>
  <c r="W22" i="35"/>
  <c r="S31" i="35"/>
  <c r="U34" i="35"/>
  <c r="F36" i="34"/>
  <c r="AA36" i="34" s="1"/>
  <c r="J35" i="34"/>
  <c r="AC35" i="34" s="1"/>
  <c r="H39" i="33"/>
  <c r="AB39" i="33"/>
  <c r="F26" i="33"/>
  <c r="AA26" i="33" s="1"/>
  <c r="U33" i="33"/>
  <c r="U35" i="33"/>
  <c r="S40" i="33"/>
  <c r="W39" i="33"/>
  <c r="H39" i="37"/>
  <c r="F11" i="40"/>
  <c r="AA11" i="40"/>
  <c r="H11" i="40"/>
  <c r="AB11" i="40" s="1"/>
  <c r="AA9" i="40"/>
  <c r="W31" i="40"/>
  <c r="U34"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J21" i="40"/>
  <c r="W21" i="40"/>
  <c r="H42" i="39"/>
  <c r="AB42" i="39" s="1"/>
  <c r="J34" i="39"/>
  <c r="AC34" i="39" s="1"/>
  <c r="J31" i="39"/>
  <c r="F100" i="39"/>
  <c r="G100" i="39" s="1"/>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W11" i="40"/>
  <c r="AB12" i="35"/>
  <c r="AB12" i="36"/>
  <c r="W32" i="40"/>
  <c r="F37" i="39"/>
  <c r="AA37" i="39" s="1"/>
  <c r="J34" i="36"/>
  <c r="W34" i="36"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J33" i="37"/>
  <c r="AC33" i="37" s="1"/>
  <c r="H40" i="34"/>
  <c r="AB40" i="34" s="1"/>
  <c r="E114" i="34"/>
  <c r="H36" i="34"/>
  <c r="U36" i="34" s="1"/>
  <c r="F37" i="34"/>
  <c r="AA37" i="34" s="1"/>
  <c r="F28" i="34"/>
  <c r="F25" i="34"/>
  <c r="S25" i="34" s="1"/>
  <c r="H23" i="34"/>
  <c r="U23" i="34" s="1"/>
  <c r="J23" i="34"/>
  <c r="W23" i="34" s="1"/>
  <c r="F19" i="34"/>
  <c r="S19" i="34" s="1"/>
  <c r="H15" i="34"/>
  <c r="AB15" i="34" s="1"/>
  <c r="J28" i="34"/>
  <c r="W28" i="34" s="1"/>
  <c r="F41" i="33"/>
  <c r="AA41" i="33"/>
  <c r="S38" i="33"/>
  <c r="E113" i="33"/>
  <c r="F32" i="33"/>
  <c r="AA32" i="33"/>
  <c r="J19" i="33"/>
  <c r="AC19" i="33" s="1"/>
  <c r="J15" i="33"/>
  <c r="AC15" i="33" s="1"/>
  <c r="F11" i="33"/>
  <c r="AA11" i="33" s="1"/>
  <c r="S26" i="33"/>
  <c r="U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S41" i="33"/>
  <c r="F113" i="33"/>
  <c r="G113" i="33" s="1"/>
  <c r="H113" i="33" s="1"/>
  <c r="I113" i="33" s="1"/>
  <c r="J113" i="33" s="1"/>
  <c r="K113" i="33" s="1"/>
  <c r="L113" i="33" s="1"/>
  <c r="M113" i="33" s="1"/>
  <c r="H37" i="33"/>
  <c r="AB37" i="33" s="1"/>
  <c r="H15" i="33"/>
  <c r="AB15" i="33" s="1"/>
  <c r="H11" i="33"/>
  <c r="F28" i="40"/>
  <c r="AA28" i="40" s="1"/>
  <c r="AA29" i="35"/>
  <c r="AA42" i="34"/>
  <c r="S42" i="34"/>
  <c r="J37" i="34"/>
  <c r="AC37" i="34" s="1"/>
  <c r="J11" i="33"/>
  <c r="W11" i="33" s="1"/>
  <c r="M123" i="21"/>
  <c r="J42" i="21"/>
  <c r="AC42" i="21" s="1"/>
  <c r="H42" i="21"/>
  <c r="U42" i="21"/>
  <c r="J44" i="34"/>
  <c r="W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c r="J46" i="21"/>
  <c r="E119" i="21"/>
  <c r="F119" i="21" s="1"/>
  <c r="G119" i="21" s="1"/>
  <c r="H119" i="21" s="1"/>
  <c r="I119" i="21" s="1"/>
  <c r="J119" i="21" s="1"/>
  <c r="K119" i="21" s="1"/>
  <c r="L119" i="21" s="1"/>
  <c r="M119" i="21" s="1"/>
  <c r="H26" i="33"/>
  <c r="U28" i="33"/>
  <c r="F28" i="33"/>
  <c r="AA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F27" i="33"/>
  <c r="AA27" i="33" s="1"/>
  <c r="F13" i="33"/>
  <c r="AA13" i="33" s="1"/>
  <c r="J29" i="33"/>
  <c r="H29" i="33"/>
  <c r="U29" i="33"/>
  <c r="F29" i="33"/>
  <c r="S29" i="33" s="1"/>
  <c r="H31" i="33"/>
  <c r="F31" i="33"/>
  <c r="H45" i="33"/>
  <c r="U45" i="33" s="1"/>
  <c r="J45" i="33"/>
  <c r="W45" i="33" s="1"/>
  <c r="F45" i="33"/>
  <c r="J14" i="34"/>
  <c r="W14" i="34" s="1"/>
  <c r="F14" i="34"/>
  <c r="S14" i="34" s="1"/>
  <c r="H14" i="34"/>
  <c r="AB14" i="34" s="1"/>
  <c r="H32" i="34"/>
  <c r="AB32" i="34" s="1"/>
  <c r="F32" i="34"/>
  <c r="S32" i="34" s="1"/>
  <c r="J32" i="34"/>
  <c r="W32" i="34" s="1"/>
  <c r="F46" i="34"/>
  <c r="AA46" i="34" s="1"/>
  <c r="J46" i="34"/>
  <c r="AC46" i="34" s="1"/>
  <c r="F11" i="35"/>
  <c r="S11" i="35" s="1"/>
  <c r="J26" i="36"/>
  <c r="W26" i="36" s="1"/>
  <c r="H28" i="36"/>
  <c r="U28" i="36" s="1"/>
  <c r="H32" i="36"/>
  <c r="AB32" i="36" s="1"/>
  <c r="J32" i="36"/>
  <c r="W32" i="36" s="1"/>
  <c r="J11" i="36"/>
  <c r="AC11" i="36" s="1"/>
  <c r="H11" i="36"/>
  <c r="U11" i="36" s="1"/>
  <c r="F11" i="36"/>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s="1"/>
  <c r="F13" i="34"/>
  <c r="AA13" i="34" s="1"/>
  <c r="J29" i="34"/>
  <c r="AC29" i="34" s="1"/>
  <c r="F29" i="34"/>
  <c r="S29" i="34"/>
  <c r="H29" i="34"/>
  <c r="AB29" i="34" s="1"/>
  <c r="J31" i="34"/>
  <c r="W31" i="34" s="1"/>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s="1"/>
  <c r="J13" i="37"/>
  <c r="W13" i="37" s="1"/>
  <c r="F28" i="37"/>
  <c r="AA28" i="37" s="1"/>
  <c r="J28" i="37"/>
  <c r="AC28" i="37" s="1"/>
  <c r="H28" i="37"/>
  <c r="J38" i="37"/>
  <c r="AC38" i="37" s="1"/>
  <c r="F43" i="39"/>
  <c r="AA43" i="39" s="1"/>
  <c r="H43" i="39"/>
  <c r="J14" i="39"/>
  <c r="AC14" i="39" s="1"/>
  <c r="F14" i="39"/>
  <c r="H14" i="39"/>
  <c r="AB14" i="39"/>
  <c r="F12" i="40"/>
  <c r="S12" i="40" s="1"/>
  <c r="H12" i="40"/>
  <c r="AB12" i="40" s="1"/>
  <c r="H30" i="40"/>
  <c r="AB30" i="40" s="1"/>
  <c r="F33" i="40"/>
  <c r="AA33" i="40" s="1"/>
  <c r="H33" i="40"/>
  <c r="U33" i="40" s="1"/>
  <c r="J35" i="40"/>
  <c r="W35" i="40" s="1"/>
  <c r="J37" i="40"/>
  <c r="AC37" i="40" s="1"/>
  <c r="H13" i="40"/>
  <c r="U13" i="40"/>
  <c r="F13" i="40"/>
  <c r="AA13" i="40" s="1"/>
  <c r="F27" i="37"/>
  <c r="AA27" i="37"/>
  <c r="F13" i="39"/>
  <c r="J13" i="39"/>
  <c r="W13" i="39" s="1"/>
  <c r="H13" i="39"/>
  <c r="H14" i="40"/>
  <c r="AB14" i="40" s="1"/>
  <c r="J14" i="40"/>
  <c r="W14" i="40" s="1"/>
  <c r="F14" i="40"/>
  <c r="AA14" i="40" s="1"/>
  <c r="J27" i="37"/>
  <c r="AC27" i="37"/>
  <c r="AA44" i="33"/>
  <c r="AA14" i="33"/>
  <c r="J36" i="37"/>
  <c r="AC36" i="37" s="1"/>
  <c r="J10" i="36"/>
  <c r="AC10" i="36" s="1"/>
  <c r="AB30" i="21"/>
  <c r="AB46" i="34"/>
  <c r="AC28" i="21"/>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68" i="3"/>
  <c r="BL564" i="3"/>
  <c r="BL560" i="3"/>
  <c r="BL554" i="3"/>
  <c r="BL546" i="3"/>
  <c r="BL542" i="3"/>
  <c r="BL538" i="3"/>
  <c r="BL534" i="3"/>
  <c r="BL530" i="3"/>
  <c r="BL526" i="3"/>
  <c r="BL522" i="3"/>
  <c r="BL516" i="3"/>
  <c r="BL512" i="3"/>
  <c r="BL506" i="3"/>
  <c r="BL502" i="3"/>
  <c r="BL498" i="3"/>
  <c r="BL494" i="3"/>
  <c r="BL582"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78" i="3"/>
  <c r="BA576" i="3"/>
  <c r="AZ576" i="3" s="1"/>
  <c r="BA570" i="3"/>
  <c r="AZ570" i="3" s="1"/>
  <c r="BA568" i="3"/>
  <c r="AZ568" i="3" s="1"/>
  <c r="BA564" i="3"/>
  <c r="BA562" i="3"/>
  <c r="BA560" i="3"/>
  <c r="AZ560" i="3" s="1"/>
  <c r="BA558" i="3"/>
  <c r="BA556" i="3"/>
  <c r="AZ556" i="3" s="1"/>
  <c r="BA554" i="3"/>
  <c r="AZ554" i="3" s="1"/>
  <c r="BA552" i="3"/>
  <c r="AZ552" i="3"/>
  <c r="BA548" i="3"/>
  <c r="BA546" i="3"/>
  <c r="BA544" i="3"/>
  <c r="AZ544" i="3"/>
  <c r="BA542" i="3"/>
  <c r="BA540" i="3"/>
  <c r="BA538" i="3"/>
  <c r="AZ538" i="3" s="1"/>
  <c r="BA536" i="3"/>
  <c r="AZ536" i="3"/>
  <c r="BA534" i="3"/>
  <c r="AZ534" i="3" s="1"/>
  <c r="BA532" i="3"/>
  <c r="AZ532" i="3"/>
  <c r="BA530" i="3"/>
  <c r="AZ530" i="3" s="1"/>
  <c r="BA528" i="3"/>
  <c r="AZ528" i="3" s="1"/>
  <c r="BA526" i="3"/>
  <c r="BA524" i="3"/>
  <c r="AZ524" i="3" s="1"/>
  <c r="BA522" i="3"/>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3" i="3"/>
  <c r="BA579" i="3"/>
  <c r="BA577" i="3"/>
  <c r="BA571" i="3"/>
  <c r="AZ571" i="3" s="1"/>
  <c r="BA569"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7" i="3"/>
  <c r="G575" i="3"/>
  <c r="G573" i="3"/>
  <c r="G569" i="3"/>
  <c r="G567" i="3"/>
  <c r="G565" i="3"/>
  <c r="G563" i="3"/>
  <c r="G561" i="3"/>
  <c r="BL558" i="3"/>
  <c r="BA557" i="3"/>
  <c r="AC557" i="3"/>
  <c r="G557" i="3" s="1"/>
  <c r="BQ557" i="3"/>
  <c r="BL557" i="3" s="1"/>
  <c r="BQ583" i="3"/>
  <c r="BL583" i="3" s="1"/>
  <c r="AZ583" i="3" s="1"/>
  <c r="BQ581" i="3"/>
  <c r="BQ579" i="3"/>
  <c r="BL579" i="3" s="1"/>
  <c r="BQ577" i="3"/>
  <c r="BQ575" i="3"/>
  <c r="BL575" i="3"/>
  <c r="BQ573" i="3"/>
  <c r="BL573" i="3" s="1"/>
  <c r="AZ573" i="3" s="1"/>
  <c r="BQ571" i="3"/>
  <c r="BQ569" i="3"/>
  <c r="BL569" i="3" s="1"/>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BQ539" i="3"/>
  <c r="BL539" i="3" s="1"/>
  <c r="BQ537" i="3"/>
  <c r="BL537" i="3" s="1"/>
  <c r="BQ535" i="3"/>
  <c r="BL535" i="3" s="1"/>
  <c r="BQ533" i="3"/>
  <c r="BL533" i="3"/>
  <c r="AZ533" i="3" s="1"/>
  <c r="BQ531" i="3"/>
  <c r="BL531" i="3" s="1"/>
  <c r="AZ531" i="3" s="1"/>
  <c r="BQ529" i="3"/>
  <c r="BL529" i="3" s="1"/>
  <c r="BQ527" i="3"/>
  <c r="BL527" i="3" s="1"/>
  <c r="AZ527" i="3"/>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BQ503" i="3"/>
  <c r="BL503" i="3" s="1"/>
  <c r="AZ503" i="3" s="1"/>
  <c r="BQ501" i="3"/>
  <c r="BL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W47" i="34"/>
  <c r="AC45" i="33"/>
  <c r="W44" i="33"/>
  <c r="U19" i="21"/>
  <c r="AB38" i="21"/>
  <c r="F43" i="33"/>
  <c r="AA43" i="33" s="1"/>
  <c r="G107" i="37"/>
  <c r="H107" i="37" s="1"/>
  <c r="I107" i="37" s="1"/>
  <c r="J107" i="37" s="1"/>
  <c r="K107" i="37" s="1"/>
  <c r="L107" i="37" s="1"/>
  <c r="M107" i="37" s="1"/>
  <c r="H37" i="21"/>
  <c r="U37" i="21" s="1"/>
  <c r="S42" i="21"/>
  <c r="H19" i="34"/>
  <c r="AB19" i="34" s="1"/>
  <c r="F36" i="35"/>
  <c r="S36" i="35" s="1"/>
  <c r="F9" i="37"/>
  <c r="S9" i="37" s="1"/>
  <c r="J12" i="37"/>
  <c r="W12" i="37" s="1"/>
  <c r="H12" i="37"/>
  <c r="AB12" i="37" s="1"/>
  <c r="F12" i="37"/>
  <c r="S12" i="37" s="1"/>
  <c r="E71" i="37"/>
  <c r="F71" i="37" s="1"/>
  <c r="G71" i="37" s="1"/>
  <c r="F15" i="37"/>
  <c r="AA15" i="37" s="1"/>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AB33" i="40"/>
  <c r="W23" i="39"/>
  <c r="AC43" i="39"/>
  <c r="W43" i="39"/>
  <c r="U45" i="39"/>
  <c r="AB45" i="39"/>
  <c r="H37" i="39"/>
  <c r="AB37" i="39"/>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AZ549" i="3" s="1"/>
  <c r="AZ494" i="3"/>
  <c r="AZ522"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86" i="3"/>
  <c r="AZ500" i="3"/>
  <c r="BA16" i="3"/>
  <c r="AZ16" i="3" s="1"/>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AZ391" i="3" s="1"/>
  <c r="BL392" i="3"/>
  <c r="G393" i="3"/>
  <c r="BO5" i="3"/>
  <c r="BJ5" i="3"/>
  <c r="BH5" i="3"/>
  <c r="BD5" i="3"/>
  <c r="AC5" i="3"/>
  <c r="AZ506" i="3"/>
  <c r="AZ496" i="3"/>
  <c r="G548" i="3"/>
  <c r="G538" i="3"/>
  <c r="G520" i="3"/>
  <c r="G502" i="3"/>
  <c r="BS5" i="3"/>
  <c r="BP5" i="3"/>
  <c r="BK5" i="3"/>
  <c r="BI5" i="3"/>
  <c r="BG5" i="3"/>
  <c r="BE5" i="3"/>
  <c r="BC5" i="3"/>
  <c r="G17" i="3"/>
  <c r="BA17" i="3"/>
  <c r="BT5" i="3"/>
  <c r="AZ350" i="3"/>
  <c r="BA1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27" i="3"/>
  <c r="AZ235" i="3"/>
  <c r="AZ251" i="3"/>
  <c r="AZ256" i="3"/>
  <c r="AZ271" i="3"/>
  <c r="AZ74"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C12" i="39"/>
  <c r="W12" i="39"/>
  <c r="AC39" i="40"/>
  <c r="W39" i="40"/>
  <c r="W12" i="33"/>
  <c r="AC12" i="33"/>
  <c r="AA32" i="36"/>
  <c r="S32" i="36"/>
  <c r="AZ473" i="3"/>
  <c r="BL14" i="3"/>
  <c r="U30" i="33"/>
  <c r="AA47" i="34"/>
  <c r="W28" i="37"/>
  <c r="S19" i="39"/>
  <c r="F12" i="33"/>
  <c r="H12" i="39"/>
  <c r="AB12" i="39" s="1"/>
  <c r="F39" i="40"/>
  <c r="BA14" i="3"/>
  <c r="AZ25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S23" i="36"/>
  <c r="U13" i="36"/>
  <c r="U26" i="36"/>
  <c r="AA26" i="36"/>
  <c r="AA34" i="36"/>
  <c r="AC26" i="36"/>
  <c r="AA22" i="36"/>
  <c r="W14" i="36"/>
  <c r="AB14" i="36"/>
  <c r="U22" i="36"/>
  <c r="S16" i="36"/>
  <c r="AA25" i="36"/>
  <c r="S24" i="36"/>
  <c r="U24" i="36"/>
  <c r="U23" i="36"/>
  <c r="AB20" i="36"/>
  <c r="U16" i="36"/>
  <c r="S14" i="36"/>
  <c r="AA25" i="35"/>
  <c r="S23"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C42"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U29" i="34"/>
  <c r="E5" i="6"/>
  <c r="E32" i="6"/>
  <c r="G1" i="68"/>
  <c r="K1" i="12"/>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U24" i="35"/>
  <c r="S35" i="35"/>
  <c r="W35" i="35"/>
  <c r="AA16" i="35"/>
  <c r="AA35" i="37"/>
  <c r="W36" i="37"/>
  <c r="S27" i="37"/>
  <c r="S28" i="37"/>
  <c r="W32" i="37"/>
  <c r="U36" i="37"/>
  <c r="S40" i="37"/>
  <c r="AB37" i="37"/>
  <c r="AC34" i="37"/>
  <c r="AB35" i="37"/>
  <c r="AA31" i="37"/>
  <c r="U19" i="37"/>
  <c r="AA29" i="37"/>
  <c r="U8" i="37"/>
  <c r="AA31" i="34"/>
  <c r="AB47" i="34"/>
  <c r="AB36" i="34"/>
  <c r="AC14" i="34"/>
  <c r="AC32" i="34"/>
  <c r="W29" i="34"/>
  <c r="W46" i="34"/>
  <c r="AC40" i="34"/>
  <c r="AA19" i="34"/>
  <c r="S46" i="34"/>
  <c r="U32" i="34"/>
  <c r="AB28" i="33"/>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S19" i="21"/>
  <c r="S9" i="21"/>
  <c r="AA9" i="21"/>
  <c r="K141" i="21"/>
  <c r="K144" i="21"/>
  <c r="K143" i="21"/>
  <c r="AB25" i="21"/>
  <c r="AB44" i="21"/>
  <c r="AA30" i="21"/>
  <c r="W42" i="21"/>
  <c r="AC45" i="21"/>
  <c r="F10" i="21"/>
  <c r="AA10" i="21" s="1"/>
  <c r="K145" i="21"/>
  <c r="W17" i="21"/>
  <c r="W25" i="21"/>
  <c r="W31" i="21"/>
  <c r="S27" i="21"/>
  <c r="S17" i="21"/>
  <c r="AA15" i="21"/>
  <c r="AC26" i="21"/>
  <c r="S28" i="21"/>
  <c r="AC34" i="21"/>
  <c r="AB36" i="21"/>
  <c r="W30" i="40"/>
  <c r="C19" i="39"/>
  <c r="C15" i="40"/>
  <c r="C17" i="40"/>
  <c r="C23" i="40"/>
  <c r="C21" i="40"/>
  <c r="U30" i="40"/>
  <c r="B56" i="43"/>
  <c r="B67" i="43"/>
  <c r="B54" i="43"/>
  <c r="B58" i="43"/>
  <c r="B62" i="43"/>
  <c r="B65" i="43"/>
  <c r="B69" i="43"/>
  <c r="D22" i="15"/>
  <c r="E4" i="4"/>
  <c r="B5" i="62" s="1"/>
  <c r="B73" i="72" s="1"/>
  <c r="C4" i="4"/>
  <c r="F30" i="68"/>
  <c r="F48" i="68" s="1"/>
  <c r="F28" i="67"/>
  <c r="F52" i="9"/>
  <c r="F32" i="67"/>
  <c r="F60" i="67" s="1"/>
  <c r="F32" i="15"/>
  <c r="F60" i="15" s="1"/>
  <c r="F28" i="15"/>
  <c r="AA39" i="40"/>
  <c r="S39" i="40"/>
  <c r="S12" i="33"/>
  <c r="AA12" i="33"/>
  <c r="F54" i="9"/>
  <c r="J32" i="39"/>
  <c r="W32" i="39" s="1"/>
  <c r="H32" i="39"/>
  <c r="AB32" i="39" s="1"/>
  <c r="AA32" i="39"/>
  <c r="S32" i="39"/>
  <c r="AB21" i="39"/>
  <c r="AA21" i="39"/>
  <c r="S21" i="39"/>
  <c r="AC17" i="37"/>
  <c r="J19" i="37"/>
  <c r="W19" i="37" s="1"/>
  <c r="G75" i="37"/>
  <c r="AA19" i="37"/>
  <c r="J23" i="37"/>
  <c r="AC23" i="37" s="1"/>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AB19" i="33" s="1"/>
  <c r="H17" i="33"/>
  <c r="U17" i="33" s="1"/>
  <c r="F17" i="33"/>
  <c r="S17" i="33" s="1"/>
  <c r="W17" i="33"/>
  <c r="S37" i="21"/>
  <c r="AA23" i="21"/>
  <c r="AB15" i="21"/>
  <c r="J23" i="21"/>
  <c r="F85" i="21"/>
  <c r="G85" i="21" s="1"/>
  <c r="H23" i="21"/>
  <c r="S13" i="21"/>
  <c r="AP7" i="1"/>
  <c r="AB45" i="21"/>
  <c r="AB9" i="21"/>
  <c r="AA32" i="21"/>
  <c r="S32" i="21"/>
  <c r="W9" i="21"/>
  <c r="AB32" i="21"/>
  <c r="U32" i="21"/>
  <c r="U32" i="39"/>
  <c r="AC32" i="39"/>
  <c r="W23" i="37"/>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83"/>
  <c r="F13" i="67"/>
  <c r="F16" i="15"/>
  <c r="M29" i="67"/>
  <c r="F6" i="15"/>
  <c r="E8" i="76"/>
  <c r="F37" i="67"/>
  <c r="M24" i="15"/>
  <c r="J15" i="15"/>
  <c r="M23" i="15"/>
  <c r="F26" i="15"/>
  <c r="F16" i="67"/>
  <c r="M9" i="15"/>
  <c r="M22" i="15"/>
  <c r="B7" i="76"/>
  <c r="E10" i="76"/>
  <c r="F43" i="67"/>
  <c r="F43" i="83"/>
  <c r="L47" i="67"/>
  <c r="F13" i="15"/>
  <c r="M8" i="67"/>
  <c r="B9" i="76"/>
  <c r="M29" i="83"/>
  <c r="D6" i="73"/>
  <c r="F4" i="73"/>
  <c r="F7" i="67"/>
  <c r="M6" i="67"/>
  <c r="M28" i="15"/>
  <c r="F36" i="15"/>
  <c r="F5" i="73"/>
  <c r="F37" i="15"/>
  <c r="B8" i="76"/>
  <c r="B11" i="76"/>
  <c r="F38" i="67"/>
  <c r="M28" i="67"/>
  <c r="E2" i="69"/>
  <c r="F9" i="15"/>
  <c r="F6" i="67"/>
  <c r="M24" i="67"/>
  <c r="M23" i="67"/>
  <c r="M26" i="15"/>
  <c r="F8" i="15"/>
  <c r="J15" i="67"/>
  <c r="M26" i="67"/>
  <c r="E7" i="76"/>
  <c r="M29" i="15"/>
  <c r="F3" i="73"/>
  <c r="F9" i="67"/>
  <c r="E9" i="76"/>
  <c r="E12" i="76"/>
  <c r="B10" i="76"/>
  <c r="L47" i="15"/>
  <c r="E13" i="76"/>
  <c r="C76" i="67"/>
  <c r="E2" i="68"/>
  <c r="B12" i="76"/>
  <c r="F40" i="15"/>
  <c r="F42" i="67"/>
  <c r="B13" i="76"/>
  <c r="F26" i="67"/>
  <c r="F7" i="73"/>
  <c r="M22" i="67"/>
  <c r="E11" i="76"/>
  <c r="F6" i="73"/>
  <c r="F8" i="67"/>
  <c r="F40" i="67"/>
  <c r="AO13" i="1"/>
  <c r="F20" i="31"/>
  <c r="AC23" i="34" l="1"/>
  <c r="F71" i="83"/>
  <c r="F50" i="83"/>
  <c r="C49" i="83" s="1"/>
  <c r="C61" i="83" s="1"/>
  <c r="M7" i="83"/>
  <c r="J6" i="83" s="1"/>
  <c r="C6" i="83"/>
  <c r="M18" i="82"/>
  <c r="B118" i="82" s="1"/>
  <c r="M7" i="1"/>
  <c r="U34" i="34"/>
  <c r="J15" i="34"/>
  <c r="AC15" i="34" s="1"/>
  <c r="F15" i="34"/>
  <c r="AA15" i="34" s="1"/>
  <c r="AC45" i="34"/>
  <c r="H17" i="34"/>
  <c r="U17" i="34" s="1"/>
  <c r="AC44" i="34"/>
  <c r="G124" i="34"/>
  <c r="H124" i="34" s="1"/>
  <c r="I124" i="34" s="1"/>
  <c r="J124" i="34" s="1"/>
  <c r="K124" i="34" s="1"/>
  <c r="L124" i="34" s="1"/>
  <c r="M124" i="34" s="1"/>
  <c r="F43" i="34"/>
  <c r="AA43" i="34" s="1"/>
  <c r="H43" i="34"/>
  <c r="J43" i="34"/>
  <c r="W43" i="34" s="1"/>
  <c r="AB41" i="34"/>
  <c r="U39" i="34"/>
  <c r="AA38" i="34"/>
  <c r="S36" i="34"/>
  <c r="S35" i="34"/>
  <c r="AB23" i="34"/>
  <c r="U19" i="34"/>
  <c r="J17" i="34"/>
  <c r="W17" i="34" s="1"/>
  <c r="F17" i="34"/>
  <c r="W41" i="34"/>
  <c r="U40" i="34"/>
  <c r="AC36" i="34"/>
  <c r="W35" i="34"/>
  <c r="U38" i="34"/>
  <c r="AB35" i="34"/>
  <c r="S37" i="34"/>
  <c r="S44" i="34"/>
  <c r="U21" i="34"/>
  <c r="W19" i="34"/>
  <c r="AC17" i="34"/>
  <c r="U15" i="34"/>
  <c r="S30" i="34"/>
  <c r="AA30" i="34"/>
  <c r="AA32" i="34"/>
  <c r="U25" i="34"/>
  <c r="AC28" i="34"/>
  <c r="U14" i="34"/>
  <c r="AC13" i="34"/>
  <c r="AA8" i="34"/>
  <c r="AB45" i="34"/>
  <c r="AA45" i="34"/>
  <c r="AC39" i="34"/>
  <c r="AA33" i="34"/>
  <c r="AA25" i="34"/>
  <c r="M18" i="15"/>
  <c r="M18" i="67"/>
  <c r="F30" i="11"/>
  <c r="C48" i="11" s="1"/>
  <c r="D93" i="9"/>
  <c r="D68" i="9"/>
  <c r="F30" i="69"/>
  <c r="F48" i="69" s="1"/>
  <c r="F31" i="12"/>
  <c r="C21" i="68"/>
  <c r="C40" i="69"/>
  <c r="D23" i="15"/>
  <c r="B51" i="43"/>
  <c r="C29" i="39"/>
  <c r="B57" i="43"/>
  <c r="B77" i="43"/>
  <c r="BA13" i="3"/>
  <c r="G29" i="6"/>
  <c r="BL13" i="3"/>
  <c r="AB26" i="37"/>
  <c r="U26" i="37"/>
  <c r="U26" i="33"/>
  <c r="AB26" i="33"/>
  <c r="BA586" i="3"/>
  <c r="BL585" i="3"/>
  <c r="BA585" i="3"/>
  <c r="AZ585" i="3" s="1"/>
  <c r="F44" i="21"/>
  <c r="J44" i="21"/>
  <c r="F9" i="34"/>
  <c r="AA9" i="34" s="1"/>
  <c r="J9" i="34"/>
  <c r="H9" i="34"/>
  <c r="H33" i="36"/>
  <c r="J33" i="36"/>
  <c r="AC33" i="36" s="1"/>
  <c r="F33" i="36"/>
  <c r="AB31" i="36"/>
  <c r="U31" i="36"/>
  <c r="H14" i="37"/>
  <c r="AB14" i="37" s="1"/>
  <c r="F14" i="37"/>
  <c r="J14" i="37"/>
  <c r="AZ580" i="3"/>
  <c r="AZ575" i="3"/>
  <c r="AZ574" i="3"/>
  <c r="AZ572" i="3"/>
  <c r="BL567" i="3"/>
  <c r="AZ566" i="3"/>
  <c r="U19" i="33"/>
  <c r="AC27" i="33"/>
  <c r="D6" i="52"/>
  <c r="S36" i="33"/>
  <c r="AA23" i="37"/>
  <c r="S17" i="37"/>
  <c r="W33" i="34"/>
  <c r="AB33" i="34"/>
  <c r="AA40" i="34"/>
  <c r="S23" i="39"/>
  <c r="S43" i="34"/>
  <c r="U25" i="39"/>
  <c r="S30" i="40"/>
  <c r="AZ14" i="3"/>
  <c r="S15" i="37"/>
  <c r="AZ345" i="3"/>
  <c r="AZ334" i="3"/>
  <c r="AZ372" i="3"/>
  <c r="AZ347" i="3"/>
  <c r="AZ337" i="3"/>
  <c r="AZ376" i="3"/>
  <c r="AZ309" i="3"/>
  <c r="AZ505" i="3"/>
  <c r="AZ515" i="3"/>
  <c r="AZ569" i="3"/>
  <c r="AZ558" i="3"/>
  <c r="AA14" i="34"/>
  <c r="AC16" i="35"/>
  <c r="W16" i="35"/>
  <c r="H13" i="21"/>
  <c r="J13" i="21"/>
  <c r="J29" i="21"/>
  <c r="H29" i="21"/>
  <c r="AC8" i="34"/>
  <c r="W8" i="34"/>
  <c r="J24" i="35"/>
  <c r="F24" i="35"/>
  <c r="J9" i="37"/>
  <c r="W9" i="37" s="1"/>
  <c r="H9" i="37"/>
  <c r="U9" i="37" s="1"/>
  <c r="H25" i="37"/>
  <c r="F25" i="37"/>
  <c r="U8" i="39"/>
  <c r="AB8" i="39"/>
  <c r="AC40" i="39"/>
  <c r="W40" i="39"/>
  <c r="U12" i="39"/>
  <c r="AA27" i="40"/>
  <c r="AB27" i="40"/>
  <c r="AZ362" i="3"/>
  <c r="AZ390" i="3"/>
  <c r="AZ351" i="3"/>
  <c r="AZ336" i="3"/>
  <c r="AZ541" i="3"/>
  <c r="AZ579" i="3"/>
  <c r="AB46" i="33"/>
  <c r="U46" i="33"/>
  <c r="AA11" i="36"/>
  <c r="S11" i="36"/>
  <c r="AA45" i="33"/>
  <c r="S45" i="33"/>
  <c r="AA21" i="40"/>
  <c r="S21" i="40"/>
  <c r="AA42" i="39"/>
  <c r="S42" i="39"/>
  <c r="B72" i="43"/>
  <c r="C15" i="39"/>
  <c r="J13" i="33"/>
  <c r="H13" i="33"/>
  <c r="U13" i="33" s="1"/>
  <c r="W31" i="33"/>
  <c r="AC31" i="33"/>
  <c r="J12" i="34"/>
  <c r="H12" i="34"/>
  <c r="F12" i="34"/>
  <c r="S12" i="34" s="1"/>
  <c r="J30" i="34"/>
  <c r="H30" i="34"/>
  <c r="H11" i="35"/>
  <c r="AB11" i="35" s="1"/>
  <c r="J11" i="35"/>
  <c r="J25" i="37"/>
  <c r="AB36" i="33"/>
  <c r="F29" i="6"/>
  <c r="AZ318" i="3"/>
  <c r="AZ306" i="3"/>
  <c r="AA11" i="39"/>
  <c r="AZ525" i="3"/>
  <c r="AZ561" i="3"/>
  <c r="AZ542" i="3"/>
  <c r="AC35" i="40"/>
  <c r="AC40" i="37"/>
  <c r="W40" i="37"/>
  <c r="S13" i="33"/>
  <c r="AB11" i="33"/>
  <c r="U11" i="33"/>
  <c r="AA28" i="34"/>
  <c r="S28" i="34"/>
  <c r="AB39" i="37"/>
  <c r="U39" i="37"/>
  <c r="J27" i="21"/>
  <c r="H27" i="21"/>
  <c r="F38" i="37"/>
  <c r="H38" i="37"/>
  <c r="H44" i="39"/>
  <c r="J44" i="39"/>
  <c r="F44" i="39"/>
  <c r="AC8" i="40"/>
  <c r="W8" i="40"/>
  <c r="AC13" i="40"/>
  <c r="W13" i="40"/>
  <c r="AZ539" i="3"/>
  <c r="AZ529" i="3"/>
  <c r="AZ537" i="3"/>
  <c r="AZ518" i="3"/>
  <c r="AZ526" i="3"/>
  <c r="AZ546" i="3"/>
  <c r="AZ564" i="3"/>
  <c r="AB45" i="33"/>
  <c r="J28" i="33"/>
  <c r="H46" i="21"/>
  <c r="W40" i="33"/>
  <c r="AB34" i="37"/>
  <c r="S34" i="40"/>
  <c r="U31" i="35"/>
  <c r="J23" i="36"/>
  <c r="BA551" i="3"/>
  <c r="AZ551" i="3" s="1"/>
  <c r="BA550" i="3"/>
  <c r="BL548" i="3"/>
  <c r="AZ535" i="3"/>
  <c r="BL577" i="3"/>
  <c r="AZ577" i="3" s="1"/>
  <c r="AZ557" i="3"/>
  <c r="AZ513" i="3"/>
  <c r="AZ548" i="3"/>
  <c r="AZ582" i="3"/>
  <c r="AZ540" i="3"/>
  <c r="AZ502" i="3"/>
  <c r="AC38" i="34"/>
  <c r="U9" i="40"/>
  <c r="S27" i="35"/>
  <c r="W33" i="33"/>
  <c r="U9" i="39"/>
  <c r="G585" i="3"/>
  <c r="BL587" i="3"/>
  <c r="AZ587" i="3" s="1"/>
  <c r="BL586" i="3"/>
  <c r="H39" i="40"/>
  <c r="F38" i="40"/>
  <c r="H38" i="40"/>
  <c r="AZ443" i="3"/>
  <c r="AZ487" i="3"/>
  <c r="G558" i="3"/>
  <c r="BL398" i="3"/>
  <c r="G402" i="3"/>
  <c r="BL403" i="3"/>
  <c r="G405" i="3"/>
  <c r="G406" i="3"/>
  <c r="BA408" i="3"/>
  <c r="BA409" i="3"/>
  <c r="AZ409" i="3" s="1"/>
  <c r="BA411" i="3"/>
  <c r="BL414" i="3"/>
  <c r="BL415" i="3"/>
  <c r="BA417" i="3"/>
  <c r="BL421" i="3"/>
  <c r="BL422" i="3"/>
  <c r="BL425" i="3"/>
  <c r="BL426" i="3"/>
  <c r="BA428" i="3"/>
  <c r="BA429" i="3"/>
  <c r="BA430" i="3"/>
  <c r="AZ430" i="3" s="1"/>
  <c r="BA432" i="3"/>
  <c r="BA434" i="3"/>
  <c r="BA436" i="3"/>
  <c r="BA438" i="3"/>
  <c r="G442" i="3"/>
  <c r="G443" i="3"/>
  <c r="BA446" i="3"/>
  <c r="BA450" i="3"/>
  <c r="BA453" i="3"/>
  <c r="BA455" i="3"/>
  <c r="AZ455" i="3" s="1"/>
  <c r="BL457" i="3"/>
  <c r="BL460" i="3"/>
  <c r="BL461" i="3"/>
  <c r="BL463" i="3"/>
  <c r="G465" i="3"/>
  <c r="BA471" i="3"/>
  <c r="G486" i="3"/>
  <c r="G488" i="3"/>
  <c r="BA319" i="3"/>
  <c r="AZ319" i="3" s="1"/>
  <c r="BL550" i="3"/>
  <c r="BL15" i="3"/>
  <c r="AZ15" i="3" s="1"/>
  <c r="BA398" i="3"/>
  <c r="BA399" i="3"/>
  <c r="AZ399" i="3" s="1"/>
  <c r="BL401" i="3"/>
  <c r="AZ401" i="3" s="1"/>
  <c r="BL404" i="3"/>
  <c r="BL405" i="3"/>
  <c r="BL407" i="3"/>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BA454" i="3"/>
  <c r="AZ454" i="3" s="1"/>
  <c r="BA457" i="3"/>
  <c r="BA459" i="3"/>
  <c r="BA460" i="3"/>
  <c r="AZ460" i="3" s="1"/>
  <c r="BA461" i="3"/>
  <c r="AZ461" i="3" s="1"/>
  <c r="BL464" i="3"/>
  <c r="BL466" i="3"/>
  <c r="G468" i="3"/>
  <c r="BL476" i="3"/>
  <c r="AZ483" i="3"/>
  <c r="BA486" i="3"/>
  <c r="BL489" i="3"/>
  <c r="G492" i="3"/>
  <c r="BA303" i="3"/>
  <c r="AZ303" i="3" s="1"/>
  <c r="BA307" i="3"/>
  <c r="AZ307" i="3" s="1"/>
  <c r="G311" i="3"/>
  <c r="BL314" i="3"/>
  <c r="AZ314" i="3" s="1"/>
  <c r="G315" i="3"/>
  <c r="G574" i="3"/>
  <c r="AZ403" i="3"/>
  <c r="AZ404" i="3"/>
  <c r="AZ405" i="3"/>
  <c r="AZ407" i="3"/>
  <c r="BL410" i="3"/>
  <c r="AZ419" i="3"/>
  <c r="AZ422" i="3"/>
  <c r="AZ444" i="3"/>
  <c r="AZ448" i="3"/>
  <c r="AZ464" i="3"/>
  <c r="AZ466" i="3"/>
  <c r="AZ476" i="3"/>
  <c r="BA482" i="3"/>
  <c r="BA484" i="3"/>
  <c r="AZ484"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17"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A332" i="3"/>
  <c r="AZ332" i="3" s="1"/>
  <c r="BL332" i="3"/>
  <c r="G339" i="3"/>
  <c r="G364" i="3"/>
  <c r="BA367" i="3"/>
  <c r="AZ367" i="3" s="1"/>
  <c r="BA370" i="3"/>
  <c r="AZ370" i="3" s="1"/>
  <c r="BA386" i="3"/>
  <c r="AZ386" i="3" s="1"/>
  <c r="G397" i="3"/>
  <c r="G210"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BA137" i="3"/>
  <c r="AZ137" i="3" s="1"/>
  <c r="BL138" i="3"/>
  <c r="BA140" i="3"/>
  <c r="AZ140" i="3" s="1"/>
  <c r="BL214" i="3"/>
  <c r="AZ214" i="3" s="1"/>
  <c r="BL225" i="3"/>
  <c r="BL226" i="3"/>
  <c r="BA239" i="3"/>
  <c r="AZ239" i="3" s="1"/>
  <c r="BL239" i="3"/>
  <c r="BA241" i="3"/>
  <c r="BL241" i="3"/>
  <c r="BA244" i="3"/>
  <c r="AZ244" i="3" s="1"/>
  <c r="BL244" i="3"/>
  <c r="BA246" i="3"/>
  <c r="BA252" i="3"/>
  <c r="AZ252" i="3" s="1"/>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L139" i="3"/>
  <c r="AZ139" i="3" s="1"/>
  <c r="G140" i="3"/>
  <c r="BL141" i="3"/>
  <c r="BL143" i="3"/>
  <c r="AZ143" i="3" s="1"/>
  <c r="G146"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AZ126" i="3"/>
  <c r="BA129" i="3"/>
  <c r="BL133" i="3"/>
  <c r="AZ133" i="3" s="1"/>
  <c r="BA37" i="3"/>
  <c r="G39" i="3"/>
  <c r="BL39" i="3"/>
  <c r="AZ39" i="3" s="1"/>
  <c r="BA45" i="3"/>
  <c r="BA46" i="3"/>
  <c r="BL49" i="3"/>
  <c r="BL50" i="3"/>
  <c r="AZ50" i="3" s="1"/>
  <c r="BL51" i="3"/>
  <c r="BL83" i="3"/>
  <c r="D44" i="71"/>
  <c r="T44" i="71"/>
  <c r="D34" i="71"/>
  <c r="C35" i="71"/>
  <c r="C55" i="71"/>
  <c r="D54" i="71"/>
  <c r="D67" i="71"/>
  <c r="C66" i="71"/>
  <c r="O67" i="71"/>
  <c r="BA150" i="3"/>
  <c r="BL167" i="3"/>
  <c r="AZ167" i="3" s="1"/>
  <c r="BL178" i="3"/>
  <c r="BA180" i="3"/>
  <c r="AZ180" i="3" s="1"/>
  <c r="BL182" i="3"/>
  <c r="BA185" i="3"/>
  <c r="BL191" i="3"/>
  <c r="AZ191" i="3" s="1"/>
  <c r="BA193" i="3"/>
  <c r="BA196" i="3"/>
  <c r="AZ196" i="3" s="1"/>
  <c r="G203" i="3"/>
  <c r="BA205" i="3"/>
  <c r="AZ205" i="3" s="1"/>
  <c r="BL20" i="3"/>
  <c r="BA21" i="3"/>
  <c r="AZ21" i="3" s="1"/>
  <c r="BL28" i="3"/>
  <c r="BA29" i="3"/>
  <c r="AZ29" i="3" s="1"/>
  <c r="AZ52" i="3"/>
  <c r="BA53" i="3"/>
  <c r="BA54" i="3"/>
  <c r="G67" i="3"/>
  <c r="BL68" i="3"/>
  <c r="BA69" i="3"/>
  <c r="BA73" i="3"/>
  <c r="G78" i="3"/>
  <c r="G79" i="3"/>
  <c r="G81" i="3"/>
  <c r="G85" i="3"/>
  <c r="BL85" i="3"/>
  <c r="BA86" i="3"/>
  <c r="BA92" i="3"/>
  <c r="G95" i="3"/>
  <c r="BA98" i="3"/>
  <c r="C64" i="71"/>
  <c r="D63"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L55" i="3"/>
  <c r="AZ55" i="3" s="1"/>
  <c r="G58" i="3"/>
  <c r="BA59" i="3"/>
  <c r="BL61" i="3"/>
  <c r="G64" i="3"/>
  <c r="BA64" i="3"/>
  <c r="AZ64" i="3" s="1"/>
  <c r="BA68" i="3"/>
  <c r="BA80" i="3"/>
  <c r="BL84" i="3"/>
  <c r="D31" i="71"/>
  <c r="C32" i="71"/>
  <c r="D50" i="71"/>
  <c r="C51" i="7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5" i="3"/>
  <c r="BL56" i="3"/>
  <c r="BA58" i="3"/>
  <c r="BL59" i="3"/>
  <c r="BL60" i="3"/>
  <c r="BA61" i="3"/>
  <c r="AZ61" i="3" s="1"/>
  <c r="BL69" i="3"/>
  <c r="G70" i="3"/>
  <c r="BL70" i="3"/>
  <c r="AZ70" i="3" s="1"/>
  <c r="BL71" i="3"/>
  <c r="BL72" i="3"/>
  <c r="AZ72" i="3" s="1"/>
  <c r="G74" i="3"/>
  <c r="BA75" i="3"/>
  <c r="AZ75" i="3" s="1"/>
  <c r="BL86" i="3"/>
  <c r="G87" i="3"/>
  <c r="T28" i="71"/>
  <c r="D28" i="71"/>
  <c r="U28" i="71" s="1"/>
  <c r="C27" i="71"/>
  <c r="F66" i="71"/>
  <c r="Q67" i="71"/>
  <c r="V24" i="71"/>
  <c r="E23" i="71"/>
  <c r="E22" i="71" s="1"/>
  <c r="E21" i="71" s="1"/>
  <c r="E20" i="71" s="1"/>
  <c r="BA91" i="3"/>
  <c r="AZ91" i="3" s="1"/>
  <c r="G96" i="3"/>
  <c r="BL97" i="3"/>
  <c r="AZ97" i="3" s="1"/>
  <c r="BL101" i="3"/>
  <c r="BL102" i="3"/>
  <c r="G104" i="3"/>
  <c r="G105" i="3"/>
  <c r="BL106" i="3"/>
  <c r="BA108" i="3"/>
  <c r="AZ108" i="3" s="1"/>
  <c r="BA110" i="3"/>
  <c r="AZ110" i="3" s="1"/>
  <c r="F3" i="35"/>
  <c r="S21" i="33"/>
  <c r="S21" i="37"/>
  <c r="AZ103"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A3" i="71"/>
  <c r="D76" i="71"/>
  <c r="T68" i="71"/>
  <c r="X34" i="71"/>
  <c r="X31" i="71"/>
  <c r="F35" i="71"/>
  <c r="F36" i="71" s="1"/>
  <c r="V36" i="71" s="1"/>
  <c r="AA34" i="71"/>
  <c r="AB35" i="71"/>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F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C19" i="80"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51" i="15"/>
  <c r="F66" i="67"/>
  <c r="L59" i="15"/>
  <c r="N59" i="15"/>
  <c r="M59" i="15"/>
  <c r="Q71" i="67"/>
  <c r="F64" i="15"/>
  <c r="C27" i="67"/>
  <c r="F71" i="67"/>
  <c r="C27" i="15"/>
  <c r="F65" i="15"/>
  <c r="N59" i="67"/>
  <c r="L59" i="67"/>
  <c r="M59" i="67"/>
  <c r="B13" i="70"/>
  <c r="M7" i="67"/>
  <c r="F50" i="67"/>
  <c r="F68" i="67"/>
  <c r="F68" i="15"/>
  <c r="D9" i="69"/>
  <c r="C36" i="69"/>
  <c r="C16" i="83"/>
  <c r="M8" i="15"/>
  <c r="C16" i="67"/>
  <c r="F38" i="15"/>
  <c r="D7" i="73"/>
  <c r="L48" i="15"/>
  <c r="C16" i="15"/>
  <c r="M6" i="15"/>
  <c r="C36" i="68"/>
  <c r="D9" i="68"/>
  <c r="D5" i="73"/>
  <c r="L48" i="67"/>
  <c r="D3" i="73"/>
  <c r="M9" i="67"/>
  <c r="F36" i="67"/>
  <c r="F43" i="15"/>
  <c r="F7" i="15"/>
  <c r="D4" i="73"/>
  <c r="F42" i="15"/>
  <c r="C76" i="15"/>
  <c r="N94" i="46" l="1"/>
  <c r="E26" i="43"/>
  <c r="O7" i="1"/>
  <c r="P7" i="1" s="1"/>
  <c r="J19" i="83"/>
  <c r="J18" i="83"/>
  <c r="C32" i="83"/>
  <c r="C33" i="83"/>
  <c r="E19" i="80"/>
  <c r="E18" i="80" s="1"/>
  <c r="C18" i="80"/>
  <c r="W15" i="34"/>
  <c r="AC43" i="34"/>
  <c r="AB17" i="34"/>
  <c r="AB43" i="34"/>
  <c r="U43" i="34"/>
  <c r="AA17" i="34"/>
  <c r="S17" i="34"/>
  <c r="S9" i="34"/>
  <c r="C24" i="43"/>
  <c r="G44" i="43"/>
  <c r="C44" i="43" s="1"/>
  <c r="F11" i="83"/>
  <c r="M11" i="83"/>
  <c r="J10" i="83" s="1"/>
  <c r="J5" i="83" s="1"/>
  <c r="J26" i="43"/>
  <c r="J53" i="67"/>
  <c r="F1" i="67" s="1"/>
  <c r="L58" i="67"/>
  <c r="Q60" i="67" s="1"/>
  <c r="J57" i="67"/>
  <c r="J55" i="67" s="1"/>
  <c r="J58" i="67" s="1"/>
  <c r="Q50" i="67" s="1"/>
  <c r="L56" i="67"/>
  <c r="I54" i="67"/>
  <c r="G8" i="1"/>
  <c r="Q16" i="1"/>
  <c r="F27" i="69" s="1"/>
  <c r="F45" i="69" s="1"/>
  <c r="E28" i="6"/>
  <c r="K14" i="1" s="1"/>
  <c r="K16" i="1" s="1"/>
  <c r="B29" i="1" s="1"/>
  <c r="F30" i="6"/>
  <c r="E59" i="40"/>
  <c r="P6" i="1"/>
  <c r="C13" i="12" s="1"/>
  <c r="H26" i="43"/>
  <c r="H16" i="1"/>
  <c r="G26" i="43"/>
  <c r="N370" i="46"/>
  <c r="J7" i="36"/>
  <c r="F64" i="67"/>
  <c r="M7" i="15"/>
  <c r="J6" i="15" s="1"/>
  <c r="J18" i="15" s="1"/>
  <c r="C6" i="15"/>
  <c r="C32" i="15" s="1"/>
  <c r="F31" i="15"/>
  <c r="F50" i="15"/>
  <c r="C49" i="15" s="1"/>
  <c r="F66" i="15"/>
  <c r="J53" i="15"/>
  <c r="L56" i="15" s="1"/>
  <c r="J57" i="15"/>
  <c r="J55" i="15" s="1"/>
  <c r="J58" i="15" s="1"/>
  <c r="Q50" i="15" s="1"/>
  <c r="I54" i="15"/>
  <c r="L58" i="15"/>
  <c r="Q60" i="15" s="1"/>
  <c r="Q71" i="15"/>
  <c r="F71" i="15"/>
  <c r="J6" i="67"/>
  <c r="J18" i="67" s="1"/>
  <c r="C70" i="71"/>
  <c r="D70" i="71" s="1"/>
  <c r="D71" i="71"/>
  <c r="C52" i="71"/>
  <c r="D51" i="71"/>
  <c r="AZ41" i="3"/>
  <c r="AZ31" i="3"/>
  <c r="C56" i="71"/>
  <c r="D55" i="71"/>
  <c r="AZ282" i="3"/>
  <c r="AZ241" i="3"/>
  <c r="AZ459" i="3"/>
  <c r="AZ415" i="3"/>
  <c r="AZ398" i="3"/>
  <c r="AZ428" i="3"/>
  <c r="AZ411" i="3"/>
  <c r="AA38" i="40"/>
  <c r="S38" i="40"/>
  <c r="U46" i="21"/>
  <c r="AB46" i="21"/>
  <c r="U44" i="39"/>
  <c r="AB44" i="39"/>
  <c r="W27" i="21"/>
  <c r="AC27" i="21"/>
  <c r="W11" i="35"/>
  <c r="AC11" i="35"/>
  <c r="AA25" i="37"/>
  <c r="S25" i="37"/>
  <c r="AA24" i="35"/>
  <c r="S24" i="35"/>
  <c r="U29" i="21"/>
  <c r="AB29" i="21"/>
  <c r="C40" i="71"/>
  <c r="D39" i="71"/>
  <c r="D75" i="71"/>
  <c r="C74" i="71"/>
  <c r="D74" i="71" s="1"/>
  <c r="AZ58" i="3"/>
  <c r="AZ69" i="3"/>
  <c r="AZ53" i="3"/>
  <c r="O65" i="71"/>
  <c r="D66" i="71"/>
  <c r="O66" i="71"/>
  <c r="C36" i="71"/>
  <c r="D35" i="71"/>
  <c r="AZ297" i="3"/>
  <c r="AZ273" i="3"/>
  <c r="AZ457" i="3"/>
  <c r="AZ414" i="3"/>
  <c r="AZ453" i="3"/>
  <c r="AZ432" i="3"/>
  <c r="AZ417" i="3"/>
  <c r="U39" i="40"/>
  <c r="AB39" i="40"/>
  <c r="AZ550" i="3"/>
  <c r="AC28" i="33"/>
  <c r="W28" i="33"/>
  <c r="AB38" i="37"/>
  <c r="U38" i="37"/>
  <c r="U12" i="34"/>
  <c r="AB12" i="34"/>
  <c r="U25" i="37"/>
  <c r="AB25" i="37"/>
  <c r="AC24" i="35"/>
  <c r="W24" i="35"/>
  <c r="AC29" i="21"/>
  <c r="W29" i="21"/>
  <c r="AB33" i="36"/>
  <c r="U33" i="36"/>
  <c r="AC44" i="21"/>
  <c r="W44" i="21"/>
  <c r="AZ586" i="3"/>
  <c r="G5" i="3"/>
  <c r="B3" i="3" s="1"/>
  <c r="E236" i="3" s="1"/>
  <c r="D79" i="71"/>
  <c r="C78" i="71"/>
  <c r="D78" i="71" s="1"/>
  <c r="C26" i="71"/>
  <c r="D26" i="71" s="1"/>
  <c r="D27" i="71"/>
  <c r="T32" i="71"/>
  <c r="D32" i="71"/>
  <c r="AZ59" i="3"/>
  <c r="AZ27" i="3"/>
  <c r="AZ86" i="3"/>
  <c r="AZ294" i="3"/>
  <c r="AZ471" i="3"/>
  <c r="AZ408" i="3"/>
  <c r="AA44" i="39"/>
  <c r="S44" i="39"/>
  <c r="S38" i="37"/>
  <c r="AA38" i="37"/>
  <c r="AB30" i="34"/>
  <c r="U30" i="34"/>
  <c r="W12" i="34"/>
  <c r="AC12" i="34"/>
  <c r="W13" i="33"/>
  <c r="AC13" i="33"/>
  <c r="AC13" i="21"/>
  <c r="W13" i="21"/>
  <c r="U9" i="34"/>
  <c r="AB9" i="34"/>
  <c r="AA44" i="21"/>
  <c r="S44" i="21"/>
  <c r="D83" i="71"/>
  <c r="C82" i="71"/>
  <c r="D82" i="71" s="1"/>
  <c r="AZ150" i="3"/>
  <c r="AZ45" i="3"/>
  <c r="AZ429" i="3"/>
  <c r="AB38" i="40"/>
  <c r="U38" i="40"/>
  <c r="AC23" i="36"/>
  <c r="W23" i="36"/>
  <c r="AC44" i="39"/>
  <c r="W44" i="39"/>
  <c r="AB27" i="21"/>
  <c r="U27" i="21"/>
  <c r="AC25" i="37"/>
  <c r="W25" i="37"/>
  <c r="U13" i="21"/>
  <c r="AB13" i="21"/>
  <c r="S14" i="37"/>
  <c r="AA14" i="37"/>
  <c r="S33" i="36"/>
  <c r="AA33" i="36"/>
  <c r="AC9" i="34"/>
  <c r="W9" i="34"/>
  <c r="G16" i="1"/>
  <c r="F10" i="39" s="1"/>
  <c r="S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M11" i="67"/>
  <c r="J10" i="67" s="1"/>
  <c r="F11" i="15"/>
  <c r="M11" i="15"/>
  <c r="J10" i="15" s="1"/>
  <c r="F11" i="67"/>
  <c r="Q61" i="67"/>
  <c r="Q74" i="67"/>
  <c r="Q74" i="15"/>
  <c r="Q61" i="15"/>
  <c r="AE11" i="1"/>
  <c r="AE9" i="1"/>
  <c r="AE8" i="1"/>
  <c r="AE12" i="1"/>
  <c r="AE10" i="1"/>
  <c r="G1" i="73"/>
  <c r="F27" i="68"/>
  <c r="F41" i="67"/>
  <c r="AE7" i="1"/>
  <c r="F41" i="83" s="1"/>
  <c r="T49" i="34" l="1"/>
  <c r="G49" i="34" s="1"/>
  <c r="J10" i="40"/>
  <c r="AC10" i="40" s="1"/>
  <c r="E139" i="3"/>
  <c r="E369" i="3"/>
  <c r="E487" i="3"/>
  <c r="E246" i="3"/>
  <c r="E335" i="3"/>
  <c r="E28" i="3"/>
  <c r="E315" i="3"/>
  <c r="E134" i="3"/>
  <c r="E555" i="3"/>
  <c r="E279" i="3"/>
  <c r="E212" i="3"/>
  <c r="E554" i="3"/>
  <c r="E233" i="3"/>
  <c r="E75" i="3"/>
  <c r="E140" i="3"/>
  <c r="E104" i="3"/>
  <c r="E326" i="3"/>
  <c r="E498" i="3"/>
  <c r="E276" i="3"/>
  <c r="E15" i="3"/>
  <c r="E299" i="3"/>
  <c r="E112" i="3"/>
  <c r="E50" i="3"/>
  <c r="E101" i="3"/>
  <c r="E460" i="3"/>
  <c r="E521" i="3"/>
  <c r="E222" i="3"/>
  <c r="E500" i="3"/>
  <c r="E138" i="3"/>
  <c r="E323" i="3"/>
  <c r="E297" i="3"/>
  <c r="E341" i="3"/>
  <c r="E462" i="3"/>
  <c r="AD6" i="3"/>
  <c r="E154" i="3"/>
  <c r="E307" i="3"/>
  <c r="E136" i="3"/>
  <c r="E313" i="3"/>
  <c r="W6" i="3"/>
  <c r="E168" i="3"/>
  <c r="E93" i="3"/>
  <c r="U6" i="3"/>
  <c r="E547" i="3"/>
  <c r="E126" i="3"/>
  <c r="E53"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95" i="3"/>
  <c r="E281" i="3"/>
  <c r="E287" i="3"/>
  <c r="E225" i="3"/>
  <c r="E493" i="3"/>
  <c r="E202" i="3"/>
  <c r="E38" i="3"/>
  <c r="E392" i="3"/>
  <c r="E364" i="3"/>
  <c r="E141" i="3"/>
  <c r="E348" i="3"/>
  <c r="E250" i="3"/>
  <c r="E520" i="3"/>
  <c r="E48" i="3"/>
  <c r="E436" i="3"/>
  <c r="E542" i="3"/>
  <c r="E66" i="3"/>
  <c r="E87" i="3"/>
  <c r="E127" i="3"/>
  <c r="E157" i="3"/>
  <c r="E438" i="3"/>
  <c r="E208" i="3"/>
  <c r="E207" i="3"/>
  <c r="E367" i="3"/>
  <c r="E291" i="3"/>
  <c r="E501" i="3"/>
  <c r="E359" i="3"/>
  <c r="E506" i="3"/>
  <c r="E169" i="3"/>
  <c r="E17" i="3"/>
  <c r="E402" i="3"/>
  <c r="E156" i="3"/>
  <c r="E120" i="3"/>
  <c r="E424" i="3"/>
  <c r="E55" i="3"/>
  <c r="E394" i="3"/>
  <c r="E164" i="3"/>
  <c r="E443" i="3"/>
  <c r="E88" i="3"/>
  <c r="E30" i="3"/>
  <c r="E282" i="3"/>
  <c r="E396" i="3"/>
  <c r="V6" i="3"/>
  <c r="E130" i="3"/>
  <c r="E550" i="3"/>
  <c r="E578" i="3"/>
  <c r="E253" i="3"/>
  <c r="E99" i="3"/>
  <c r="E527" i="3"/>
  <c r="E433" i="3"/>
  <c r="E351" i="3"/>
  <c r="E271" i="3"/>
  <c r="E414" i="3"/>
  <c r="E447" i="3"/>
  <c r="E384" i="3"/>
  <c r="E343" i="3"/>
  <c r="E410" i="3"/>
  <c r="E561" i="3"/>
  <c r="E216" i="3"/>
  <c r="E361" i="3"/>
  <c r="E350" i="3"/>
  <c r="E347" i="3"/>
  <c r="AK6" i="3"/>
  <c r="E472" i="3"/>
  <c r="E577" i="3"/>
  <c r="E146" i="3"/>
  <c r="E362" i="3"/>
  <c r="E89" i="3"/>
  <c r="AO6" i="3"/>
  <c r="E557" i="3"/>
  <c r="E70" i="3"/>
  <c r="E377" i="3"/>
  <c r="E526" i="3"/>
  <c r="E509" i="3"/>
  <c r="E201" i="3"/>
  <c r="M6" i="3"/>
  <c r="E215" i="3"/>
  <c r="E563" i="3"/>
  <c r="E161" i="3"/>
  <c r="E423" i="3"/>
  <c r="X6" i="3"/>
  <c r="E119" i="3"/>
  <c r="E242" i="3"/>
  <c r="E389" i="3"/>
  <c r="E332" i="3"/>
  <c r="E456" i="3"/>
  <c r="E324" i="3"/>
  <c r="E486" i="3"/>
  <c r="E333" i="3"/>
  <c r="E170" i="3"/>
  <c r="E52" i="3"/>
  <c r="E176" i="3"/>
  <c r="E552" i="3"/>
  <c r="E58" i="3"/>
  <c r="E244" i="3"/>
  <c r="E110" i="3"/>
  <c r="E284" i="3"/>
  <c r="E375" i="3"/>
  <c r="E374" i="3"/>
  <c r="E179" i="3"/>
  <c r="E413" i="3"/>
  <c r="E82" i="3"/>
  <c r="E224" i="3"/>
  <c r="E537" i="3"/>
  <c r="E357" i="3"/>
  <c r="E145" i="3"/>
  <c r="E403" i="3"/>
  <c r="E317" i="3"/>
  <c r="E426" i="3"/>
  <c r="E97" i="3"/>
  <c r="E418" i="3"/>
  <c r="E237" i="3"/>
  <c r="E221" i="3"/>
  <c r="AN6" i="3"/>
  <c r="E238" i="3"/>
  <c r="E330" i="3"/>
  <c r="E344" i="3"/>
  <c r="E73" i="3"/>
  <c r="E32" i="3"/>
  <c r="E576" i="3"/>
  <c r="E558" i="3"/>
  <c r="E166" i="3"/>
  <c r="E480" i="3"/>
  <c r="N6" i="3"/>
  <c r="E151" i="3"/>
  <c r="E407" i="3"/>
  <c r="E114" i="3"/>
  <c r="E290" i="3"/>
  <c r="E518" i="3"/>
  <c r="E453" i="3"/>
  <c r="E193" i="3"/>
  <c r="E457" i="3"/>
  <c r="E72" i="3"/>
  <c r="E31" i="3"/>
  <c r="E107" i="3"/>
  <c r="E477" i="3"/>
  <c r="E162" i="3"/>
  <c r="E44" i="3"/>
  <c r="E305" i="3"/>
  <c r="E143" i="3"/>
  <c r="E538" i="3"/>
  <c r="E185" i="3"/>
  <c r="E180" i="3"/>
  <c r="E586" i="3"/>
  <c r="E77" i="3"/>
  <c r="E277" i="3"/>
  <c r="E406" i="3"/>
  <c r="E468" i="3"/>
  <c r="E171" i="3"/>
  <c r="E74" i="3"/>
  <c r="E204" i="3"/>
  <c r="E485" i="3"/>
  <c r="E531" i="3"/>
  <c r="E182" i="3"/>
  <c r="E572" i="3"/>
  <c r="E268" i="3"/>
  <c r="E579" i="3"/>
  <c r="E311" i="3"/>
  <c r="AB6" i="3"/>
  <c r="E189" i="3"/>
  <c r="E172" i="3"/>
  <c r="E135" i="3"/>
  <c r="AI6" i="3"/>
  <c r="E100" i="3"/>
  <c r="E132" i="3"/>
  <c r="E483" i="3"/>
  <c r="E240" i="3"/>
  <c r="E142" i="3"/>
  <c r="E118" i="3"/>
  <c r="AY6" i="3"/>
  <c r="AY176" i="3" s="1"/>
  <c r="E296" i="3"/>
  <c r="E385" i="3"/>
  <c r="E445" i="3"/>
  <c r="E387" i="3"/>
  <c r="E431" i="3"/>
  <c r="E109" i="3"/>
  <c r="E489" i="3"/>
  <c r="E327" i="3"/>
  <c r="E214" i="3"/>
  <c r="E465" i="3"/>
  <c r="E181" i="3"/>
  <c r="E91" i="3"/>
  <c r="E439" i="3"/>
  <c r="E388" i="3"/>
  <c r="E186" i="3"/>
  <c r="E585" i="3"/>
  <c r="E150" i="3"/>
  <c r="E519" i="3"/>
  <c r="E293" i="3"/>
  <c r="E395" i="3"/>
  <c r="E358" i="3"/>
  <c r="E125" i="3"/>
  <c r="E444" i="3"/>
  <c r="I6" i="3"/>
  <c r="AE6" i="3"/>
  <c r="E128" i="3"/>
  <c r="E254" i="3"/>
  <c r="E338" i="3"/>
  <c r="O6" i="3"/>
  <c r="E71" i="3"/>
  <c r="E14" i="3"/>
  <c r="E529" i="3"/>
  <c r="E187" i="3"/>
  <c r="E39" i="3"/>
  <c r="E149" i="3"/>
  <c r="E312" i="3"/>
  <c r="E566" i="3"/>
  <c r="E123" i="3"/>
  <c r="E60" i="3"/>
  <c r="E342" i="3"/>
  <c r="E522" i="3"/>
  <c r="E539" i="3"/>
  <c r="E131" i="3"/>
  <c r="E148" i="3"/>
  <c r="E263" i="3"/>
  <c r="E278" i="3"/>
  <c r="E570" i="3"/>
  <c r="AJ6" i="3"/>
  <c r="E273" i="3"/>
  <c r="E345" i="3"/>
  <c r="E368" i="3"/>
  <c r="E106" i="3"/>
  <c r="K6" i="3"/>
  <c r="E399" i="3"/>
  <c r="E183" i="3"/>
  <c r="E533" i="3"/>
  <c r="E530" i="3"/>
  <c r="E476" i="3"/>
  <c r="E549" i="3"/>
  <c r="E450" i="3"/>
  <c r="E511" i="3"/>
  <c r="E245" i="3"/>
  <c r="E230" i="3"/>
  <c r="E569" i="3"/>
  <c r="E316" i="3"/>
  <c r="P6" i="3"/>
  <c r="E274" i="3"/>
  <c r="E437" i="3"/>
  <c r="AA6" i="3"/>
  <c r="E213" i="3"/>
  <c r="S6" i="3"/>
  <c r="E319" i="3"/>
  <c r="E548" i="3"/>
  <c r="E54" i="3"/>
  <c r="E352" i="3"/>
  <c r="E195" i="3"/>
  <c r="E584" i="3"/>
  <c r="E354" i="3"/>
  <c r="E24" i="3"/>
  <c r="E365" i="3"/>
  <c r="E339" i="3"/>
  <c r="E40" i="3"/>
  <c r="E452" i="3"/>
  <c r="E81" i="3"/>
  <c r="E275" i="3"/>
  <c r="E535" i="3"/>
  <c r="E247" i="3"/>
  <c r="E217" i="3"/>
  <c r="Z6" i="3"/>
  <c r="E587" i="3"/>
  <c r="E545" i="3"/>
  <c r="E231" i="3"/>
  <c r="E210" i="3"/>
  <c r="E478" i="3"/>
  <c r="E573" i="3"/>
  <c r="E583" i="3"/>
  <c r="E260" i="3"/>
  <c r="E559" i="3"/>
  <c r="E553" i="3"/>
  <c r="E404" i="3"/>
  <c r="E496" i="3"/>
  <c r="E262" i="3"/>
  <c r="E159" i="3"/>
  <c r="E298" i="3"/>
  <c r="E574" i="3"/>
  <c r="E92" i="3"/>
  <c r="E196" i="3"/>
  <c r="E474" i="3"/>
  <c r="E504" i="3"/>
  <c r="E163" i="3"/>
  <c r="E464" i="3"/>
  <c r="E416" i="3"/>
  <c r="E90" i="3"/>
  <c r="E340" i="3"/>
  <c r="E473" i="3"/>
  <c r="E223" i="3"/>
  <c r="E206" i="3"/>
  <c r="E536" i="3"/>
  <c r="E378" i="3"/>
  <c r="E248" i="3"/>
  <c r="E94" i="3"/>
  <c r="E219" i="3"/>
  <c r="E200" i="3"/>
  <c r="E191" i="3"/>
  <c r="E69" i="3"/>
  <c r="E514" i="3"/>
  <c r="E322" i="3"/>
  <c r="E211" i="3"/>
  <c r="E400" i="3"/>
  <c r="E227" i="3"/>
  <c r="E454" i="3"/>
  <c r="E133" i="3"/>
  <c r="E495" i="3"/>
  <c r="E528" i="3"/>
  <c r="E270" i="3"/>
  <c r="E441" i="3"/>
  <c r="AS6" i="3"/>
  <c r="E567" i="3"/>
  <c r="E562" i="3"/>
  <c r="E314" i="3"/>
  <c r="E61" i="3"/>
  <c r="E320" i="3"/>
  <c r="E516" i="3"/>
  <c r="E295" i="3"/>
  <c r="AG6" i="3"/>
  <c r="E256" i="3"/>
  <c r="Q6" i="3"/>
  <c r="E353" i="3"/>
  <c r="E565" i="3"/>
  <c r="E390" i="3"/>
  <c r="AM6" i="3"/>
  <c r="E411" i="3"/>
  <c r="E471" i="3"/>
  <c r="E461" i="3"/>
  <c r="E459" i="3"/>
  <c r="E266" i="3"/>
  <c r="E446" i="3"/>
  <c r="E386" i="3"/>
  <c r="E218" i="3"/>
  <c r="E137" i="3"/>
  <c r="E463" i="3"/>
  <c r="E469" i="3"/>
  <c r="E371" i="3"/>
  <c r="C21" i="80"/>
  <c r="C22" i="80"/>
  <c r="E22" i="80" s="1"/>
  <c r="C24" i="80"/>
  <c r="D26" i="43"/>
  <c r="C25" i="43" s="1"/>
  <c r="D18" i="80"/>
  <c r="Q52" i="67"/>
  <c r="F69" i="83"/>
  <c r="J24" i="83"/>
  <c r="C53" i="83"/>
  <c r="C48" i="83" s="1"/>
  <c r="C10" i="83"/>
  <c r="C5" i="83" s="1"/>
  <c r="Q73" i="67"/>
  <c r="C29" i="69"/>
  <c r="D27" i="69" s="1"/>
  <c r="C47" i="69"/>
  <c r="D45" i="69" s="1"/>
  <c r="H10" i="40"/>
  <c r="AB10" i="40" s="1"/>
  <c r="J10" i="39"/>
  <c r="W10" i="39" s="1"/>
  <c r="AA10" i="39"/>
  <c r="F10" i="40"/>
  <c r="S10" i="40" s="1"/>
  <c r="H10" i="39"/>
  <c r="U10" i="39" s="1"/>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524" i="3"/>
  <c r="E62" i="3"/>
  <c r="E147" i="3"/>
  <c r="AQ6" i="3"/>
  <c r="E234" i="3"/>
  <c r="E455" i="3"/>
  <c r="L6" i="3"/>
  <c r="E178" i="3"/>
  <c r="E440" i="3"/>
  <c r="E83" i="3"/>
  <c r="E78" i="3"/>
  <c r="E360" i="3"/>
  <c r="E205" i="3"/>
  <c r="E129" i="3"/>
  <c r="E264" i="3"/>
  <c r="E64" i="3"/>
  <c r="AP6" i="3"/>
  <c r="Q73" i="15"/>
  <c r="J5" i="15"/>
  <c r="J24" i="15" s="1"/>
  <c r="E43" i="3"/>
  <c r="E346" i="3"/>
  <c r="E108" i="3"/>
  <c r="E490" i="3"/>
  <c r="E393" i="3"/>
  <c r="E370" i="3"/>
  <c r="E243" i="3"/>
  <c r="E13" i="3"/>
  <c r="E534" i="3"/>
  <c r="E251" i="3"/>
  <c r="E96" i="3"/>
  <c r="E21" i="3"/>
  <c r="E310" i="3"/>
  <c r="E349" i="3"/>
  <c r="E442" i="3"/>
  <c r="E165" i="3"/>
  <c r="E265" i="3"/>
  <c r="E20" i="3"/>
  <c r="E289" i="3"/>
  <c r="E36" i="3"/>
  <c r="E325" i="3"/>
  <c r="E194" i="3"/>
  <c r="E79" i="3"/>
  <c r="E540" i="3"/>
  <c r="E372" i="3"/>
  <c r="E226" i="3"/>
  <c r="E25" i="3"/>
  <c r="J6" i="3"/>
  <c r="E427" i="3"/>
  <c r="E188" i="3"/>
  <c r="E232" i="3"/>
  <c r="E412" i="3"/>
  <c r="E26" i="3"/>
  <c r="E451" i="3"/>
  <c r="E525" i="3"/>
  <c r="E113" i="3"/>
  <c r="E383" i="3"/>
  <c r="E42" i="3"/>
  <c r="E513" i="3"/>
  <c r="E184" i="3"/>
  <c r="E467" i="3"/>
  <c r="E37" i="3"/>
  <c r="E502" i="3"/>
  <c r="E3" i="6"/>
  <c r="D37" i="11" s="1"/>
  <c r="E419" i="3"/>
  <c r="E376" i="3"/>
  <c r="E507" i="3"/>
  <c r="E564" i="3"/>
  <c r="E116" i="3"/>
  <c r="E329" i="3"/>
  <c r="E80" i="3"/>
  <c r="E35" i="3"/>
  <c r="E190" i="3"/>
  <c r="E356" i="3"/>
  <c r="E41" i="3"/>
  <c r="E470" i="3"/>
  <c r="E556" i="3"/>
  <c r="E512" i="3"/>
  <c r="T6" i="3"/>
  <c r="E197" i="3"/>
  <c r="E308" i="3"/>
  <c r="AF6" i="3"/>
  <c r="E86" i="3"/>
  <c r="E174" i="3"/>
  <c r="E482" i="3"/>
  <c r="E391" i="3"/>
  <c r="E494" i="3"/>
  <c r="E283" i="3"/>
  <c r="E68" i="3"/>
  <c r="E84" i="3"/>
  <c r="E160" i="3"/>
  <c r="E59" i="3"/>
  <c r="E258" i="3"/>
  <c r="E491" i="3"/>
  <c r="E430" i="3"/>
  <c r="E286" i="3"/>
  <c r="E401" i="3"/>
  <c r="AH6" i="3"/>
  <c r="E422" i="3"/>
  <c r="E543" i="3"/>
  <c r="E105" i="3"/>
  <c r="E16" i="3"/>
  <c r="E158" i="3"/>
  <c r="E49" i="3"/>
  <c r="E220" i="3"/>
  <c r="E428" i="3"/>
  <c r="E115" i="3"/>
  <c r="E420" i="3"/>
  <c r="E497" i="3"/>
  <c r="E408" i="3"/>
  <c r="E405" i="3"/>
  <c r="E173" i="3"/>
  <c r="E22" i="3"/>
  <c r="E102" i="3"/>
  <c r="E34" i="3"/>
  <c r="E235" i="3"/>
  <c r="E18" i="3"/>
  <c r="AL6" i="3"/>
  <c r="E198" i="3"/>
  <c r="E309" i="3"/>
  <c r="E63" i="3"/>
  <c r="E67" i="3"/>
  <c r="E267" i="3"/>
  <c r="E409" i="3"/>
  <c r="E241" i="3"/>
  <c r="E417" i="3"/>
  <c r="E449" i="3"/>
  <c r="E575" i="3"/>
  <c r="J5" i="67"/>
  <c r="J24" i="67" s="1"/>
  <c r="F1" i="15"/>
  <c r="Q52" i="15"/>
  <c r="D56" i="71"/>
  <c r="T56" i="71"/>
  <c r="T52" i="71"/>
  <c r="D52" i="71"/>
  <c r="R36" i="36"/>
  <c r="E381" i="3"/>
  <c r="E144" i="3"/>
  <c r="E23" i="3"/>
  <c r="E300" i="3"/>
  <c r="E103" i="3"/>
  <c r="E425" i="3"/>
  <c r="E76" i="3"/>
  <c r="E363" i="3"/>
  <c r="E192" i="3"/>
  <c r="E56" i="3"/>
  <c r="E435" i="3"/>
  <c r="I3" i="6"/>
  <c r="E541" i="3"/>
  <c r="R6" i="3"/>
  <c r="E199" i="3"/>
  <c r="E510" i="3"/>
  <c r="D36" i="71"/>
  <c r="T36" i="71"/>
  <c r="E355" i="3"/>
  <c r="E33" i="3"/>
  <c r="E492" i="3"/>
  <c r="E249" i="3"/>
  <c r="E46" i="3"/>
  <c r="E484" i="3"/>
  <c r="E544" i="3"/>
  <c r="E292" i="3"/>
  <c r="E152" i="3"/>
  <c r="E479" i="3"/>
  <c r="E517" i="3"/>
  <c r="E255" i="3"/>
  <c r="E466" i="3"/>
  <c r="E499" i="3"/>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188" i="3"/>
  <c r="AY366" i="3"/>
  <c r="AY335" i="3"/>
  <c r="AY252" i="3"/>
  <c r="AY209" i="3"/>
  <c r="AY245" i="3"/>
  <c r="AY260" i="3"/>
  <c r="AY513" i="3"/>
  <c r="AY549" i="3"/>
  <c r="AY60" i="3"/>
  <c r="AY44" i="3"/>
  <c r="AY299" i="3"/>
  <c r="AY283" i="3"/>
  <c r="AY357" i="3"/>
  <c r="AY360" i="3"/>
  <c r="AY114" i="3"/>
  <c r="AY295" i="3"/>
  <c r="AY491" i="3"/>
  <c r="AY475" i="3"/>
  <c r="AY561" i="3"/>
  <c r="AY534" i="3"/>
  <c r="AY237" i="3"/>
  <c r="AY387" i="3"/>
  <c r="AY535" i="3"/>
  <c r="AY562" i="3"/>
  <c r="AY117" i="3"/>
  <c r="AY302" i="3"/>
  <c r="AY130" i="3"/>
  <c r="AY279" i="3"/>
  <c r="AY516" i="3"/>
  <c r="BN6" i="3"/>
  <c r="AY132" i="3"/>
  <c r="AY31" i="3"/>
  <c r="AY326" i="3"/>
  <c r="AY478" i="3"/>
  <c r="AY162" i="3"/>
  <c r="AY173" i="3"/>
  <c r="AY72" i="3"/>
  <c r="AY29" i="3"/>
  <c r="AY406" i="3"/>
  <c r="AY419" i="3"/>
  <c r="AY494" i="3"/>
  <c r="AY514" i="3"/>
  <c r="AY48" i="3"/>
  <c r="AY37" i="3"/>
  <c r="AY287" i="3"/>
  <c r="AY282" i="3"/>
  <c r="AY364" i="3"/>
  <c r="AY345" i="3"/>
  <c r="AY471" i="3"/>
  <c r="AY484" i="3"/>
  <c r="AY439" i="3"/>
  <c r="AY423" i="3"/>
  <c r="AY524" i="3"/>
  <c r="AY502" i="3"/>
  <c r="AY578" i="3"/>
  <c r="BA6" i="3"/>
  <c r="AY192" i="3"/>
  <c r="AY187" i="3"/>
  <c r="AY249" i="3"/>
  <c r="AY264" i="3"/>
  <c r="AY346" i="3"/>
  <c r="AY314" i="3"/>
  <c r="AY558" i="3"/>
  <c r="AY517" i="3"/>
  <c r="AY55" i="3"/>
  <c r="AY70" i="3"/>
  <c r="AY128" i="3"/>
  <c r="AY119" i="3"/>
  <c r="AY391" i="3"/>
  <c r="AY367" i="3"/>
  <c r="AY448" i="3"/>
  <c r="AY416" i="3"/>
  <c r="AY586" i="3"/>
  <c r="AY498" i="3"/>
  <c r="AY218" i="3"/>
  <c r="AY385" i="3"/>
  <c r="AY450" i="3"/>
  <c r="AY418" i="3"/>
  <c r="AY530" i="3"/>
  <c r="AY548" i="3"/>
  <c r="AY120" i="3"/>
  <c r="AY296" i="3"/>
  <c r="AY482" i="3"/>
  <c r="AY440" i="3"/>
  <c r="AY528" i="3"/>
  <c r="AY576" i="3"/>
  <c r="AY22" i="3"/>
  <c r="AY195" i="3"/>
  <c r="AY288" i="3"/>
  <c r="AY272" i="3"/>
  <c r="AY339" i="3"/>
  <c r="AY322" i="3"/>
  <c r="AY413" i="3"/>
  <c r="AY15" i="3"/>
  <c r="AY64" i="3"/>
  <c r="AY21" i="3"/>
  <c r="AY113" i="3"/>
  <c r="AY267" i="3"/>
  <c r="AY361" i="3"/>
  <c r="AY337" i="3"/>
  <c r="AY479" i="3"/>
  <c r="AY476" i="3"/>
  <c r="AY402" i="3"/>
  <c r="AY415" i="3"/>
  <c r="AY522" i="3"/>
  <c r="AY515" i="3"/>
  <c r="BP6" i="3"/>
  <c r="AY493" i="3"/>
  <c r="AY19" i="3"/>
  <c r="AY172" i="3"/>
  <c r="AY265" i="3"/>
  <c r="AY248" i="3"/>
  <c r="AY315" i="3"/>
  <c r="AY485" i="3"/>
  <c r="AY500" i="3"/>
  <c r="AY547" i="3"/>
  <c r="AY71" i="3"/>
  <c r="AY54" i="3"/>
  <c r="AY143" i="3"/>
  <c r="AY293" i="3"/>
  <c r="AY386" i="3"/>
  <c r="AY351" i="3"/>
  <c r="AY443" i="3"/>
  <c r="AY400" i="3"/>
  <c r="BT6" i="3"/>
  <c r="D3" i="21"/>
  <c r="E6" i="6"/>
  <c r="M18" i="9"/>
  <c r="B118" i="9" s="1"/>
  <c r="B1" i="74" s="1"/>
  <c r="D3" i="34"/>
  <c r="C17" i="4"/>
  <c r="B4" i="52" s="1"/>
  <c r="B43" i="72" s="1"/>
  <c r="D3" i="33"/>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83"/>
  <c r="M27" i="67"/>
  <c r="AE6" i="1"/>
  <c r="AG6" i="1" l="1"/>
  <c r="AY566" i="3"/>
  <c r="AY477" i="3"/>
  <c r="AY240" i="3"/>
  <c r="AY164" i="3"/>
  <c r="AY107" i="3"/>
  <c r="AY408" i="3"/>
  <c r="AY359" i="3"/>
  <c r="AY301" i="3"/>
  <c r="AY62" i="3"/>
  <c r="AY545" i="3"/>
  <c r="AY538" i="3"/>
  <c r="AY434" i="3"/>
  <c r="AY320" i="3"/>
  <c r="AY396" i="3"/>
  <c r="AY153" i="3"/>
  <c r="AY567" i="3"/>
  <c r="AY432" i="3"/>
  <c r="AY375" i="3"/>
  <c r="AY136" i="3"/>
  <c r="AY39" i="3"/>
  <c r="AY13" i="3"/>
  <c r="AY347" i="3"/>
  <c r="AY30" i="3"/>
  <c r="AY564" i="3"/>
  <c r="AY304" i="3"/>
  <c r="AY122" i="3"/>
  <c r="BC6" i="3"/>
  <c r="AY306" i="3"/>
  <c r="AY256" i="3"/>
  <c r="AY179" i="3"/>
  <c r="AY587" i="3"/>
  <c r="AY424" i="3"/>
  <c r="AY376" i="3"/>
  <c r="AY127" i="3"/>
  <c r="AY78" i="3"/>
  <c r="BR6" i="3"/>
  <c r="AY499" i="3"/>
  <c r="AY442" i="3"/>
  <c r="AY328" i="3"/>
  <c r="AY223" i="3"/>
  <c r="AY169" i="3"/>
  <c r="AY96" i="3"/>
  <c r="AY552" i="3"/>
  <c r="AY341" i="3"/>
  <c r="AY227" i="3"/>
  <c r="AY100" i="3"/>
  <c r="AY497" i="3"/>
  <c r="AY577" i="3"/>
  <c r="AY467" i="3"/>
  <c r="BS6" i="3"/>
  <c r="AY36" i="3"/>
  <c r="AY244" i="3"/>
  <c r="AY501" i="3"/>
  <c r="AY398" i="3"/>
  <c r="AY353" i="3"/>
  <c r="AY56" i="3"/>
  <c r="AY230" i="3"/>
  <c r="AY154" i="3"/>
  <c r="AY97" i="3"/>
  <c r="AY310" i="3"/>
  <c r="AY441" i="3"/>
  <c r="AY289" i="3"/>
  <c r="AY2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521" i="3"/>
  <c r="AY307" i="3"/>
  <c r="AY257" i="3"/>
  <c r="AY200" i="3"/>
  <c r="AY568" i="3"/>
  <c r="AY451" i="3"/>
  <c r="AY394" i="3"/>
  <c r="AY151" i="3"/>
  <c r="AY79" i="3"/>
  <c r="AY551" i="3"/>
  <c r="AY505" i="3"/>
  <c r="AY445" i="3"/>
  <c r="AY305" i="3"/>
  <c r="AY250" i="3"/>
  <c r="AY174" i="3"/>
  <c r="AY583" i="3"/>
  <c r="AY474" i="3"/>
  <c r="AY208" i="3"/>
  <c r="AY175" i="3"/>
  <c r="AY102" i="3"/>
  <c r="AY421" i="3"/>
  <c r="AY383" i="3"/>
  <c r="AY47" i="3"/>
  <c r="AY17" i="3"/>
  <c r="AY336" i="3"/>
  <c r="AY142" i="3"/>
  <c r="BD6" i="3"/>
  <c r="AY338" i="3"/>
  <c r="AY241" i="3"/>
  <c r="AY184" i="3"/>
  <c r="BL6" i="3"/>
  <c r="AY456" i="3"/>
  <c r="AY378" i="3"/>
  <c r="AY135" i="3"/>
  <c r="AY63" i="3"/>
  <c r="AY542" i="3"/>
  <c r="AY506" i="3"/>
  <c r="AY458" i="3"/>
  <c r="AY344" i="3"/>
  <c r="AY234" i="3"/>
  <c r="AY158" i="3"/>
  <c r="AY101" i="3"/>
  <c r="AY520" i="3"/>
  <c r="AY370" i="3"/>
  <c r="AY238" i="3"/>
  <c r="AY105" i="3"/>
  <c r="AY412" i="3"/>
  <c r="AY496" i="3"/>
  <c r="AY308" i="3"/>
  <c r="AY365" i="3"/>
  <c r="AY68" i="3"/>
  <c r="AY269" i="3"/>
  <c r="AY16" i="3"/>
  <c r="AY414" i="3"/>
  <c r="AY377" i="3"/>
  <c r="AY41" i="3"/>
  <c r="AY246" i="3"/>
  <c r="AY170" i="3"/>
  <c r="AY553" i="3"/>
  <c r="AY342" i="3"/>
  <c r="AY428" i="3"/>
  <c r="AY139" i="3"/>
  <c r="AY168" i="3"/>
  <c r="AY207" i="3"/>
  <c r="H6" i="3"/>
  <c r="L18" i="9"/>
  <c r="E21" i="80"/>
  <c r="R7" i="80"/>
  <c r="R11" i="80" s="1"/>
  <c r="D14" i="12"/>
  <c r="D17" i="12" s="1"/>
  <c r="C17" i="12" s="1"/>
  <c r="D3" i="37"/>
  <c r="D19" i="11"/>
  <c r="C19" i="11" s="1"/>
  <c r="C20" i="11" s="1"/>
  <c r="C28" i="11" s="1"/>
  <c r="C27" i="11" s="1"/>
  <c r="R50" i="34"/>
  <c r="C49" i="34" s="1"/>
  <c r="I53" i="34"/>
  <c r="J53" i="34" s="1"/>
  <c r="AB10" i="39"/>
  <c r="L36" i="43"/>
  <c r="L37" i="43" s="1"/>
  <c r="O37" i="43" s="1"/>
  <c r="F24" i="83"/>
  <c r="C38" i="83"/>
  <c r="C66" i="83"/>
  <c r="C60" i="83"/>
  <c r="AA10" i="40"/>
  <c r="F25" i="12"/>
  <c r="C26" i="12" s="1"/>
  <c r="D25" i="12" s="1"/>
  <c r="AC6" i="3"/>
  <c r="D116" i="43"/>
  <c r="F22" i="68"/>
  <c r="F41" i="68" s="1"/>
  <c r="F22" i="11"/>
  <c r="C23" i="11" s="1"/>
  <c r="F24" i="67"/>
  <c r="C24" i="67" s="1"/>
  <c r="F24" i="15"/>
  <c r="C24"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C18" i="12" s="1"/>
  <c r="D22" i="6"/>
  <c r="D21" i="6"/>
  <c r="M19" i="9"/>
  <c r="C118" i="9" s="1"/>
  <c r="B2" i="74" s="1"/>
  <c r="D26" i="6"/>
  <c r="D6" i="6"/>
  <c r="D9" i="6"/>
  <c r="D29" i="6"/>
  <c r="H25"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M27" i="15"/>
  <c r="F41" i="15"/>
  <c r="D10" i="68"/>
  <c r="C14" i="67"/>
  <c r="C17" i="15"/>
  <c r="C17" i="67"/>
  <c r="C17" i="83"/>
  <c r="D28" i="6" l="1"/>
  <c r="D30" i="6" s="1"/>
  <c r="D5" i="6"/>
  <c r="H24" i="6"/>
  <c r="L19" i="9"/>
  <c r="D14" i="6"/>
  <c r="D20" i="6"/>
  <c r="D15" i="6"/>
  <c r="C50" i="34"/>
  <c r="D13" i="6"/>
  <c r="D23" i="6"/>
  <c r="H22" i="6"/>
  <c r="D10" i="6"/>
  <c r="D8" i="6"/>
  <c r="D24" i="6"/>
  <c r="H21" i="6"/>
  <c r="R21" i="6" s="1"/>
  <c r="R8" i="1" s="1"/>
  <c r="E6" i="3"/>
  <c r="E7" i="70"/>
  <c r="M19" i="82"/>
  <c r="C118" i="82" s="1"/>
  <c r="E24" i="80"/>
  <c r="D24" i="80" s="1"/>
  <c r="S20" i="6"/>
  <c r="L18" i="82"/>
  <c r="F69" i="15"/>
  <c r="E53" i="34"/>
  <c r="F53" i="34" s="1"/>
  <c r="E54" i="34"/>
  <c r="F54" i="34" s="1"/>
  <c r="M37" i="43"/>
  <c r="Q36" i="43"/>
  <c r="Q37" i="43"/>
  <c r="P36" i="43"/>
  <c r="O36" i="43"/>
  <c r="C26" i="11"/>
  <c r="D22" i="11" s="1"/>
  <c r="N37" i="43"/>
  <c r="P37" i="43"/>
  <c r="M36" i="43"/>
  <c r="N36" i="43"/>
  <c r="C24" i="83"/>
  <c r="C44" i="11"/>
  <c r="D41" i="11" s="1"/>
  <c r="C44" i="68"/>
  <c r="D41" i="68" s="1"/>
  <c r="C26" i="68"/>
  <c r="D22" i="68"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C14" i="83"/>
  <c r="E6" i="76"/>
  <c r="L19" i="82" l="1"/>
  <c r="C18" i="83"/>
  <c r="C15" i="83"/>
  <c r="G24" i="80"/>
  <c r="B3" i="43"/>
  <c r="C6" i="68"/>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3" l="1"/>
  <c r="C20" i="83" s="1"/>
  <c r="C7" i="68"/>
  <c r="C5" i="68" s="1"/>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6" i="83" l="1"/>
  <c r="C23" i="83"/>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83"/>
  <c r="M21" i="67"/>
  <c r="M21" i="15"/>
  <c r="F35" i="83"/>
  <c r="F35" i="15"/>
  <c r="F35" i="67"/>
  <c r="C29" i="83" l="1"/>
  <c r="C57" i="83" s="1"/>
  <c r="C64" i="83" s="1"/>
  <c r="C25" i="68"/>
  <c r="C22" i="68" s="1"/>
  <c r="C31" i="68" s="1"/>
  <c r="C34" i="83"/>
  <c r="C31" i="83" s="1"/>
  <c r="F63" i="83"/>
  <c r="C62" i="83" s="1"/>
  <c r="C59" i="83" s="1"/>
  <c r="J20" i="83"/>
  <c r="J17" i="83"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4" i="83" l="1"/>
  <c r="J13" i="83" s="1"/>
  <c r="J23" i="83" s="1"/>
  <c r="C13" i="83"/>
  <c r="C37" i="83" s="1"/>
  <c r="J59" i="83"/>
  <c r="J60" i="83" s="1"/>
  <c r="Q48" i="83" s="1"/>
  <c r="Q49" i="83"/>
  <c r="C36" i="83"/>
  <c r="C52" i="68"/>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82"/>
  <c r="D2" i="21"/>
  <c r="B3" i="68"/>
  <c r="C20" i="82"/>
  <c r="J22" i="83" l="1"/>
  <c r="J16" i="83" s="1"/>
  <c r="J25" i="83" s="1"/>
  <c r="J26" i="83" s="1"/>
  <c r="J29" i="83" s="1"/>
  <c r="C56" i="83"/>
  <c r="C65" i="83" s="1"/>
  <c r="C58" i="83" s="1"/>
  <c r="C67" i="83" s="1"/>
  <c r="C68" i="83" s="1"/>
  <c r="C71" i="83" s="1"/>
  <c r="C75" i="83"/>
  <c r="L46" i="83"/>
  <c r="Q70" i="83"/>
  <c r="C30" i="83"/>
  <c r="C39" i="83" s="1"/>
  <c r="C57" i="68"/>
  <c r="C21" i="82"/>
  <c r="C102" i="82"/>
  <c r="C103" i="82"/>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82"/>
  <c r="L51" i="83"/>
  <c r="D2" i="33"/>
  <c r="L51" i="67"/>
  <c r="C56" i="68" l="1"/>
  <c r="C80" i="83"/>
  <c r="C79" i="83" s="1"/>
  <c r="C40" i="83"/>
  <c r="B2" i="83" s="1"/>
  <c r="B3" i="83" s="1"/>
  <c r="Q67" i="83"/>
  <c r="Q69" i="83"/>
  <c r="Q68" i="83"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82"/>
  <c r="D19" i="82"/>
  <c r="D2" i="34"/>
  <c r="L51" i="15"/>
  <c r="D2" i="36"/>
  <c r="D2" i="37"/>
  <c r="D2" i="35"/>
  <c r="D20" i="82"/>
  <c r="C83" i="83" l="1"/>
  <c r="C82" i="83" s="1"/>
  <c r="Q47" i="83"/>
  <c r="Q53" i="83" s="1"/>
  <c r="G19" i="82"/>
  <c r="G21" i="82" s="1"/>
  <c r="D102" i="82"/>
  <c r="D21" i="82"/>
  <c r="D22" i="82"/>
  <c r="Q65" i="83"/>
  <c r="Q75" i="83" s="1"/>
  <c r="C43" i="83"/>
  <c r="Q56" i="83"/>
  <c r="Q62" i="83" s="1"/>
  <c r="C46" i="83"/>
  <c r="D103" i="82"/>
  <c r="G20" i="82"/>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10" i="1"/>
  <c r="AO9" i="1"/>
  <c r="AO11" i="1"/>
  <c r="AO7" i="1"/>
  <c r="AO12" i="1"/>
  <c r="C102" i="9" l="1"/>
  <c r="C21" i="9"/>
  <c r="B3" i="34"/>
  <c r="C32" i="82"/>
  <c r="C35" i="82" s="1"/>
  <c r="C34" i="82"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2" i="9"/>
  <c r="G19"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0" i="9" l="1"/>
  <c r="C32" i="9" s="1"/>
  <c r="D103" i="9"/>
  <c r="G21" i="9"/>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119" i="9" s="1"/>
  <c r="H5" i="52" s="1"/>
  <c r="D119" i="9" l="1"/>
  <c r="D5" i="52" s="1"/>
  <c r="B49" i="72" s="1"/>
  <c r="H4" i="52"/>
  <c r="G118" i="9"/>
  <c r="G4" i="52" s="1"/>
  <c r="B52" i="72" s="1"/>
  <c r="F4" i="52"/>
  <c r="B51" i="72" s="1"/>
  <c r="I118" i="9"/>
  <c r="C104" i="9"/>
  <c r="D14" i="74"/>
  <c r="G14" i="74" s="1"/>
  <c r="H101" i="9"/>
  <c r="C105" i="9" l="1"/>
  <c r="H102" i="9"/>
  <c r="D7" i="53" s="1"/>
  <c r="B21" i="72" s="1"/>
  <c r="E118" i="9"/>
  <c r="E4" i="52" s="1"/>
  <c r="B48" i="72" s="1"/>
  <c r="I4" i="52"/>
  <c r="D45" i="9"/>
  <c r="H107" i="9"/>
  <c r="D5" i="53"/>
  <c r="M48" i="9"/>
  <c r="F14" i="74"/>
  <c r="E14" i="74"/>
  <c r="H108" i="9" l="1"/>
  <c r="M49" i="9"/>
  <c r="D13" i="53"/>
  <c r="D122" i="9"/>
  <c r="B20" i="72"/>
  <c r="D6" i="53"/>
  <c r="B22" i="72" s="1"/>
  <c r="C72" i="9"/>
  <c r="D55" i="9"/>
  <c r="M53" i="9" s="1"/>
  <c r="C64" i="9"/>
  <c r="C63" i="9" s="1"/>
  <c r="C67" i="9" s="1"/>
  <c r="D52" i="9"/>
  <c r="C85" i="9"/>
  <c r="C93" i="9"/>
  <c r="C86" i="9" s="1"/>
  <c r="C78" i="9"/>
  <c r="C73" i="9" s="1"/>
  <c r="D53" i="9"/>
  <c r="D123" i="9" l="1"/>
  <c r="D9" i="52" s="1"/>
  <c r="D8" i="52"/>
  <c r="C95" i="9"/>
  <c r="C79" i="9"/>
  <c r="B30" i="72"/>
  <c r="D14" i="53"/>
  <c r="B32" i="72" s="1"/>
  <c r="L63" i="9"/>
  <c r="M63" i="9" s="1"/>
  <c r="L65" i="9"/>
  <c r="M65" i="9" s="1"/>
  <c r="L68" i="9"/>
  <c r="M68" i="9" s="1"/>
  <c r="L66" i="9"/>
  <c r="M66" i="9" s="1"/>
  <c r="L67" i="9"/>
  <c r="M67" i="9" s="1"/>
  <c r="L64" i="9"/>
  <c r="M64" i="9" s="1"/>
  <c r="D59" i="9"/>
  <c r="M55" i="9" s="1"/>
  <c r="C68" i="9"/>
  <c r="D54" i="9" s="1"/>
  <c r="D15" i="53"/>
  <c r="B31" i="72" s="1"/>
  <c r="M69" i="9" l="1"/>
  <c r="N69" i="9" s="1"/>
  <c r="C96" i="9"/>
  <c r="E96" i="9" s="1"/>
  <c r="E97" i="9" s="1"/>
  <c r="C80" i="9"/>
  <c r="E80" i="9" s="1"/>
  <c r="E81" i="9" s="1"/>
  <c r="C97" i="9" l="1"/>
  <c r="D58" i="9" s="1"/>
  <c r="D56" i="9" s="1"/>
  <c r="M54" i="9" s="1"/>
  <c r="N57" i="9" s="1"/>
  <c r="C81" i="9"/>
  <c r="P57" i="9" l="1"/>
  <c r="N58" i="9"/>
  <c r="N59" i="9"/>
  <c r="N61" i="9" l="1"/>
  <c r="N60" i="9"/>
  <c r="F118" i="82"/>
  <c r="F119" i="82" s="1"/>
  <c r="D118" i="82"/>
  <c r="D119" i="82" s="1"/>
  <c r="H118" i="82"/>
  <c r="H101" i="82" s="1"/>
  <c r="G118" i="82" l="1"/>
  <c r="H119" i="82"/>
  <c r="C104" i="82"/>
  <c r="M48" i="82"/>
  <c r="D45" i="82"/>
  <c r="H107" i="82"/>
  <c r="I118" i="82"/>
  <c r="D15" i="74"/>
  <c r="G15" i="74" s="1"/>
  <c r="B6" i="74" s="1"/>
  <c r="D6" i="74" l="1"/>
  <c r="C6" i="74"/>
  <c r="D122" i="82"/>
  <c r="D123" i="82" s="1"/>
  <c r="M49" i="82"/>
  <c r="D53" i="82"/>
  <c r="D52" i="82"/>
  <c r="C72" i="82"/>
  <c r="C85" i="82"/>
  <c r="D55" i="82"/>
  <c r="M53" i="82" s="1"/>
  <c r="C93" i="82"/>
  <c r="C86" i="82" s="1"/>
  <c r="C78" i="82"/>
  <c r="C73" i="82" s="1"/>
  <c r="C64" i="82"/>
  <c r="C63" i="82" s="1"/>
  <c r="C67" i="82" s="1"/>
  <c r="H102" i="82"/>
  <c r="H108" i="82" s="1"/>
  <c r="C105" i="82"/>
  <c r="E118" i="82"/>
  <c r="F15" i="74"/>
  <c r="B5" i="74"/>
  <c r="E15" i="74"/>
  <c r="C5" i="74" l="1"/>
  <c r="D5" i="74"/>
  <c r="D59" i="82"/>
  <c r="M55" i="82" s="1"/>
  <c r="C68" i="82"/>
  <c r="D54" i="82" s="1"/>
  <c r="C95" i="82"/>
  <c r="C79" i="82"/>
  <c r="L65" i="82"/>
  <c r="M65" i="82" s="1"/>
  <c r="L64" i="82"/>
  <c r="M64" i="82" s="1"/>
  <c r="L66" i="82"/>
  <c r="M66" i="82" s="1"/>
  <c r="L67" i="82"/>
  <c r="M67" i="82" s="1"/>
  <c r="L63" i="82"/>
  <c r="M63" i="82" s="1"/>
  <c r="L68" i="82"/>
  <c r="M68" i="82" s="1"/>
  <c r="C80" i="82" l="1"/>
  <c r="E80" i="82" s="1"/>
  <c r="E81" i="82" s="1"/>
  <c r="M69" i="82"/>
  <c r="N69" i="82" s="1"/>
  <c r="C96" i="82"/>
  <c r="E96" i="82" s="1"/>
  <c r="E97" i="82" s="1"/>
  <c r="C97" i="82" l="1"/>
  <c r="D58" i="82" s="1"/>
  <c r="D56" i="82" s="1"/>
  <c r="M54" i="82" s="1"/>
  <c r="N57" i="82" s="1"/>
  <c r="C81" i="82"/>
  <c r="P57" i="82" l="1"/>
  <c r="N58" i="82"/>
  <c r="N59" i="82"/>
  <c r="N60" i="82" l="1"/>
  <c r="N61" i="82"/>
  <c r="K10" i="81"/>
  <c r="K11" i="81" s="1"/>
  <c r="L26" i="81" l="1"/>
  <c r="M26" i="8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tc={9414D4FA-A42D-4EDC-BF8E-9F283FAC7039}</author>
  </authors>
  <commentList>
    <comment ref="J4" authorId="0" shapeId="0" xr:uid="{B629B6BE-1A22-45A1-A814-8D309E2E6335}">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A025801-D0B1-4AA6-9847-1AB9486E001A}">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B090D80-127D-431A-907B-0ACA215810E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F86C323-5367-4AFF-96D0-205CDE9DBBF9}">
      <text>
        <r>
          <rPr>
            <sz val="11"/>
            <color indexed="81"/>
            <rFont val="宋体"/>
            <family val="3"/>
            <charset val="134"/>
          </rPr>
          <t>需在下方列示计算过程</t>
        </r>
        <r>
          <rPr>
            <sz val="9"/>
            <color indexed="81"/>
            <rFont val="宋体"/>
            <family val="3"/>
            <charset val="134"/>
          </rPr>
          <t xml:space="preserve">
</t>
        </r>
      </text>
    </comment>
    <comment ref="H75" authorId="2" shapeId="0" xr:uid="{A0B94422-B9D4-4EDB-90D3-4AD5B2AAA216}">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3FD0495-B717-4397-A598-54C25C05FF5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5F7EF89-24BC-4DF5-AD51-AAA00C8C0F2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FFE0F006-4D3A-485F-9125-CBD1E8E140B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AF1BDE0-AB6C-43EA-BCA2-0DFB8C5463F8}">
      <text>
        <r>
          <rPr>
            <sz val="11"/>
            <color indexed="81"/>
            <rFont val="宋体"/>
            <family val="3"/>
            <charset val="134"/>
          </rPr>
          <t>在建项目均选择“是”</t>
        </r>
      </text>
    </comment>
    <comment ref="F59" authorId="1" shapeId="0" xr:uid="{B1604FDA-345A-490F-B283-19402E62EF5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5E3FACC4-1053-44D4-B97F-DC98AF63F2C3}">
      <text>
        <r>
          <rPr>
            <sz val="10"/>
            <color indexed="81"/>
            <rFont val="宋体"/>
            <family val="3"/>
            <charset val="134"/>
          </rPr>
          <t xml:space="preserve">在建
</t>
        </r>
      </text>
    </comment>
    <comment ref="N59" authorId="0" shapeId="0" xr:uid="{F907710E-AF38-4F26-BCBB-91142CDAEE3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<sst xmlns="http://schemas.openxmlformats.org/spreadsheetml/2006/main" count="9015" uniqueCount="3701">
  <si>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</si>
  <si>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</si>
  <si>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</si>
  <si>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</si>
  <si>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</si>
  <si>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</si>
  <si>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</si>
  <si>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</si>
  <si>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</si>
  <si>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</si>
  <si>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</si>
  <si>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</si>
  <si>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</si>
  <si>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</si>
  <si>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</si>
  <si>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</si>
  <si>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</si>
  <si>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</si>
  <si>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</si>
  <si>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</si>
  <si>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</si>
  <si>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</si>
  <si>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</si>
  <si>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</si>
  <si>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</si>
  <si>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</si>
  <si>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</si>
  <si>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</si>
  <si>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</si>
  <si>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</si>
  <si>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</si>
  <si>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</si>
  <si>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</si>
  <si>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</si>
  <si>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</si>
  <si>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</si>
  <si>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</si>
  <si>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</si>
  <si>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</si>
  <si>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</si>
  <si>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</si>
  <si>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</si>
  <si>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</si>
  <si>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</si>
  <si>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</si>
  <si>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</si>
  <si>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</si>
  <si>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</si>
  <si>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</si>
  <si>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</si>
  <si>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</si>
  <si>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</si>
  <si>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</si>
  <si>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</si>
  <si>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</si>
  <si>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</si>
  <si>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</si>
  <si>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</si>
  <si>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</si>
  <si>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</si>
  <si>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</si>
  <si>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</si>
  <si>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</si>
  <si>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</si>
  <si>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</si>
  <si>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</si>
  <si>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</si>
  <si>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</si>
  <si>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</si>
  <si>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</si>
  <si>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</si>
  <si>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</si>
  <si>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</si>
  <si>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</si>
  <si>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</si>
  <si>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</si>
  <si>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</si>
  <si>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</si>
  <si>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</si>
  <si>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</si>
  <si>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</si>
  <si>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</si>
  <si>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</si>
  <si>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</si>
  <si>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</si>
  <si>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</si>
  <si>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</si>
  <si>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</si>
  <si>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</si>
  <si>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</si>
  <si>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</si>
  <si>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</si>
  <si>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</si>
  <si>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</si>
  <si>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</si>
  <si>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</si>
  <si>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</si>
  <si>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</si>
  <si>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</si>
  <si>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</si>
  <si>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</si>
  <si>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</si>
  <si>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</si>
  <si>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</si>
  <si>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</si>
  <si>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</si>
  <si>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</si>
  <si>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</si>
  <si>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</si>
  <si>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</si>
  <si>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</si>
  <si>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</si>
  <si>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</si>
  <si>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</si>
  <si>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</si>
  <si>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</si>
  <si>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</si>
  <si>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</si>
  <si>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</si>
  <si>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</si>
  <si>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</si>
  <si>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</si>
  <si>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</si>
  <si>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</si>
  <si>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</si>
  <si>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</si>
  <si>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</si>
  <si>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</si>
  <si>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</si>
  <si>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</si>
  <si>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</si>
  <si>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</si>
  <si>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</si>
  <si>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</si>
  <si>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</si>
  <si>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</si>
  <si>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</si>
  <si>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</si>
  <si>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</si>
  <si>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</si>
  <si>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</si>
  <si>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</si>
  <si>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</si>
  <si>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</si>
  <si>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</si>
  <si>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</si>
  <si>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</si>
  <si>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</si>
  <si>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</si>
  <si>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</si>
  <si>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</si>
  <si>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</si>
  <si>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</si>
  <si>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</si>
  <si>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</si>
  <si>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</si>
  <si>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</si>
  <si>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</si>
  <si>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</si>
  <si>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</si>
  <si>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</si>
  <si>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</si>
  <si>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</si>
  <si>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</si>
  <si>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</si>
  <si>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</si>
  <si>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</si>
  <si>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</si>
  <si>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</si>
  <si>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</si>
  <si>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</si>
  <si>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</si>
  <si>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</si>
  <si>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</si>
  <si>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</si>
  <si>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</si>
  <si>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</si>
  <si>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</si>
  <si>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</si>
  <si>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</si>
  <si>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</si>
  <si>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</si>
  <si>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</si>
  <si>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</si>
  <si>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</si>
  <si>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</si>
  <si>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</si>
  <si>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</si>
  <si>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</si>
  <si>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</si>
  <si>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</si>
  <si>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</si>
  <si>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</si>
  <si>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</si>
  <si>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</si>
  <si>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</si>
  <si>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</si>
  <si>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</si>
  <si>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</si>
  <si>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</si>
  <si>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</si>
  <si>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</si>
  <si>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</si>
  <si>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</si>
  <si>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</si>
  <si>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</si>
  <si>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</si>
  <si>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</si>
  <si>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</si>
  <si>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</si>
  <si>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</si>
  <si>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</si>
  <si>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</si>
  <si>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</si>
  <si>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</si>
  <si>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</si>
  <si>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</si>
  <si>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</si>
  <si>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</si>
  <si>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</si>
  <si>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</si>
  <si>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</si>
  <si>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</si>
  <si>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</si>
  <si>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</si>
  <si>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</si>
  <si>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</si>
  <si>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</si>
  <si>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</si>
  <si>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</si>
  <si>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</si>
  <si>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</si>
  <si>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</si>
  <si>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</si>
  <si>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</si>
  <si>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</si>
  <si>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</si>
  <si>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</si>
  <si>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</si>
  <si>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</si>
  <si>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</si>
  <si>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</si>
  <si>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</si>
  <si>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</si>
  <si>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</si>
  <si>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</si>
  <si>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</si>
  <si>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</si>
  <si>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</si>
  <si>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</si>
  <si>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</si>
  <si>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</si>
  <si>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</si>
  <si>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</si>
  <si>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</si>
  <si>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</si>
  <si>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</si>
  <si>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</si>
  <si>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</si>
  <si>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</si>
  <si>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</si>
  <si>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</si>
  <si>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</si>
  <si>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</si>
  <si>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</si>
  <si>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</si>
  <si>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</si>
  <si>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</si>
  <si>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</si>
  <si>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</si>
  <si>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</si>
  <si>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</si>
  <si>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</si>
  <si>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</si>
  <si>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</si>
  <si>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</si>
  <si>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</si>
  <si>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</si>
  <si>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</si>
  <si>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</si>
  <si>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</si>
  <si>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</si>
  <si>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</si>
  <si>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</si>
  <si>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</si>
  <si>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</si>
  <si>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</si>
  <si>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</si>
  <si>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</si>
  <si>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</si>
  <si>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</si>
  <si>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</si>
  <si>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</si>
  <si>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</si>
  <si>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</si>
  <si>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</si>
  <si>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</si>
  <si>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</si>
  <si>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</si>
  <si>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</si>
  <si>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</si>
  <si>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</si>
  <si>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</si>
  <si>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</si>
  <si>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</si>
  <si>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</si>
  <si>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</si>
  <si>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</si>
  <si>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</si>
  <si>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</si>
  <si>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</si>
  <si>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</si>
  <si>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</si>
  <si>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</si>
  <si>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</si>
  <si>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</si>
  <si>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</si>
  <si>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</si>
  <si>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</si>
  <si>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</si>
  <si>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</si>
  <si>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</si>
  <si>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</si>
  <si>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</si>
  <si>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</si>
  <si>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</si>
  <si>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</si>
  <si>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</si>
  <si>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</si>
  <si>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</si>
  <si>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</si>
  <si>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</si>
  <si>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</si>
  <si>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</si>
  <si>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</si>
  <si>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</si>
  <si>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</si>
  <si>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</si>
  <si>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</si>
  <si>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</si>
  <si>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</si>
  <si>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</si>
  <si>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</si>
  <si>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</si>
  <si>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</si>
  <si>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</si>
  <si>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</si>
  <si>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</si>
  <si>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</si>
  <si>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</si>
  <si>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</si>
  <si>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</si>
  <si>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</si>
  <si>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</si>
  <si>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</si>
  <si>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</si>
  <si>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</si>
  <si>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</si>
  <si>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</si>
  <si>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</si>
  <si>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</si>
  <si>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</si>
  <si>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</si>
  <si>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</si>
  <si>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</si>
  <si>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</si>
  <si>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</si>
  <si>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</si>
  <si>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</si>
  <si>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</si>
  <si>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</si>
  <si>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</si>
  <si>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</si>
  <si>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</si>
  <si>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</si>
  <si>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</si>
  <si>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</si>
  <si>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</si>
  <si>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</si>
  <si>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</si>
  <si>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</si>
  <si>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</si>
  <si>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</si>
  <si>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</si>
  <si>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</si>
  <si>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</si>
  <si>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</si>
  <si>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</si>
  <si>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</si>
  <si>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</si>
  <si>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</si>
  <si>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</si>
  <si>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</si>
  <si>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</si>
  <si>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</si>
  <si>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</si>
  <si>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</si>
  <si>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</si>
  <si>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</si>
  <si>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</si>
  <si>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</si>
  <si>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</si>
  <si>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</si>
  <si>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</si>
  <si>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</si>
  <si>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</si>
  <si>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</si>
  <si>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</si>
  <si>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</si>
  <si>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</si>
  <si>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</si>
  <si>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</si>
  <si>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</si>
  <si>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</si>
  <si>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</si>
  <si>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</si>
  <si>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</si>
  <si>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</si>
  <si>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</si>
  <si>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</si>
  <si>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</si>
  <si>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</si>
  <si>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</si>
  <si>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</si>
  <si>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</si>
  <si>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</si>
  <si>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</si>
  <si>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</si>
  <si>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</si>
  <si>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</si>
  <si>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</si>
  <si>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</si>
  <si>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</si>
  <si>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</si>
  <si>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</si>
  <si>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</si>
  <si>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</si>
  <si>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</si>
  <si>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</si>
  <si>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</si>
  <si>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</si>
  <si>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</si>
  <si>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</si>
  <si>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</si>
  <si>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</si>
  <si>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</si>
  <si>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</si>
  <si>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</si>
  <si>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</si>
  <si>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</si>
  <si>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</si>
  <si>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</si>
  <si>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</si>
  <si>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</si>
  <si>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</si>
  <si>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</si>
  <si>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</si>
  <si>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</si>
  <si>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</si>
  <si>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</si>
  <si>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</si>
  <si>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</si>
  <si>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</si>
  <si>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</si>
  <si>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</si>
  <si>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</si>
  <si>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</si>
  <si>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</si>
  <si>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</si>
  <si>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</si>
  <si>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</si>
  <si>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</si>
  <si>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</si>
  <si>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</si>
  <si>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</si>
  <si>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</si>
  <si>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</si>
  <si>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</si>
  <si>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</si>
  <si>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</si>
  <si>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</si>
  <si>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</si>
  <si>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</si>
  <si>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</si>
  <si>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</si>
  <si>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</si>
  <si>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</si>
  <si>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</si>
  <si>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</si>
  <si>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</si>
  <si>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</si>
  <si>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</si>
  <si>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</si>
  <si>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</si>
  <si>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</si>
  <si>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</si>
  <si>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</si>
  <si>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</si>
  <si>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</si>
  <si>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</si>
  <si>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</si>
  <si>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</si>
  <si>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</si>
  <si>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</si>
  <si>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</si>
  <si>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</si>
  <si>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</si>
  <si>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</si>
  <si>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</si>
  <si>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</si>
  <si>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</si>
  <si>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</si>
  <si>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</si>
  <si>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</si>
  <si>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</si>
  <si>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</si>
  <si>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</si>
  <si>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</si>
  <si>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</si>
  <si>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</si>
  <si>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</si>
  <si>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</si>
  <si>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</si>
  <si>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</si>
  <si>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</si>
  <si>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</si>
  <si>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</si>
  <si>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</si>
  <si>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</si>
  <si>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</si>
  <si>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</si>
  <si>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</si>
  <si>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</si>
  <si>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</si>
  <si>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</si>
  <si>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</si>
  <si>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</si>
  <si>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</si>
  <si>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</si>
  <si>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</si>
  <si>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</si>
  <si>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</si>
  <si>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</si>
  <si>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</si>
  <si>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</si>
  <si>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</si>
  <si>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</si>
  <si>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</si>
  <si>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</si>
  <si>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</si>
  <si>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</si>
  <si>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</si>
  <si>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</si>
  <si>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</si>
  <si>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</si>
  <si>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</si>
  <si>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</si>
  <si>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</si>
  <si>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</si>
  <si>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</si>
  <si>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</si>
  <si>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</si>
  <si>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</si>
  <si>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</si>
  <si>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</si>
  <si>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</si>
  <si>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</si>
  <si>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</si>
  <si>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</si>
  <si>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</si>
  <si>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</si>
  <si>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</si>
  <si>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</si>
  <si>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</si>
  <si>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</si>
  <si>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</si>
  <si>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</si>
  <si>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</si>
  <si>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</si>
  <si>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</si>
  <si>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</si>
  <si>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</si>
  <si>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</si>
  <si>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</si>
  <si>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</si>
  <si>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</si>
  <si>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</si>
  <si>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</si>
  <si>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</si>
  <si>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</si>
  <si>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</si>
  <si>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</si>
  <si>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</si>
  <si>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</si>
  <si>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</si>
  <si>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</si>
  <si>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</si>
  <si>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</si>
  <si>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</si>
  <si>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</si>
  <si>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</si>
  <si>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</si>
  <si>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</si>
  <si>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</si>
  <si>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</si>
  <si>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</si>
  <si>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</si>
  <si>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</si>
  <si>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</si>
  <si>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</si>
  <si>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</si>
  <si>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</si>
  <si>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</si>
  <si>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</si>
  <si>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</si>
  <si>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</si>
  <si>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</si>
  <si>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</si>
  <si>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</si>
  <si>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</si>
  <si>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</si>
  <si>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</si>
  <si>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</si>
  <si>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</si>
  <si>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</si>
  <si>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</si>
  <si>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</si>
  <si>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</si>
  <si>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</si>
  <si>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</si>
  <si>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</si>
  <si>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</si>
  <si>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</si>
  <si>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</si>
  <si>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</si>
  <si>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</si>
  <si>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</si>
  <si>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</si>
  <si>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</si>
  <si>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</si>
  <si>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</si>
  <si>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</si>
  <si>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</si>
  <si>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</si>
  <si>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</si>
  <si>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</si>
  <si>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</si>
  <si>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</si>
  <si>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</si>
  <si>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</si>
  <si>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</si>
  <si>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</si>
  <si>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</si>
  <si>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</si>
  <si>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</si>
  <si>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</si>
  <si>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</si>
  <si>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</si>
  <si>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</si>
  <si>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</si>
  <si>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</si>
  <si>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</si>
  <si>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</si>
  <si>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</si>
  <si>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</si>
  <si>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</si>
  <si>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</si>
  <si>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</si>
  <si>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</si>
  <si>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</si>
  <si>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</si>
  <si>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</si>
  <si>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</si>
  <si>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</si>
  <si>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</si>
  <si>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</si>
  <si>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</si>
  <si>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</si>
  <si>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</si>
  <si>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</si>
  <si>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</si>
  <si>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</si>
  <si>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</si>
  <si>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</si>
  <si>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</si>
  <si>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</si>
  <si>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</si>
  <si>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</si>
  <si>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</si>
  <si>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</si>
  <si>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</si>
  <si>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</si>
  <si>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</si>
  <si>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</si>
  <si>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</si>
  <si>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</si>
  <si>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</si>
  <si>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</si>
  <si>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</si>
  <si>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</si>
  <si>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</si>
  <si>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</si>
  <si>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</si>
  <si>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</si>
  <si>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</si>
  <si>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</si>
  <si>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</si>
  <si>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</si>
  <si>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</si>
  <si>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</si>
  <si>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</si>
  <si>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</si>
  <si>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</si>
  <si>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</si>
  <si>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</si>
  <si>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</si>
  <si>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</si>
  <si>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</si>
  <si>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</si>
  <si>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</si>
  <si>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</si>
  <si>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</si>
  <si>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</si>
  <si>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</si>
  <si>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</si>
  <si>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</si>
  <si>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</si>
  <si>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</si>
  <si>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</si>
  <si>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</si>
  <si>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</si>
  <si>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</si>
  <si>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</si>
  <si>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</si>
  <si>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</si>
  <si>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</si>
  <si>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</si>
  <si>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</si>
  <si>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</si>
  <si>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</si>
  <si>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</si>
  <si>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</si>
  <si>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</si>
  <si>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</si>
  <si>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</si>
  <si>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</si>
  <si>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</si>
  <si>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</si>
  <si>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</si>
  <si>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</si>
  <si>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</si>
  <si>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</si>
  <si>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</si>
  <si>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</si>
  <si>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</si>
  <si>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</si>
  <si>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</si>
  <si>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</si>
  <si>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</si>
  <si>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</si>
  <si>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</si>
  <si>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</si>
  <si>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</si>
  <si>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</si>
  <si>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</si>
  <si>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</si>
  <si>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</si>
  <si>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</si>
  <si>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</si>
  <si>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</si>
  <si>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</si>
  <si>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</si>
  <si>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</si>
  <si>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</si>
  <si>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</si>
  <si>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</si>
  <si>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</si>
  <si>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</si>
  <si>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</si>
  <si>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</si>
  <si>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</si>
  <si>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</si>
  <si>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</si>
  <si>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</si>
  <si>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</si>
  <si>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</si>
  <si>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</si>
  <si>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</si>
  <si>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</si>
  <si>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</si>
  <si>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</si>
  <si>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</si>
  <si>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</si>
  <si>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</si>
  <si>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</si>
  <si>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</si>
  <si>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</si>
  <si>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</si>
  <si>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</si>
  <si>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</si>
  <si>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</si>
  <si>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</si>
  <si>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</si>
  <si>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</si>
  <si>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</si>
  <si>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</si>
  <si>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</si>
  <si>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</si>
  <si>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</si>
  <si>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</si>
  <si>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</si>
  <si>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</si>
  <si>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</si>
  <si>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</si>
  <si>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</si>
  <si>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</si>
  <si>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</si>
  <si>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</si>
  <si>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</si>
  <si>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</si>
  <si>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</si>
  <si>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</si>
  <si>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</si>
  <si>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</si>
  <si>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</si>
  <si>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</si>
  <si>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</si>
  <si>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</si>
  <si>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</si>
  <si>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</si>
  <si>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</si>
  <si>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</si>
  <si>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</si>
  <si>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</si>
  <si>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</si>
  <si>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</si>
  <si>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</si>
  <si>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</si>
  <si>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</si>
  <si>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</si>
  <si>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</si>
  <si>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</si>
  <si>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</si>
  <si>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</si>
  <si>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</si>
  <si>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</si>
  <si>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</si>
  <si>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</si>
  <si>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</si>
  <si>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</si>
  <si>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</si>
  <si>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</si>
  <si>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</si>
  <si>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</si>
  <si>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</si>
  <si>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</si>
  <si>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</si>
  <si>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</si>
  <si>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</si>
  <si>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</si>
  <si>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</si>
  <si>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</si>
  <si>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</si>
  <si>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</si>
  <si>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</si>
  <si>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</si>
  <si>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</si>
  <si>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</si>
  <si>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</si>
  <si>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</si>
  <si>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</si>
  <si>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</si>
  <si>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</si>
  <si>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</si>
  <si>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</si>
  <si>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</si>
  <si>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</si>
  <si>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</si>
  <si>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</si>
  <si>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</si>
  <si>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</si>
  <si>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</si>
  <si>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</si>
  <si>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</si>
  <si>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</si>
  <si>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</si>
  <si>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</si>
  <si>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</si>
  <si>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</si>
  <si>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</si>
  <si>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</si>
  <si>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</si>
  <si>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</si>
  <si>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</si>
  <si>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</si>
  <si>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</si>
  <si>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</si>
  <si>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</si>
  <si>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</si>
  <si>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</si>
  <si>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</si>
  <si>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</si>
  <si>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</si>
  <si>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</si>
  <si>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</si>
  <si>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</si>
  <si>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</si>
  <si>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</si>
  <si>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</si>
  <si>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</si>
  <si>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</si>
  <si>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</si>
  <si>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</si>
  <si>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</si>
  <si>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</si>
  <si>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</si>
  <si>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</si>
  <si>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</si>
  <si>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</si>
  <si>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</si>
  <si>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</si>
  <si>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</si>
  <si>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</si>
  <si>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</si>
  <si>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</si>
  <si>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</si>
  <si>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</si>
  <si>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</si>
  <si>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</si>
  <si>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</si>
  <si>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</si>
  <si>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</si>
  <si>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</si>
  <si>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</si>
  <si>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</si>
  <si>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</si>
  <si>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</si>
  <si>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</si>
  <si>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</si>
  <si>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</si>
  <si>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</si>
  <si>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</si>
  <si>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</si>
  <si>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</si>
  <si>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</si>
  <si>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</si>
  <si>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</si>
  <si>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</si>
  <si>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</si>
  <si>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</si>
  <si>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</si>
  <si>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</si>
  <si>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</si>
  <si>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</si>
  <si>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</si>
  <si>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</si>
  <si>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</si>
  <si>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</si>
  <si>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</si>
  <si>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</si>
  <si>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</si>
  <si>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</si>
  <si>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</si>
  <si>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</si>
  <si>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</si>
  <si>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</si>
  <si>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</si>
  <si>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</si>
  <si>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</si>
  <si>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</si>
  <si>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</si>
  <si>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</si>
  <si>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</si>
  <si>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</si>
  <si>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</si>
  <si>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</si>
  <si>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</si>
  <si>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</si>
  <si>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</si>
  <si>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</si>
  <si>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</si>
  <si>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</si>
  <si>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</si>
  <si>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</si>
  <si>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</si>
  <si>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</si>
  <si>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</si>
  <si>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</si>
  <si>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</si>
  <si>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</si>
  <si>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</si>
  <si>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</si>
  <si>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</si>
  <si>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</si>
  <si>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</si>
  <si>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</si>
  <si>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</si>
  <si>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</si>
  <si>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</si>
  <si>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</si>
  <si>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</si>
  <si>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</si>
  <si>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</si>
  <si>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</si>
  <si>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</si>
  <si>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</si>
  <si>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</si>
  <si>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</si>
  <si>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</si>
  <si>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</si>
  <si>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</si>
  <si>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</si>
  <si>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</si>
  <si>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</si>
  <si>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</si>
  <si>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</si>
  <si>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</si>
  <si>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</si>
  <si>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</si>
  <si>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</si>
  <si>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</si>
  <si>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</si>
  <si>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</si>
  <si>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</si>
  <si>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</si>
  <si>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</si>
  <si>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</si>
  <si>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</si>
  <si>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</si>
  <si>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</si>
  <si>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</si>
  <si>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</si>
  <si>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</si>
  <si>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</si>
  <si>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</si>
  <si>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</si>
  <si>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</si>
  <si>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</si>
  <si>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</si>
  <si>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</si>
  <si>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</si>
  <si>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</si>
  <si>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</si>
  <si>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</si>
  <si>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</si>
  <si>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</si>
  <si>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</si>
  <si>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</si>
  <si>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</si>
  <si>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</si>
  <si>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</si>
  <si>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</si>
  <si>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</si>
  <si>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</si>
  <si>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</si>
  <si>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</si>
  <si>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</si>
  <si>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</si>
  <si>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</si>
  <si>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</si>
  <si>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</si>
  <si>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</si>
  <si>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</si>
  <si>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</si>
  <si>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</si>
  <si>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</si>
  <si>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</si>
  <si>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</si>
  <si>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</si>
  <si>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</si>
  <si>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</si>
  <si>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</si>
  <si>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</si>
  <si>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</si>
  <si>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</si>
  <si>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</si>
  <si>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</si>
  <si>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</si>
  <si>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</si>
  <si>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</si>
  <si>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</si>
  <si>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</si>
  <si>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</si>
  <si>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</si>
  <si>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</si>
  <si>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</si>
  <si>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</si>
  <si>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</si>
  <si>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</si>
  <si>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</si>
  <si>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</si>
  <si>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</si>
  <si>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</si>
  <si>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</si>
  <si>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</si>
  <si>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</si>
  <si>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</si>
  <si>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</si>
  <si>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</si>
  <si>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</si>
  <si>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</si>
  <si>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</si>
  <si>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</si>
  <si>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</si>
  <si>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</si>
  <si>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</si>
  <si>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</si>
  <si>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</si>
  <si>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</si>
  <si>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</si>
  <si>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</si>
  <si>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</si>
  <si>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</si>
  <si>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</si>
  <si>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</si>
  <si>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</si>
  <si>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</si>
  <si>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</si>
  <si>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</si>
  <si>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</si>
  <si>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</si>
  <si>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</si>
  <si>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</si>
  <si>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</si>
  <si>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</si>
  <si>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</si>
  <si>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</si>
  <si>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</si>
  <si>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</si>
  <si>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</si>
  <si>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</si>
  <si>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</si>
  <si>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</si>
  <si>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</si>
  <si>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</si>
  <si>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</si>
  <si>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</si>
  <si>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</si>
  <si>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</si>
  <si>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</si>
  <si>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</si>
  <si>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</si>
  <si>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</si>
  <si>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</si>
  <si>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</si>
  <si>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</si>
  <si>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</si>
  <si>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</si>
  <si>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</si>
  <si>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</si>
  <si>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</si>
  <si>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</si>
  <si>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</si>
  <si>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</si>
  <si>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</si>
  <si>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</si>
  <si>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</si>
  <si>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</si>
  <si>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</si>
  <si>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</si>
  <si>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</si>
  <si>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</si>
  <si>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</si>
  <si>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</si>
  <si>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</si>
  <si>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</si>
  <si>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</si>
  <si>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</si>
  <si>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</si>
  <si>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</si>
  <si>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</si>
  <si>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</si>
  <si>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</si>
  <si>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</si>
  <si>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</si>
  <si>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</si>
  <si>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</si>
  <si>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</si>
  <si>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</si>
  <si>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</si>
  <si>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</si>
  <si>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</si>
  <si>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</si>
  <si>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</si>
  <si>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</si>
  <si>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</si>
  <si>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</si>
  <si>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</si>
  <si>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</si>
  <si>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</si>
  <si>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</si>
  <si>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</si>
  <si>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</si>
  <si>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</si>
  <si>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</si>
  <si>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</si>
  <si>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</si>
  <si>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</si>
  <si>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</si>
  <si>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</si>
  <si>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</si>
  <si>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</si>
  <si>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</si>
  <si>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</si>
  <si>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</si>
  <si>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</si>
  <si>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</si>
  <si>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</si>
  <si>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</si>
  <si>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</si>
  <si>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</si>
  <si>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</si>
  <si>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</si>
  <si>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</si>
  <si>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</si>
  <si>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</si>
  <si>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</si>
  <si>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</si>
  <si>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</si>
  <si>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</si>
  <si>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</si>
  <si>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</si>
  <si>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</si>
  <si>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</si>
  <si>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</si>
  <si>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</si>
  <si>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</si>
  <si>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</si>
  <si>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</si>
  <si>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</si>
  <si>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</si>
  <si>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</si>
  <si>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</si>
  <si>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</si>
  <si>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</si>
  <si>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</si>
  <si>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</si>
  <si>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</si>
  <si>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</si>
  <si>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</si>
  <si>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</si>
  <si>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</si>
  <si>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</si>
  <si>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</si>
  <si>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</si>
  <si>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</si>
  <si>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</si>
  <si>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</si>
  <si>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</si>
  <si>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</si>
  <si>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</si>
  <si>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</si>
  <si>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</si>
  <si>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</si>
  <si>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</si>
  <si>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</si>
  <si>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</si>
  <si>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</si>
  <si>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</si>
  <si>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</si>
  <si>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</si>
  <si>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</si>
  <si>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</si>
  <si>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</si>
  <si>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</si>
  <si>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</si>
  <si>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</si>
  <si>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</si>
  <si>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</si>
  <si>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</si>
  <si>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</si>
  <si>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</si>
  <si>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</si>
  <si>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</si>
  <si>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</si>
  <si>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</si>
  <si>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</si>
  <si>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</si>
  <si>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</si>
  <si>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</si>
  <si>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</si>
  <si>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</si>
  <si>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</si>
  <si>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</si>
  <si>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</si>
  <si>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</si>
  <si>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</si>
  <si>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</si>
  <si>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</si>
  <si>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</si>
  <si>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</si>
  <si>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</si>
  <si>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</si>
  <si>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</si>
  <si>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</si>
  <si>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</si>
  <si>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</si>
  <si>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</si>
  <si>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</si>
  <si>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</si>
  <si>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</si>
  <si>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</si>
  <si>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</si>
  <si>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</si>
  <si>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</si>
  <si>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</si>
  <si>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</si>
  <si>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</si>
  <si>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</si>
  <si>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</si>
  <si>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</si>
  <si>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</si>
  <si>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</si>
  <si>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</si>
  <si>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</si>
  <si>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</si>
  <si>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</si>
  <si>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</si>
  <si>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</si>
  <si>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</si>
  <si>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</si>
  <si>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</si>
  <si>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</si>
  <si>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</si>
  <si>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</si>
  <si>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</si>
  <si>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</si>
  <si>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</si>
  <si>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</si>
  <si>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</si>
  <si>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</si>
  <si>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</si>
  <si>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</si>
  <si>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</si>
  <si>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</si>
  <si>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</si>
  <si>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</si>
  <si>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</si>
  <si>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</si>
  <si>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</si>
  <si>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</si>
  <si>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</si>
  <si>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</si>
  <si>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</si>
  <si>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</si>
  <si>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</si>
  <si>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</si>
  <si>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</si>
  <si>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</si>
  <si>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</si>
  <si>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</si>
  <si>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</si>
  <si>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</si>
  <si>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</si>
  <si>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</si>
  <si>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</si>
  <si>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</si>
  <si>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</si>
  <si>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</si>
  <si>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</si>
  <si>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</si>
  <si>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</si>
  <si>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</si>
  <si>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</si>
  <si>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</si>
  <si>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</si>
  <si>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</si>
  <si>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</si>
  <si>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</si>
  <si>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</si>
  <si>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</si>
  <si>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</si>
  <si>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</si>
  <si>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</si>
  <si>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</si>
  <si>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</si>
  <si>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</si>
  <si>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</si>
  <si>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</si>
  <si>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</si>
  <si>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</si>
  <si>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</si>
  <si>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</si>
  <si>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</si>
  <si>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</si>
  <si>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</si>
  <si>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</si>
  <si>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</si>
  <si>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</si>
  <si>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</si>
  <si>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</si>
  <si>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</si>
  <si>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</si>
  <si>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</si>
  <si>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</si>
  <si>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</si>
  <si>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</si>
  <si>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</si>
  <si>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</si>
  <si>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</si>
  <si>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</si>
  <si>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</si>
  <si>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</si>
  <si>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</si>
  <si>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</si>
  <si>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</si>
  <si>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</si>
  <si>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</si>
  <si>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</si>
  <si>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</si>
  <si>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</si>
  <si>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</si>
  <si>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</si>
  <si>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</si>
  <si>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</si>
  <si>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</si>
  <si>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</si>
  <si>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</si>
  <si>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</si>
  <si>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</si>
  <si>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</si>
  <si>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</si>
  <si>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</si>
  <si>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</si>
  <si>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</si>
  <si>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</si>
  <si>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</si>
  <si>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</si>
  <si>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</si>
  <si>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</si>
  <si>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</si>
  <si>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</si>
  <si>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</si>
  <si>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</si>
  <si>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</si>
  <si>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</si>
  <si>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</si>
  <si>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</si>
  <si>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</si>
  <si>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</si>
  <si>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</si>
  <si>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</si>
  <si>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</si>
  <si>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</si>
  <si>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</si>
  <si>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</si>
  <si>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</si>
  <si>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</si>
  <si>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</si>
  <si>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</si>
  <si>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</si>
  <si>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</si>
  <si>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</si>
  <si>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</si>
  <si>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</si>
  <si>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</si>
  <si>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</si>
  <si>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</si>
  <si>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</si>
  <si>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</si>
  <si>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</si>
  <si>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</si>
  <si>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</si>
  <si>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</si>
  <si>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</si>
  <si>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</si>
  <si>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</si>
  <si>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</si>
  <si>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</si>
  <si>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</si>
  <si>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</si>
  <si>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</si>
  <si>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</si>
  <si>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</si>
  <si>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</si>
  <si>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</si>
  <si>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</si>
  <si>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</si>
  <si>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</si>
  <si>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</si>
  <si>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</si>
  <si>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</si>
  <si>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</si>
  <si>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</si>
  <si>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</si>
  <si>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</si>
  <si>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</si>
  <si>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</si>
  <si>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</si>
  <si>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</si>
  <si>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</si>
  <si>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</si>
  <si>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</si>
  <si>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</si>
  <si>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</si>
  <si>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</si>
  <si>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</si>
  <si>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</si>
  <si>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</si>
  <si>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</si>
  <si>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</si>
  <si>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</si>
  <si>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</si>
  <si>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</si>
  <si>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</si>
  <si>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</si>
  <si>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</si>
  <si>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</si>
  <si>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</si>
  <si>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</si>
  <si>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</si>
  <si>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</si>
  <si>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</si>
  <si>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</si>
  <si>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</si>
  <si>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</si>
  <si>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</si>
  <si>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</si>
  <si>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</si>
  <si>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</si>
  <si>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</si>
  <si>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</si>
  <si>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</si>
  <si>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</si>
  <si>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</si>
  <si>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</si>
  <si>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</si>
  <si>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</si>
  <si>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</si>
  <si>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</si>
  <si>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</si>
  <si>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</si>
  <si>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</si>
  <si>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</si>
  <si>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</si>
  <si>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</si>
  <si>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</si>
  <si>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</si>
  <si>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</si>
  <si>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</si>
  <si>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</si>
  <si>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</si>
  <si>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</si>
  <si>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</si>
  <si>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</si>
  <si>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</si>
  <si>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</si>
  <si>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</si>
  <si>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</si>
  <si>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</si>
  <si>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</si>
  <si>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</si>
  <si>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</si>
  <si>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</si>
  <si>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</si>
  <si>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</si>
  <si>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</si>
  <si>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</si>
  <si>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</si>
  <si>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</si>
  <si>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</si>
  <si>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</si>
  <si>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</si>
  <si>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</si>
  <si>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</si>
  <si>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</si>
  <si>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</si>
  <si>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</si>
  <si>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</si>
  <si>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</si>
  <si>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</si>
  <si>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</si>
  <si>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</si>
  <si>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</si>
  <si>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</si>
  <si>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</si>
  <si>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</si>
  <si>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</si>
  <si>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</si>
  <si>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</si>
  <si>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</si>
  <si>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</si>
  <si>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</si>
  <si>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</si>
  <si>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</si>
  <si>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</si>
  <si>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</si>
  <si>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</si>
  <si>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</si>
  <si>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</si>
  <si>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</si>
  <si>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</si>
  <si>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</si>
  <si>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</si>
  <si>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</si>
  <si>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</si>
  <si>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</si>
  <si>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</si>
  <si>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</si>
  <si>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</si>
  <si>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</si>
  <si>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</si>
  <si>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</si>
  <si>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</si>
  <si>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</si>
  <si>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</si>
  <si>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</si>
  <si>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</si>
  <si>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</si>
  <si>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</si>
  <si>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</si>
  <si>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</si>
  <si>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</si>
  <si>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</si>
  <si>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</si>
  <si>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</si>
  <si>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</si>
  <si>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</si>
  <si>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</si>
  <si>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</si>
  <si>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</si>
  <si>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</si>
  <si>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</si>
  <si>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</si>
  <si>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</si>
  <si>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</si>
  <si>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</si>
  <si>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</si>
  <si>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</si>
  <si>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</si>
  <si>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</si>
  <si>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</si>
  <si>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</si>
  <si>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</si>
  <si>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</si>
  <si>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</si>
  <si>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</si>
  <si>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</si>
  <si>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</si>
  <si>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</si>
  <si>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</si>
  <si>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</si>
  <si>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</si>
  <si>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</si>
  <si>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</si>
  <si>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</si>
  <si>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</si>
  <si>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</si>
  <si>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</si>
  <si>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</si>
  <si>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</si>
  <si>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</si>
  <si>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</si>
  <si>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</si>
  <si>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</si>
  <si>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</si>
  <si>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</si>
  <si>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</si>
  <si>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</si>
  <si>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</si>
  <si>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</si>
  <si>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</si>
  <si>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</si>
  <si>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</si>
  <si>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</si>
  <si>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</si>
  <si>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</si>
  <si>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</si>
  <si>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</si>
  <si>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</si>
  <si>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</si>
  <si>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</si>
  <si>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</si>
  <si>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</si>
  <si>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</si>
  <si>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</si>
  <si>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</si>
  <si>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</si>
  <si>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</si>
  <si>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</si>
  <si>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</si>
  <si>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</si>
  <si>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</si>
  <si>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</si>
  <si>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</si>
  <si>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</si>
  <si>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</si>
  <si>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</si>
  <si>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</si>
  <si>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</si>
  <si>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</si>
  <si>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</si>
  <si>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</si>
  <si>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</si>
  <si>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</si>
  <si>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</si>
  <si>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</si>
  <si>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</si>
  <si>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</si>
  <si>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</si>
  <si>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</si>
  <si>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</si>
  <si>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</si>
  <si>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</si>
  <si>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</si>
  <si>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</si>
  <si>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</si>
  <si>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</si>
  <si>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</si>
  <si>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</si>
  <si>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</si>
  <si>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</si>
  <si>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</si>
  <si>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</si>
  <si>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</si>
  <si>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</si>
  <si>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</si>
  <si>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</si>
  <si>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</si>
  <si>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</si>
  <si>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</si>
  <si>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</si>
  <si>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</si>
  <si>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</si>
  <si>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</si>
  <si>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</si>
  <si>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</si>
  <si>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</si>
  <si>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</si>
  <si>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</si>
  <si>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</si>
  <si>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</si>
  <si>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</si>
  <si>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</si>
  <si>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</si>
  <si>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</si>
  <si>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</si>
  <si>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</si>
  <si>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</si>
  <si>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</si>
  <si>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</si>
  <si>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</si>
  <si>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</si>
  <si>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</si>
  <si>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</si>
  <si>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</si>
  <si>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</si>
  <si>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</si>
  <si>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</si>
  <si>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</si>
  <si>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</si>
  <si>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</si>
  <si>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</si>
  <si>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</si>
  <si>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</si>
  <si>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</si>
  <si>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</si>
  <si>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</si>
  <si>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</si>
  <si>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</si>
  <si>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</si>
  <si>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</si>
  <si>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</si>
  <si>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</si>
  <si>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</si>
  <si>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</si>
  <si>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</si>
  <si>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</si>
  <si>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</si>
  <si>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</si>
  <si>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</si>
  <si>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</si>
  <si>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</si>
  <si>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</si>
  <si>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</si>
  <si>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</si>
  <si>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</si>
  <si>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</si>
  <si>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</si>
  <si>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</si>
  <si>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</si>
  <si>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</si>
  <si>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</si>
  <si>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</si>
  <si>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</si>
  <si>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</si>
  <si>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</si>
  <si>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</si>
  <si>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</si>
  <si>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</si>
  <si>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</si>
  <si>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</si>
  <si>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</si>
  <si>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</si>
  <si>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</si>
  <si>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</si>
  <si>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</si>
  <si>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</si>
  <si>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</si>
  <si>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</si>
  <si>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</si>
  <si>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</si>
  <si>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</si>
  <si>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</si>
  <si>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</si>
  <si>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</si>
  <si>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</si>
  <si>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</si>
  <si>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</si>
  <si>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</si>
  <si>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</si>
  <si>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</si>
  <si>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</si>
  <si>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</si>
  <si>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</si>
  <si>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</si>
  <si>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</si>
  <si>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</si>
  <si>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</si>
  <si>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</si>
  <si>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</si>
  <si>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</si>
  <si>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</si>
  <si>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</si>
  <si>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</si>
  <si>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</si>
  <si>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</si>
  <si>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</si>
  <si>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</si>
  <si>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</si>
  <si>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</si>
  <si>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</si>
  <si>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</si>
  <si>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</si>
  <si>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</si>
  <si>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</si>
  <si>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</si>
  <si>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</si>
  <si>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</si>
  <si>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</si>
  <si>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</si>
  <si>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</si>
  <si>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</si>
  <si>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</si>
  <si>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</si>
  <si>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</si>
  <si>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</si>
  <si>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</si>
  <si>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</si>
  <si>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</si>
  <si>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</si>
  <si>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</si>
  <si>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</si>
  <si>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</si>
  <si>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</si>
  <si>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</si>
  <si>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</si>
  <si>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</si>
  <si>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</si>
  <si>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</si>
  <si>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</si>
  <si>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</si>
  <si>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</si>
  <si>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</si>
  <si>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</si>
  <si>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</si>
  <si>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</si>
  <si>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</si>
  <si>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</si>
  <si>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</si>
  <si>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</si>
  <si>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</si>
  <si>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</si>
  <si>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</si>
  <si>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</si>
  <si>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</si>
  <si>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</si>
  <si>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</si>
  <si>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</si>
  <si>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</si>
  <si>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</si>
  <si>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</si>
  <si>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</si>
  <si>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</si>
  <si>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</si>
  <si>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</si>
  <si>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</si>
  <si>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</si>
  <si>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</si>
  <si>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</si>
  <si>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</si>
  <si>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</si>
  <si>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</si>
  <si>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</si>
  <si>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</si>
  <si>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</si>
  <si>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</si>
  <si>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</si>
  <si>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</si>
  <si>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</si>
  <si>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</si>
  <si>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</si>
  <si>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</si>
  <si>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</si>
  <si>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</si>
  <si>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</si>
  <si>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</si>
  <si>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</si>
  <si>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</si>
  <si>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</si>
  <si>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</si>
  <si>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</si>
  <si>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</si>
  <si>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</si>
  <si>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</si>
  <si>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</si>
  <si>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</si>
  <si>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</si>
  <si>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</si>
  <si>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</si>
  <si>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</si>
  <si>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</si>
  <si>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</si>
  <si>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</si>
  <si>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</si>
  <si>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</si>
  <si>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</si>
  <si>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</si>
  <si>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</si>
  <si>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</si>
  <si>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</si>
  <si>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</si>
  <si>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</si>
  <si>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</si>
  <si>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</si>
  <si>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</si>
  <si>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</si>
  <si>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</si>
  <si>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</si>
  <si>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</si>
  <si>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</si>
  <si>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</si>
  <si>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</si>
  <si>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</si>
  <si>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</si>
  <si>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</si>
  <si>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</si>
  <si>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</si>
  <si>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</si>
  <si>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</si>
  <si>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</si>
  <si>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</si>
  <si>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</si>
  <si>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</si>
  <si>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</si>
  <si>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</si>
  <si>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</si>
  <si>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</si>
  <si>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</si>
  <si>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</si>
  <si>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</si>
  <si>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</si>
  <si>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</si>
  <si>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</si>
  <si>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</si>
  <si>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</si>
  <si>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</si>
  <si>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</si>
  <si>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</si>
  <si>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</si>
  <si>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</si>
  <si>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</si>
  <si>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</si>
  <si>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</si>
  <si>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</si>
  <si>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</si>
  <si>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</si>
  <si>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</si>
  <si>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</si>
  <si>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</si>
  <si>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</si>
  <si>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</si>
  <si>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</si>
  <si>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</si>
  <si>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</si>
  <si>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</si>
  <si>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</si>
  <si>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</si>
  <si>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</si>
  <si>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</si>
  <si>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</si>
  <si>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</si>
  <si>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</si>
  <si>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</si>
  <si>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</si>
  <si>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</si>
  <si>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</si>
  <si>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</si>
  <si>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</si>
  <si>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</si>
  <si>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</si>
  <si>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</si>
  <si>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</si>
  <si>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</si>
  <si>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</si>
  <si>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</si>
  <si>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</si>
  <si>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</si>
  <si>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</si>
  <si>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</si>
  <si>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</si>
  <si>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</si>
  <si>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</si>
  <si>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</si>
  <si>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</si>
  <si>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</si>
  <si>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</si>
  <si>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</si>
  <si>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</si>
  <si>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</si>
  <si>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</si>
  <si>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</si>
  <si>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</si>
  <si>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</si>
  <si>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</si>
  <si>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</si>
  <si>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</si>
  <si>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</si>
  <si>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</si>
  <si>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</si>
  <si>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</si>
  <si>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</si>
  <si>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</si>
  <si>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</si>
  <si>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</si>
  <si>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</si>
  <si>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</si>
  <si>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</si>
  <si>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</si>
  <si>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</si>
  <si>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</si>
  <si>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</si>
  <si>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</si>
  <si>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</si>
  <si>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</si>
  <si>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</si>
  <si>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</si>
  <si>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</si>
  <si>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</si>
  <si>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</si>
  <si>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</si>
  <si>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</si>
  <si>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</si>
  <si>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</si>
  <si>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</si>
  <si>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</si>
  <si>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</si>
  <si>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</si>
  <si>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</si>
  <si>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</si>
  <si>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</si>
  <si>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</si>
  <si>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</si>
  <si>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</si>
  <si>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</si>
  <si>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</si>
  <si>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</si>
  <si>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</si>
  <si>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</si>
  <si>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</si>
  <si>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</si>
  <si>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</si>
  <si>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</si>
  <si>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</si>
  <si>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</si>
  <si>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</si>
  <si>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</si>
  <si>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</si>
  <si>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</si>
  <si>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</si>
  <si>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</si>
  <si>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</si>
  <si>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</si>
  <si>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</si>
  <si>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</si>
  <si>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</si>
  <si>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</si>
  <si>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</si>
  <si>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</si>
  <si>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</si>
  <si>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</si>
  <si>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</si>
  <si>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</si>
  <si>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</si>
  <si>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</si>
  <si>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</si>
  <si>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</si>
  <si>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</si>
  <si>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</si>
  <si>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</si>
  <si>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</si>
  <si>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</si>
  <si>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</si>
  <si>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</si>
  <si>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</si>
  <si>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</si>
  <si>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</si>
  <si>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</si>
  <si>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</si>
  <si>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</si>
  <si>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</si>
  <si>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</si>
  <si>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</si>
  <si>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</si>
  <si>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</si>
  <si>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</si>
  <si>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</si>
  <si>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</si>
  <si>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</si>
  <si>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</si>
  <si>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</si>
  <si>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</si>
  <si>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</si>
  <si>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</si>
  <si>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</si>
  <si>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</si>
  <si>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</si>
  <si>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</si>
  <si>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</si>
  <si>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</si>
  <si>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</si>
  <si>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</si>
  <si>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</si>
  <si>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</si>
  <si>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</si>
  <si>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</si>
  <si>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</si>
  <si>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</si>
  <si>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</si>
  <si>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</si>
  <si>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</si>
  <si>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</si>
  <si>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</si>
  <si>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</si>
  <si>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</si>
  <si>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</si>
  <si>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</si>
  <si>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</si>
  <si>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</si>
  <si>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</si>
  <si>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</si>
  <si>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</si>
  <si>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</si>
  <si>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</si>
  <si>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</si>
  <si>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</si>
  <si>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</si>
  <si>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</si>
  <si>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</si>
  <si>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</si>
  <si>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</si>
  <si>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</si>
  <si>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</si>
  <si>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</si>
  <si>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</si>
  <si>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</si>
  <si>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</si>
  <si>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</si>
  <si>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</si>
  <si>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</si>
  <si>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</si>
  <si>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</si>
  <si>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</si>
  <si>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</si>
  <si>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</si>
  <si>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</si>
  <si>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</si>
  <si>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</si>
  <si>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</si>
  <si>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</si>
  <si>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</si>
  <si>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</si>
  <si>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</si>
  <si>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</si>
  <si>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</si>
  <si>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</si>
  <si>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</si>
  <si>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</si>
  <si>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</si>
  <si>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</si>
  <si>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</si>
  <si>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</si>
  <si>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</si>
  <si>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</si>
  <si>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</si>
  <si>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</si>
  <si>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</si>
  <si>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</si>
  <si>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</si>
  <si>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</si>
  <si>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</si>
  <si>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</si>
  <si>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</si>
  <si>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</si>
  <si>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</si>
  <si>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</si>
  <si>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</si>
  <si>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</si>
  <si>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</si>
  <si>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</si>
  <si>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</si>
  <si>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</si>
  <si>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</si>
  <si>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</si>
  <si>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</si>
  <si>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</si>
  <si>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</si>
  <si>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</si>
  <si>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</si>
  <si>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</si>
  <si>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</si>
  <si>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</si>
  <si>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</si>
  <si>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</si>
  <si>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</si>
  <si>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</si>
  <si>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</si>
  <si>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</si>
  <si>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</si>
  <si>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</si>
  <si>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</si>
  <si>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</si>
  <si>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</si>
  <si>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</si>
  <si>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</si>
  <si>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</si>
  <si>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</si>
  <si>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</si>
  <si>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</si>
  <si>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</si>
  <si>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</si>
  <si>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</si>
  <si>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</si>
  <si>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</si>
  <si>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</si>
  <si>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</si>
  <si>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</si>
  <si>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</si>
  <si>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</si>
  <si>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</si>
  <si>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</si>
  <si>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</si>
  <si>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</si>
  <si>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</si>
  <si>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</si>
  <si>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</si>
  <si>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</si>
  <si>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</si>
  <si>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</si>
  <si>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</si>
  <si>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</si>
  <si>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</si>
  <si>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</si>
  <si>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</si>
  <si>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</si>
  <si>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</si>
  <si>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</si>
  <si>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</si>
  <si>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</si>
  <si>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</si>
  <si>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</si>
  <si>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</si>
  <si>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</si>
  <si>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</si>
  <si>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</si>
  <si>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</si>
  <si>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</si>
  <si>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</si>
  <si>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</si>
  <si>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</si>
  <si>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</si>
  <si>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</si>
  <si>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</si>
  <si>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</si>
  <si>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</si>
  <si>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</si>
  <si>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</si>
  <si>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</si>
  <si>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</si>
  <si>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</si>
  <si>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</si>
  <si>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</si>
  <si>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</si>
  <si>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</si>
  <si>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</si>
  <si>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</si>
  <si>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</si>
  <si>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</si>
  <si>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</si>
  <si>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</si>
  <si>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</si>
  <si>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</si>
  <si>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</si>
  <si>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</si>
  <si>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</si>
  <si>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</si>
  <si>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</si>
  <si>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</si>
  <si>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</si>
  <si>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</si>
  <si>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</si>
  <si>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</si>
  <si>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</si>
  <si>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</si>
  <si>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</si>
  <si>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</si>
  <si>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</si>
  <si>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</si>
  <si>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</si>
  <si>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</si>
  <si>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</si>
  <si>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</si>
  <si>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</si>
  <si>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</si>
  <si>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</si>
  <si>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</si>
  <si>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</si>
  <si>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</si>
  <si>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</si>
  <si>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</si>
  <si>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</si>
  <si>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</si>
  <si>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</si>
  <si>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</si>
  <si>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</si>
  <si>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</si>
  <si>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</si>
  <si>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</si>
  <si>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</si>
  <si>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</si>
  <si>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</si>
  <si>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</si>
  <si>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</si>
  <si>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</si>
  <si>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</si>
  <si>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</si>
  <si>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</si>
  <si>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</si>
  <si>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</si>
  <si>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</si>
  <si>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</si>
  <si>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</si>
  <si>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</si>
  <si>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</si>
  <si>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</si>
  <si>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</si>
  <si>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</si>
  <si>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</si>
  <si>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</si>
  <si>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</si>
  <si>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</si>
  <si>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</si>
  <si>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</si>
  <si>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</si>
  <si>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</si>
  <si>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</si>
  <si>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</si>
  <si>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</si>
  <si>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</si>
  <si>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</si>
  <si>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</si>
  <si>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</si>
  <si>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</si>
  <si>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</si>
  <si>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</si>
  <si>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</si>
  <si>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</si>
  <si>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</si>
  <si>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</si>
  <si>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</si>
  <si>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</si>
  <si>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</si>
  <si>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</si>
  <si>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</si>
  <si>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</si>
  <si>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</si>
  <si>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</si>
  <si>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</si>
  <si>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</si>
  <si>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</si>
  <si>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</si>
  <si>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</si>
  <si>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</si>
  <si>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</si>
  <si>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</si>
  <si>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</si>
  <si>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</si>
  <si>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</si>
  <si>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</si>
  <si>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</si>
  <si>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</si>
  <si>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</si>
  <si>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</si>
  <si>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</si>
  <si>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</si>
  <si>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</si>
  <si>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</si>
  <si>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</si>
  <si>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</si>
  <si>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</si>
  <si>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</si>
  <si>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</si>
  <si>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</si>
  <si>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</si>
  <si>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</si>
  <si>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</si>
  <si>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</si>
  <si>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</si>
  <si>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</si>
  <si>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</si>
  <si>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</si>
  <si>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</si>
  <si>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</si>
  <si>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</si>
  <si>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</si>
  <si>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</si>
  <si>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</si>
  <si>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</si>
  <si>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</si>
  <si>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</si>
  <si>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</si>
  <si>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</si>
  <si>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</si>
  <si>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</si>
  <si>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</si>
  <si>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</si>
  <si>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</si>
  <si>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</si>
  <si>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</si>
  <si>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</si>
  <si>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</si>
  <si>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</si>
  <si>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</si>
  <si>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</si>
  <si>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</si>
  <si>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</si>
  <si>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</si>
  <si>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</si>
  <si>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</si>
  <si>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</si>
  <si>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</si>
  <si>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</si>
  <si>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</si>
  <si>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</si>
  <si>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</si>
  <si>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</si>
  <si>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</si>
  <si>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</si>
  <si>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</si>
  <si>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</si>
  <si>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</si>
  <si>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</si>
  <si>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</si>
  <si>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</si>
  <si>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</si>
  <si>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</si>
  <si>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</si>
  <si>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</si>
  <si>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</si>
  <si>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</si>
  <si>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</si>
  <si>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</si>
  <si>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</si>
  <si>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</si>
  <si>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</si>
  <si>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</si>
  <si>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</si>
  <si>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</si>
  <si>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</si>
  <si>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</si>
  <si>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</si>
  <si>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</si>
  <si>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</si>
  <si>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</si>
  <si>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</si>
  <si>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</si>
  <si>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</si>
  <si>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</si>
  <si>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</si>
  <si>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</si>
  <si>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</si>
  <si>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</si>
  <si>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</si>
  <si>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</si>
  <si>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</si>
  <si>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</si>
  <si>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</si>
  <si>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</si>
  <si>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</si>
  <si>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</si>
  <si>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</si>
  <si>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</si>
  <si>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</si>
  <si>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</si>
  <si>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</si>
  <si>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</si>
  <si>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</si>
  <si>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</si>
  <si>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</si>
  <si>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</si>
  <si>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</si>
  <si>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</si>
  <si>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</si>
  <si>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</si>
  <si>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</si>
  <si>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</si>
  <si>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</si>
  <si>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</si>
  <si>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</si>
  <si>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</si>
  <si>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</si>
  <si>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</si>
  <si>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</si>
  <si>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</si>
  <si>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</si>
  <si>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</si>
  <si>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</si>
  <si>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</si>
  <si>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</si>
  <si>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</si>
  <si>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</si>
  <si>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</si>
  <si>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</si>
  <si>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</si>
  <si>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</si>
  <si>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</si>
  <si>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</si>
  <si>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</si>
  <si>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</si>
  <si>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</si>
  <si>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</si>
  <si>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</si>
  <si>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</si>
  <si>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</si>
  <si>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</si>
  <si>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</si>
  <si>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</si>
  <si>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</si>
  <si>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</si>
  <si>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</si>
  <si>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</si>
  <si>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</si>
  <si>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</si>
  <si>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</si>
  <si>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</si>
  <si>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</si>
  <si>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</si>
  <si>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</si>
  <si>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</si>
  <si>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</si>
  <si>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</si>
  <si>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</si>
  <si>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</si>
  <si>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</si>
  <si>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</si>
  <si>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</si>
  <si>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</si>
  <si>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</si>
  <si>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</si>
  <si>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</si>
  <si>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</si>
  <si>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</si>
  <si>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</si>
  <si>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</si>
  <si>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</si>
  <si>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</si>
  <si>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</si>
  <si>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</si>
  <si>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</si>
  <si>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</si>
  <si>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</si>
  <si>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</si>
  <si>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</si>
  <si>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</si>
  <si>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</si>
  <si>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</si>
  <si>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</si>
  <si>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</si>
  <si>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</si>
  <si>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</si>
  <si>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</si>
  <si>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</si>
  <si>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</si>
  <si>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</si>
  <si>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</si>
  <si>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</si>
  <si>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</si>
  <si>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</si>
  <si>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</si>
  <si>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</si>
  <si>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</si>
  <si>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</si>
  <si>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</si>
  <si>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</si>
  <si>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</si>
  <si>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</si>
  <si>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</si>
  <si>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</si>
  <si>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</si>
  <si>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</si>
  <si>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</si>
  <si>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</si>
  <si>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</si>
  <si>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</si>
  <si>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</si>
  <si>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</si>
  <si>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</si>
  <si>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</si>
  <si>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</si>
  <si>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</si>
  <si>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</si>
  <si>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</si>
  <si>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</si>
  <si>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</si>
  <si>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</si>
  <si>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</si>
  <si>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</si>
  <si>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</si>
  <si>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</si>
  <si>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</si>
  <si>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</si>
  <si>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</si>
  <si>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</si>
  <si>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</si>
  <si>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</si>
  <si>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</si>
  <si>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</si>
  <si>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</si>
  <si>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</si>
  <si>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</si>
  <si>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</si>
  <si>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</si>
  <si>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</si>
  <si>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</si>
  <si>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</si>
  <si>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</si>
  <si>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</si>
  <si>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</si>
  <si>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</si>
  <si>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</si>
  <si>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</si>
  <si>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</si>
  <si>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</si>
  <si>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</si>
  <si>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</si>
  <si>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</si>
  <si>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</si>
  <si>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</si>
  <si>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</si>
  <si>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</si>
  <si>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</si>
  <si>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</si>
  <si>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</si>
  <si>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</si>
  <si>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</si>
  <si>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</si>
  <si>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</si>
  <si>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</si>
  <si>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</si>
  <si>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</si>
  <si>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</si>
  <si>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</si>
  <si>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</si>
  <si>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</si>
  <si>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</si>
  <si>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</si>
  <si>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</si>
  <si>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</si>
  <si>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</si>
  <si>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</si>
  <si>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</si>
  <si>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</si>
  <si>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</si>
  <si>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</si>
  <si>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</si>
  <si>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</si>
  <si>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</si>
  <si>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</si>
  <si>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</si>
  <si>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</si>
  <si>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</si>
  <si>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</si>
  <si>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</si>
  <si>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</si>
  <si>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</si>
  <si>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</si>
  <si>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</si>
  <si>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</si>
  <si>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</si>
  <si>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</si>
  <si>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</si>
  <si>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</si>
  <si>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</si>
  <si>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</si>
  <si>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</si>
  <si>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</si>
  <si>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</si>
  <si>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</si>
  <si>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</si>
  <si>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</si>
  <si>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</si>
  <si>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</si>
  <si>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</si>
  <si>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</si>
  <si>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</si>
  <si>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</si>
  <si>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</si>
  <si>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</si>
  <si>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</si>
  <si>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</si>
  <si>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</si>
  <si>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</si>
  <si>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</si>
  <si>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</si>
  <si>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</si>
  <si>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</si>
  <si>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</si>
  <si>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</si>
  <si>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</si>
  <si>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</si>
  <si>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</si>
  <si>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</si>
  <si>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</si>
  <si>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</si>
  <si>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</si>
  <si>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</si>
  <si>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</si>
  <si>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</si>
  <si>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</si>
  <si>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</si>
  <si>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</si>
  <si>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</si>
  <si>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</si>
  <si>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</si>
  <si>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</si>
  <si>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</si>
  <si>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</si>
  <si>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</si>
  <si>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</si>
  <si>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</si>
  <si>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</si>
  <si>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</si>
  <si>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</si>
  <si>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</si>
  <si>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</si>
  <si>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</si>
  <si>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</si>
  <si>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</si>
  <si>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</si>
  <si>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</si>
  <si>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</si>
  <si>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</si>
  <si>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</si>
  <si>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</si>
  <si>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</si>
  <si>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</si>
  <si>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</si>
  <si>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</si>
  <si>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</si>
  <si>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</si>
  <si>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</si>
  <si>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</si>
  <si>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</si>
  <si>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</si>
  <si>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</si>
  <si>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</si>
  <si>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</si>
  <si>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</si>
  <si>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</si>
  <si>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</si>
  <si>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</si>
  <si>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</si>
  <si>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</si>
  <si>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</si>
  <si>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</si>
  <si>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</si>
  <si>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</si>
  <si>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</si>
  <si>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</si>
  <si>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</si>
  <si>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</si>
  <si>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</si>
  <si>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</si>
  <si>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</si>
  <si>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</si>
  <si>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</si>
  <si>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</si>
  <si>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</si>
  <si>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</si>
  <si>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</si>
  <si>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</si>
  <si>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</si>
  <si>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</si>
  <si>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</si>
  <si>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</si>
  <si>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</si>
  <si>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</si>
  <si>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</si>
  <si>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</si>
  <si>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</si>
  <si>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</si>
  <si>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</si>
  <si>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</si>
  <si>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</si>
  <si>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</si>
  <si>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</si>
  <si>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</si>
  <si>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</si>
  <si>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</si>
  <si>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</si>
  <si>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</si>
  <si>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</si>
  <si>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</si>
  <si>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</si>
  <si>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</si>
  <si>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</si>
  <si>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</si>
  <si>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</si>
  <si>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</si>
  <si>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</si>
  <si>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</si>
  <si>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</si>
  <si>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</si>
  <si>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</si>
  <si>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</si>
  <si>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</si>
  <si>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</si>
  <si>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</si>
  <si>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</si>
  <si>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</si>
  <si>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</si>
  <si>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</si>
  <si>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</si>
  <si>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</si>
  <si>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</si>
  <si>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</si>
  <si>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</si>
  <si>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</si>
  <si>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</si>
  <si>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</si>
  <si>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</si>
  <si>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</si>
  <si>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</si>
  <si>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</si>
  <si>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</si>
  <si>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</si>
  <si>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</si>
  <si>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</si>
  <si>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</si>
  <si>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</si>
  <si>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</si>
  <si>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</si>
  <si>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</si>
  <si>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</si>
  <si>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</si>
  <si>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</si>
  <si>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</si>
  <si>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</si>
  <si>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</si>
  <si>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</si>
  <si>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</si>
  <si>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</si>
  <si>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</si>
  <si>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</si>
  <si>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</si>
  <si>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</si>
  <si>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</si>
  <si>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</si>
  <si>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</si>
  <si>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</si>
  <si>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</si>
  <si>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</si>
  <si>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</si>
  <si>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</si>
  <si>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</si>
  <si>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</si>
  <si>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</si>
  <si>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</si>
  <si>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</si>
  <si>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</si>
  <si>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</si>
  <si>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</si>
  <si>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</si>
  <si>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</si>
  <si>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</si>
  <si>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</si>
  <si>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</si>
  <si>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</si>
  <si>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</si>
  <si>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</si>
  <si>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</si>
  <si>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</si>
  <si>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</si>
  <si>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</si>
  <si>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</si>
  <si>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</si>
  <si>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</si>
  <si>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</si>
  <si>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</si>
  <si>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</si>
  <si>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</si>
  <si>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</si>
  <si>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</si>
  <si>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</si>
  <si>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</si>
  <si>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</si>
  <si>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</si>
  <si>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</si>
  <si>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</si>
  <si>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</si>
  <si>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</si>
  <si>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</si>
  <si>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</si>
  <si>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</si>
  <si>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</si>
  <si>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</si>
  <si>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</si>
  <si>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</si>
  <si>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</si>
  <si>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</si>
  <si>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</si>
  <si>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</si>
  <si>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</si>
  <si>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</si>
  <si>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</si>
  <si>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</si>
  <si>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</si>
  <si>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</si>
  <si>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</si>
  <si>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</si>
  <si>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</si>
  <si>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</si>
  <si>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</si>
  <si>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</si>
  <si>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</si>
  <si>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</si>
  <si>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</si>
  <si>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</si>
  <si>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</si>
  <si>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</si>
  <si>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</si>
  <si>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</si>
  <si>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</si>
  <si>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</si>
  <si>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</si>
  <si>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</si>
  <si>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</si>
  <si>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</si>
  <si>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</si>
  <si>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</si>
  <si>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</si>
  <si>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</si>
  <si>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</si>
  <si>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</si>
  <si>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</si>
  <si>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</si>
  <si>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</si>
  <si>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</si>
  <si>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</si>
  <si>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</si>
  <si>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</si>
  <si>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</si>
  <si>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</si>
  <si>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</si>
  <si>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</si>
  <si>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</si>
  <si>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</si>
  <si>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</si>
  <si>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</si>
  <si>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</si>
  <si>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</si>
  <si>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</si>
  <si>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</si>
  <si>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</si>
  <si>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</si>
  <si>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</si>
  <si>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</si>
  <si>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</si>
  <si>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</si>
  <si>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</si>
  <si>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</si>
  <si>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</si>
  <si>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</si>
  <si>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</si>
  <si>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</si>
  <si>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</si>
  <si>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</si>
  <si>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</si>
  <si>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</si>
  <si>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</si>
  <si>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</si>
  <si>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</si>
  <si>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</si>
  <si>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</si>
  <si>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</si>
  <si>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</si>
  <si>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</si>
  <si>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</si>
  <si>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</si>
  <si>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</si>
  <si>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</si>
  <si>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</si>
  <si>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</si>
  <si>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</si>
  <si>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</si>
  <si>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</si>
  <si>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</si>
  <si>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</si>
  <si>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</si>
  <si>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</si>
  <si>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</si>
  <si>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</si>
  <si>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</si>
  <si>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</si>
  <si>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</si>
  <si>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</si>
  <si>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</si>
  <si>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</si>
  <si>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</si>
  <si>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</si>
  <si>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</si>
  <si>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</si>
  <si>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</si>
  <si>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</si>
  <si>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</si>
  <si>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</si>
  <si>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</si>
  <si>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</si>
  <si>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</si>
  <si>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</si>
  <si>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</si>
  <si>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</si>
  <si>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</si>
  <si>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</si>
  <si>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</si>
  <si>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</si>
  <si>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</si>
  <si>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</si>
  <si>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</si>
  <si>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</si>
  <si>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</si>
  <si>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</si>
  <si>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</si>
  <si>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</si>
  <si>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</si>
  <si>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</si>
  <si>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</si>
  <si>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</si>
  <si>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</si>
  <si>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</si>
  <si>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</si>
  <si>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</si>
  <si>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</si>
  <si>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</si>
  <si>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</si>
  <si>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</si>
  <si>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</si>
  <si>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</si>
  <si>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</si>
  <si>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</si>
  <si>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</si>
  <si>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</si>
  <si>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</si>
  <si>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</si>
  <si>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</si>
  <si>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</si>
  <si>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</si>
  <si>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</si>
  <si>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</si>
  <si>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</si>
  <si>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</si>
  <si>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</si>
  <si>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</si>
  <si>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</si>
  <si>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</si>
  <si>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</si>
  <si>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</si>
  <si>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</si>
  <si>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</si>
  <si>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</si>
  <si>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</si>
  <si>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</si>
  <si>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</si>
  <si>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</si>
  <si>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</si>
  <si>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</si>
  <si>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</si>
  <si>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</si>
  <si>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</si>
  <si>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</si>
  <si>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</si>
  <si>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</si>
  <si>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</si>
  <si>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</si>
  <si>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</si>
  <si>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</si>
  <si>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</si>
  <si>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</si>
  <si>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</si>
  <si>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</si>
  <si>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</si>
  <si>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</si>
  <si>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</si>
  <si>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</si>
  <si>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</si>
  <si>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</si>
  <si>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</si>
  <si>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</si>
  <si>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</si>
  <si>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</si>
  <si>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</si>
  <si>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</si>
  <si>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</si>
  <si>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</si>
  <si>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</si>
  <si>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</si>
  <si>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</si>
  <si>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</si>
  <si>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</si>
  <si>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</si>
  <si>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</si>
  <si>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</si>
  <si>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</si>
  <si>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</si>
  <si>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</si>
  <si>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</si>
  <si>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</si>
  <si>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</si>
  <si>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</si>
  <si>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</si>
  <si>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</si>
  <si>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</si>
  <si>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</si>
  <si>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</si>
  <si>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</si>
  <si>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</si>
  <si>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</si>
  <si>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</si>
  <si>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</si>
  <si>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</si>
  <si>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</si>
  <si>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</si>
  <si>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</si>
  <si>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</si>
  <si>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</si>
  <si>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</si>
  <si>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</si>
  <si>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</si>
  <si>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</si>
  <si>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</si>
  <si>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</si>
  <si>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</si>
  <si>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</si>
  <si>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</si>
  <si>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</si>
  <si>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</si>
  <si>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</si>
  <si>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</si>
  <si>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</si>
  <si>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</si>
  <si>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</si>
  <si>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</si>
  <si>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</si>
  <si>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</si>
  <si>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</si>
  <si>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</si>
  <si>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</si>
  <si>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</si>
  <si>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</si>
  <si>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</si>
  <si>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</si>
  <si>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</si>
  <si>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</si>
  <si>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</si>
  <si>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</si>
  <si>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</si>
  <si>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</si>
  <si>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</si>
  <si>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</si>
  <si>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</si>
  <si>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</si>
  <si>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</si>
  <si>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</si>
  <si>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</si>
  <si>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</si>
  <si>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</si>
  <si>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</si>
  <si>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</si>
  <si>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</si>
  <si>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</si>
  <si>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</si>
  <si>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</si>
  <si>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</si>
  <si>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</si>
  <si>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</si>
  <si>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</si>
  <si>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</si>
  <si>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</si>
  <si>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</si>
  <si>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</si>
  <si>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</si>
  <si>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</si>
  <si>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</si>
  <si>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</si>
  <si>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</si>
  <si>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</si>
  <si>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</si>
  <si>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</si>
  <si>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</si>
  <si>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</si>
  <si>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</si>
  <si>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</si>
  <si>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</si>
  <si>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</si>
  <si>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</si>
  <si>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</si>
  <si>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</si>
  <si>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</si>
  <si>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</si>
  <si>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</si>
  <si>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</si>
  <si>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</si>
  <si>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</si>
  <si>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</si>
  <si>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</si>
  <si>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</si>
  <si>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</si>
  <si>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</si>
  <si>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</si>
  <si>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</si>
  <si>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</si>
  <si>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</si>
  <si>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</si>
  <si>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</si>
  <si>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</si>
  <si>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</si>
  <si>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</si>
  <si>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</si>
  <si>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</si>
  <si>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</si>
  <si>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</si>
  <si>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</si>
  <si>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</si>
  <si>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</si>
  <si>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</si>
  <si>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</si>
  <si>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</si>
  <si>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</si>
  <si>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</si>
  <si>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</si>
  <si>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</si>
  <si>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</si>
  <si>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</si>
  <si>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</si>
  <si>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</si>
  <si>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</si>
  <si>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</si>
  <si>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</si>
  <si>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</si>
  <si>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</si>
  <si>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</si>
  <si>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</si>
  <si>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</si>
  <si>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</si>
  <si>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</si>
  <si>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</si>
  <si>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</si>
  <si>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</si>
  <si>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</si>
  <si>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</si>
  <si>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</si>
  <si>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</si>
  <si>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</si>
  <si>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</si>
  <si>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</si>
  <si>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</si>
  <si>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</si>
  <si>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</si>
  <si>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</si>
  <si>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</si>
  <si>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</si>
  <si>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</si>
  <si>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</si>
  <si>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</si>
  <si>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</si>
  <si>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</si>
  <si>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</si>
  <si>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</si>
  <si>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</si>
  <si>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</si>
  <si>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</si>
  <si>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</si>
  <si>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</si>
  <si>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</si>
  <si>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</si>
  <si>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</si>
  <si>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</si>
  <si>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</si>
  <si>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</si>
  <si>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</si>
  <si>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</si>
  <si>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</si>
  <si>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</si>
  <si>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</si>
  <si>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</si>
  <si>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</si>
  <si>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</si>
  <si>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</si>
  <si>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</si>
  <si>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</si>
  <si>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</si>
  <si>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</si>
  <si>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</si>
  <si>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</si>
  <si>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</si>
  <si>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</si>
  <si>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</si>
  <si>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</si>
  <si>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</si>
  <si>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</si>
  <si>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</si>
  <si>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</si>
  <si>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</si>
  <si>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</si>
  <si>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</si>
  <si>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</si>
  <si>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</si>
  <si>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</si>
  <si>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</si>
  <si>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</si>
  <si>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</si>
  <si>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</si>
  <si>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</si>
  <si>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</si>
  <si>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</si>
  <si>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</si>
  <si>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</si>
  <si>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</si>
  <si>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</si>
  <si>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</si>
  <si>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</si>
  <si>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</si>
  <si>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</si>
  <si>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</si>
  <si>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</si>
  <si>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</si>
  <si>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</si>
  <si>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</si>
  <si>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</si>
  <si>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</si>
  <si>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</si>
  <si>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</si>
  <si>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</si>
  <si>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</si>
  <si>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</si>
  <si>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</si>
  <si>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</si>
  <si>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</si>
  <si>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</si>
  <si>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</si>
  <si>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</si>
  <si>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</si>
  <si>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</si>
  <si>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</si>
  <si>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</si>
  <si>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</si>
  <si>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</si>
  <si>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</si>
  <si>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</si>
  <si>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</si>
  <si>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</si>
  <si>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</si>
  <si>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</si>
  <si>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</si>
  <si>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</si>
  <si>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</si>
  <si>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</si>
  <si>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</si>
  <si>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</si>
  <si>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</si>
  <si>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</si>
  <si>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</si>
  <si>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</si>
  <si>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</si>
  <si>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</si>
  <si>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</si>
  <si>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</si>
  <si>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</si>
  <si>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</si>
  <si>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</si>
  <si>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</si>
  <si>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</si>
  <si>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</si>
  <si>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</si>
  <si>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</si>
  <si>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</si>
  <si>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</si>
  <si>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</si>
  <si>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</si>
  <si>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</si>
  <si>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土地面积</t>
    <phoneticPr fontId="134" type="noConversion"/>
  </si>
  <si>
    <t>地上容积率</t>
    <phoneticPr fontId="134" type="noConversion"/>
  </si>
  <si>
    <t>总建筑面积</t>
    <phoneticPr fontId="134" type="noConversion"/>
  </si>
  <si>
    <t>容积率</t>
    <phoneticPr fontId="134" type="noConversion"/>
  </si>
  <si>
    <t>幢号</t>
    <phoneticPr fontId="134" type="noConversion"/>
  </si>
  <si>
    <t>房屋总层数</t>
    <phoneticPr fontId="134" type="noConversion"/>
  </si>
  <si>
    <t>所在层数</t>
    <phoneticPr fontId="134" type="noConversion"/>
  </si>
  <si>
    <t>结构</t>
    <phoneticPr fontId="134" type="noConversion"/>
  </si>
  <si>
    <t>建筑面积</t>
    <phoneticPr fontId="134" type="noConversion"/>
  </si>
  <si>
    <t>分摊土地面积</t>
    <phoneticPr fontId="134" type="noConversion"/>
  </si>
  <si>
    <t>1幢</t>
    <phoneticPr fontId="134" type="noConversion"/>
  </si>
  <si>
    <t>京(2023)丰不动产权第0027095号</t>
    <phoneticPr fontId="134" type="noConversion"/>
  </si>
  <si>
    <t>1-13</t>
    <phoneticPr fontId="134" type="noConversion"/>
  </si>
  <si>
    <t>钢混</t>
    <phoneticPr fontId="134" type="noConversion"/>
  </si>
  <si>
    <t>2幢</t>
  </si>
  <si>
    <t>京(2023)丰不动产权第0027108号</t>
    <phoneticPr fontId="134" type="noConversion"/>
  </si>
  <si>
    <t>3幢</t>
  </si>
  <si>
    <t>京(2023)丰不动产权第0027097号</t>
    <phoneticPr fontId="134" type="noConversion"/>
  </si>
  <si>
    <t>1-10</t>
    <phoneticPr fontId="134" type="noConversion"/>
  </si>
  <si>
    <t>4幢</t>
  </si>
  <si>
    <t>京(2023)丰不动产权第0027100号</t>
    <phoneticPr fontId="134" type="noConversion"/>
  </si>
  <si>
    <t>1-9</t>
    <phoneticPr fontId="134" type="noConversion"/>
  </si>
  <si>
    <t>11幢</t>
    <phoneticPr fontId="134" type="noConversion"/>
  </si>
  <si>
    <t>京(2023)丰不动产权第0027483号</t>
    <phoneticPr fontId="134" type="noConversion"/>
  </si>
  <si>
    <t>-3-1</t>
    <phoneticPr fontId="134" type="noConversion"/>
  </si>
  <si>
    <t xml:space="preserve">地下机动车库 </t>
    <phoneticPr fontId="134" type="noConversion"/>
  </si>
  <si>
    <t>工业研发技术服务</t>
    <phoneticPr fontId="134" type="noConversion"/>
  </si>
  <si>
    <t>库房</t>
    <phoneticPr fontId="134" type="noConversion"/>
  </si>
  <si>
    <t>设备及自行车库</t>
    <phoneticPr fontId="134" type="noConversion"/>
  </si>
  <si>
    <t>建安取值</t>
  </si>
  <si>
    <t>建筑面积</t>
  </si>
  <si>
    <t>单方建安</t>
  </si>
  <si>
    <t>合计</t>
  </si>
  <si>
    <t>工程进度</t>
  </si>
  <si>
    <t>夹层</t>
    <phoneticPr fontId="134" type="noConversion"/>
  </si>
  <si>
    <t>主体</t>
  </si>
  <si>
    <t>地上</t>
  </si>
  <si>
    <t>地下</t>
  </si>
  <si>
    <t>装修</t>
  </si>
  <si>
    <t>设备</t>
  </si>
  <si>
    <t>人防</t>
  </si>
  <si>
    <t>综合平均</t>
  </si>
  <si>
    <t>成新度</t>
  </si>
  <si>
    <t>建成年代</t>
  </si>
  <si>
    <t>砖混</t>
  </si>
  <si>
    <t>钢混</t>
  </si>
  <si>
    <t>残值率</t>
  </si>
  <si>
    <t>直线折旧</t>
  </si>
  <si>
    <t>观察成新</t>
  </si>
  <si>
    <t>是</t>
  </si>
  <si>
    <t>地上研发</t>
    <phoneticPr fontId="3" type="noConversion"/>
  </si>
  <si>
    <t>地下研发</t>
    <phoneticPr fontId="3" type="noConversion"/>
  </si>
  <si>
    <r>
      <t>1516-36</t>
    </r>
    <r>
      <rPr>
        <sz val="20"/>
        <color theme="1"/>
        <rFont val="宋体"/>
        <family val="3"/>
        <charset val="134"/>
      </rPr>
      <t>地块项目房屋租赁情况</t>
    </r>
  </si>
  <si>
    <r>
      <rPr>
        <b/>
        <sz val="10"/>
        <color theme="1"/>
        <rFont val="宋体"/>
        <family val="3"/>
        <charset val="134"/>
      </rPr>
      <t>公司名称</t>
    </r>
  </si>
  <si>
    <r>
      <rPr>
        <b/>
        <sz val="10"/>
        <color theme="1"/>
        <rFont val="宋体"/>
        <family val="3"/>
        <charset val="134"/>
      </rPr>
      <t>期间</t>
    </r>
  </si>
  <si>
    <r>
      <rPr>
        <b/>
        <sz val="10"/>
        <color theme="1"/>
        <rFont val="宋体"/>
        <family val="3"/>
        <charset val="134"/>
      </rPr>
      <t>所属项目</t>
    </r>
  </si>
  <si>
    <r>
      <rPr>
        <b/>
        <sz val="10"/>
        <color theme="1"/>
        <rFont val="宋体"/>
        <family val="3"/>
        <charset val="134"/>
      </rPr>
      <t>位置</t>
    </r>
  </si>
  <si>
    <r>
      <rPr>
        <b/>
        <sz val="10"/>
        <color theme="1"/>
        <rFont val="宋体"/>
        <family val="3"/>
        <charset val="134"/>
      </rPr>
      <t>面积</t>
    </r>
  </si>
  <si>
    <t>租金单价
（含税）</t>
  </si>
  <si>
    <t>合同总额</t>
  </si>
  <si>
    <r>
      <rPr>
        <sz val="10"/>
        <color theme="1"/>
        <rFont val="宋体"/>
        <family val="3"/>
        <charset val="134"/>
      </rPr>
      <t>傲林科技有限公司</t>
    </r>
  </si>
  <si>
    <t>2022.6.13-2027.6.12</t>
  </si>
  <si>
    <r>
      <rPr>
        <sz val="10"/>
        <color theme="1"/>
        <rFont val="Arial"/>
        <family val="2"/>
      </rPr>
      <t>36</t>
    </r>
    <r>
      <rPr>
        <sz val="10"/>
        <color theme="1"/>
        <rFont val="宋体"/>
        <family val="3"/>
        <charset val="134"/>
      </rPr>
      <t>地块</t>
    </r>
  </si>
  <si>
    <r>
      <rPr>
        <sz val="10"/>
        <color theme="1"/>
        <rFont val="Arial"/>
        <family val="2"/>
      </rPr>
      <t>3</t>
    </r>
    <r>
      <rPr>
        <sz val="10"/>
        <color theme="1"/>
        <rFont val="宋体"/>
        <family val="3"/>
        <charset val="134"/>
      </rPr>
      <t>号楼</t>
    </r>
    <r>
      <rPr>
        <sz val="10"/>
        <color theme="1"/>
        <rFont val="Arial"/>
        <family val="2"/>
      </rPr>
      <t>6-9</t>
    </r>
    <r>
      <rPr>
        <sz val="10"/>
        <color theme="1"/>
        <rFont val="宋体"/>
        <family val="3"/>
        <charset val="134"/>
      </rPr>
      <t>层</t>
    </r>
  </si>
  <si>
    <t>3-3.4</t>
  </si>
  <si>
    <r>
      <rPr>
        <sz val="10"/>
        <color theme="1"/>
        <rFont val="宋体"/>
        <family val="3"/>
        <charset val="134"/>
      </rPr>
      <t>航天新长征医疗器械（北京）有限公司</t>
    </r>
  </si>
  <si>
    <t>2022.8.1-2025.7.31</t>
  </si>
  <si>
    <r>
      <rPr>
        <sz val="10"/>
        <color theme="1"/>
        <rFont val="Arial"/>
        <family val="2"/>
      </rPr>
      <t>3</t>
    </r>
    <r>
      <rPr>
        <sz val="10"/>
        <color theme="1"/>
        <rFont val="宋体"/>
        <family val="3"/>
        <charset val="134"/>
      </rPr>
      <t>号楼</t>
    </r>
    <r>
      <rPr>
        <sz val="10"/>
        <color theme="1"/>
        <rFont val="Arial"/>
        <family val="2"/>
      </rPr>
      <t>201</t>
    </r>
  </si>
  <si>
    <t>3.82-4.01</t>
  </si>
  <si>
    <t>2023.3.1-2026.2.28</t>
  </si>
  <si>
    <r>
      <rPr>
        <sz val="10"/>
        <color theme="1"/>
        <rFont val="Arial"/>
        <family val="2"/>
      </rPr>
      <t>3</t>
    </r>
    <r>
      <rPr>
        <sz val="10"/>
        <color theme="1"/>
        <rFont val="宋体"/>
        <family val="3"/>
        <charset val="134"/>
      </rPr>
      <t>号楼</t>
    </r>
    <r>
      <rPr>
        <sz val="10"/>
        <color theme="1"/>
        <rFont val="Arial"/>
        <family val="2"/>
      </rPr>
      <t>501</t>
    </r>
  </si>
  <si>
    <t>2023.2.6-2026.2.5</t>
  </si>
  <si>
    <r>
      <rPr>
        <sz val="10"/>
        <color theme="1"/>
        <rFont val="Arial"/>
        <family val="2"/>
      </rPr>
      <t>3</t>
    </r>
    <r>
      <rPr>
        <sz val="10"/>
        <color theme="1"/>
        <rFont val="宋体"/>
        <family val="3"/>
        <charset val="134"/>
      </rPr>
      <t>号楼</t>
    </r>
    <r>
      <rPr>
        <sz val="10"/>
        <color theme="1"/>
        <rFont val="Arial"/>
        <family val="2"/>
      </rPr>
      <t>B1015</t>
    </r>
    <r>
      <rPr>
        <sz val="10"/>
        <color theme="1"/>
        <rFont val="宋体"/>
        <family val="3"/>
        <charset val="134"/>
      </rPr>
      <t>、</t>
    </r>
    <r>
      <rPr>
        <sz val="10"/>
        <color theme="1"/>
        <rFont val="Arial"/>
        <family val="2"/>
      </rPr>
      <t>B1016</t>
    </r>
    <r>
      <rPr>
        <sz val="10"/>
        <color theme="1"/>
        <rFont val="宋体"/>
        <family val="3"/>
        <charset val="134"/>
      </rPr>
      <t>、</t>
    </r>
    <r>
      <rPr>
        <sz val="10"/>
        <color theme="1"/>
        <rFont val="Arial"/>
        <family val="2"/>
      </rPr>
      <t>B1019</t>
    </r>
  </si>
  <si>
    <t>4.8-5.04</t>
  </si>
  <si>
    <r>
      <rPr>
        <sz val="10"/>
        <color theme="1"/>
        <rFont val="宋体"/>
        <family val="3"/>
        <charset val="134"/>
      </rPr>
      <t>中兵智能创新研究院有限公司</t>
    </r>
  </si>
  <si>
    <t>2023.3.22-2028.3.21</t>
  </si>
  <si>
    <r>
      <rPr>
        <sz val="10"/>
        <color theme="1"/>
        <rFont val="Arial"/>
        <family val="2"/>
      </rPr>
      <t>4</t>
    </r>
    <r>
      <rPr>
        <sz val="10"/>
        <color theme="1"/>
        <rFont val="宋体"/>
        <family val="3"/>
        <charset val="134"/>
      </rPr>
      <t>号楼</t>
    </r>
  </si>
  <si>
    <t>4.2-4.4</t>
  </si>
  <si>
    <r>
      <rPr>
        <sz val="10"/>
        <color theme="1"/>
        <rFont val="宋体"/>
        <family val="3"/>
        <charset val="134"/>
      </rPr>
      <t>中化环境控股有限公司</t>
    </r>
  </si>
  <si>
    <t>2023.1.30-2033.1.29</t>
  </si>
  <si>
    <r>
      <rPr>
        <sz val="10"/>
        <color theme="1"/>
        <rFont val="Arial"/>
        <family val="2"/>
      </rPr>
      <t>2</t>
    </r>
    <r>
      <rPr>
        <sz val="10"/>
        <color theme="1"/>
        <rFont val="宋体"/>
        <family val="3"/>
        <charset val="134"/>
      </rPr>
      <t>号楼</t>
    </r>
  </si>
  <si>
    <t>3.44-5.08</t>
  </si>
  <si>
    <t>2023.8.28-2033.8.27</t>
  </si>
  <si>
    <r>
      <rPr>
        <sz val="10"/>
        <color theme="1"/>
        <rFont val="Arial"/>
        <family val="2"/>
      </rPr>
      <t>2</t>
    </r>
    <r>
      <rPr>
        <sz val="10"/>
        <color theme="1"/>
        <rFont val="宋体"/>
        <family val="3"/>
        <charset val="134"/>
      </rPr>
      <t>号楼</t>
    </r>
    <r>
      <rPr>
        <sz val="10"/>
        <color theme="1"/>
        <rFont val="Arial"/>
        <family val="2"/>
      </rPr>
      <t>B1013</t>
    </r>
  </si>
  <si>
    <t>1.5-1.76</t>
  </si>
  <si>
    <r>
      <rPr>
        <sz val="10"/>
        <color theme="1"/>
        <rFont val="宋体"/>
        <family val="3"/>
        <charset val="134"/>
      </rPr>
      <t>中国星网网络系统研究院有限公司</t>
    </r>
  </si>
  <si>
    <r>
      <rPr>
        <sz val="10"/>
        <color theme="1"/>
        <rFont val="宋体"/>
        <family val="3"/>
        <charset val="134"/>
      </rPr>
      <t>地下仓库租赁合同</t>
    </r>
  </si>
  <si>
    <r>
      <rPr>
        <sz val="10"/>
        <color theme="1"/>
        <rFont val="宋体"/>
        <family val="3"/>
        <charset val="134"/>
      </rPr>
      <t>中国星网网络应用研究院有限公司</t>
    </r>
  </si>
  <si>
    <r>
      <rPr>
        <sz val="10"/>
        <color theme="1"/>
        <rFont val="宋体"/>
        <family val="3"/>
        <charset val="134"/>
      </rPr>
      <t>地下食堂</t>
    </r>
  </si>
  <si>
    <t>2025.3.1-2030.2.28</t>
  </si>
  <si>
    <t>地下仓库租赁合同</t>
  </si>
  <si>
    <t>2.1-2.66</t>
  </si>
  <si>
    <t>中国星网网络应用研究院有限公司</t>
  </si>
  <si>
    <t>6.84-7.12</t>
  </si>
  <si>
    <t>2023.12.15-2033.12.14</t>
  </si>
  <si>
    <r>
      <rPr>
        <sz val="10"/>
        <color theme="1"/>
        <rFont val="Arial"/>
        <family val="2"/>
      </rPr>
      <t>B1004</t>
    </r>
    <r>
      <rPr>
        <sz val="10"/>
        <color theme="1"/>
        <rFont val="宋体"/>
        <family val="3"/>
        <charset val="134"/>
      </rPr>
      <t>、</t>
    </r>
    <r>
      <rPr>
        <sz val="10"/>
        <color theme="1"/>
        <rFont val="Arial"/>
        <family val="2"/>
      </rPr>
      <t>B1005</t>
    </r>
  </si>
  <si>
    <t>北京中宁致远企业管理咨询有限公司</t>
  </si>
  <si>
    <t>2023.8.1-2028.7.31</t>
  </si>
  <si>
    <r>
      <rPr>
        <sz val="10"/>
        <color theme="1"/>
        <rFont val="Arial"/>
        <family val="2"/>
      </rPr>
      <t>2</t>
    </r>
    <r>
      <rPr>
        <sz val="10"/>
        <color theme="1"/>
        <rFont val="宋体"/>
        <family val="3"/>
        <charset val="134"/>
      </rPr>
      <t>号楼</t>
    </r>
    <r>
      <rPr>
        <sz val="10"/>
        <color theme="1"/>
        <rFont val="Arial"/>
        <family val="2"/>
      </rPr>
      <t xml:space="preserve"> 103</t>
    </r>
    <r>
      <rPr>
        <sz val="10"/>
        <color theme="1"/>
        <rFont val="宋体"/>
        <family val="3"/>
        <charset val="134"/>
      </rPr>
      <t>室</t>
    </r>
  </si>
  <si>
    <t>上海三快智送科技有限公司</t>
  </si>
  <si>
    <t>2025.5.1-2027.4.30</t>
  </si>
  <si>
    <t>智能外卖柜</t>
  </si>
  <si>
    <t>地上研发</t>
  </si>
  <si>
    <t>押一</t>
  </si>
  <si>
    <t>非生产用房</t>
  </si>
  <si>
    <t>否</t>
  </si>
  <si>
    <t>宗地容积率</t>
  </si>
  <si>
    <t>不临65条商业街</t>
  </si>
  <si>
    <t>与级别开发程度不一致</t>
  </si>
  <si>
    <t>通路</t>
  </si>
  <si>
    <t>通电</t>
  </si>
  <si>
    <t>通讯</t>
  </si>
  <si>
    <t>通上水</t>
  </si>
  <si>
    <t>通下水</t>
  </si>
  <si>
    <t>燃气</t>
  </si>
  <si>
    <t>平整</t>
  </si>
  <si>
    <t>按公示增长率计算</t>
  </si>
  <si>
    <t>中心城区</t>
  </si>
  <si>
    <t>较好</t>
  </si>
  <si>
    <t>一般</t>
  </si>
  <si>
    <t>未包含在土地购买价格中</t>
  </si>
  <si>
    <t>全部缴纳</t>
  </si>
  <si>
    <t>已包含在土地取得成本中</t>
  </si>
  <si>
    <t>地下研发</t>
  </si>
  <si>
    <t>收益法</t>
  </si>
  <si>
    <t>收益法地下</t>
  </si>
  <si>
    <t>收益法地下</t>
    <phoneticPr fontId="16" type="noConversion"/>
  </si>
  <si>
    <t>成本法</t>
  </si>
  <si>
    <t>现房</t>
  </si>
  <si>
    <t>项目局部</t>
  </si>
  <si>
    <t>项目模式</t>
  </si>
  <si>
    <t>售价</t>
  </si>
  <si>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</si>
  <si>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</si>
  <si>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</si>
  <si>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</si>
  <si>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</si>
  <si>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</si>
  <si>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</si>
  <si>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</si>
  <si>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</si>
  <si>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</si>
  <si>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</si>
  <si>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</si>
  <si>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</si>
  <si>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</si>
  <si>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</si>
  <si>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</si>
  <si>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</si>
  <si>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</si>
  <si>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</si>
  <si>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</si>
  <si>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</si>
  <si>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</si>
  <si>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</si>
  <si>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</si>
  <si>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</si>
  <si>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</si>
  <si>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</si>
  <si>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</si>
  <si>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</si>
  <si>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</si>
  <si>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</si>
  <si>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</si>
  <si>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</si>
  <si>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</si>
  <si>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</si>
  <si>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</si>
  <si>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</si>
  <si>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</si>
  <si>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</si>
  <si>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</si>
  <si>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</si>
  <si>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</si>
  <si>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</si>
  <si>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</si>
  <si>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</si>
  <si>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</si>
  <si>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</si>
  <si>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</si>
  <si>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</si>
  <si>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</si>
  <si>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</si>
  <si>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</si>
  <si>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</si>
  <si>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</si>
  <si>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</si>
  <si>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</si>
  <si>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</si>
  <si>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</si>
  <si>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</si>
  <si>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</si>
  <si>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</si>
  <si>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</si>
  <si>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</si>
  <si>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</si>
  <si>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</si>
  <si>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</si>
  <si>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</si>
  <si>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</si>
  <si>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</si>
  <si>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</si>
  <si>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</si>
  <si>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</si>
  <si>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</si>
  <si>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</si>
  <si>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</si>
  <si>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</si>
  <si>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</si>
  <si>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</si>
  <si>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</si>
  <si>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</si>
  <si>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</si>
  <si>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</si>
  <si>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</si>
  <si>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</si>
  <si>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</si>
  <si>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</si>
  <si>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</si>
  <si>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</si>
  <si>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</si>
  <si>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中高层建筑</t>
  </si>
  <si>
    <t>多层建筑</t>
  </si>
  <si>
    <t>精装修</t>
  </si>
  <si>
    <t>普通装修</t>
  </si>
  <si>
    <t>简单装修</t>
  </si>
  <si>
    <t>毛坯</t>
  </si>
  <si>
    <t>专业</t>
  </si>
  <si>
    <t>普通</t>
  </si>
  <si>
    <t>七通</t>
  </si>
  <si>
    <t>六通</t>
  </si>
  <si>
    <t>五通</t>
  </si>
  <si>
    <t>标准</t>
  </si>
  <si>
    <r>
      <rPr>
        <sz val="11"/>
        <color indexed="8"/>
        <rFont val="Arial"/>
        <family val="2"/>
      </rPr>
      <t>0-10%</t>
    </r>
    <r>
      <rPr>
        <sz val="11"/>
        <color indexed="8"/>
        <rFont val="宋体"/>
        <family val="3"/>
        <charset val="134"/>
      </rPr>
      <t>（含）</t>
    </r>
  </si>
  <si>
    <r>
      <rPr>
        <sz val="11"/>
        <color indexed="8"/>
        <rFont val="Arial"/>
        <family val="2"/>
      </rPr>
      <t>10-20%</t>
    </r>
    <r>
      <rPr>
        <sz val="11"/>
        <color indexed="8"/>
        <rFont val="宋体"/>
        <family val="3"/>
        <charset val="134"/>
      </rPr>
      <t>（含）</t>
    </r>
  </si>
  <si>
    <t>正常</t>
  </si>
  <si>
    <t>研发</t>
  </si>
  <si>
    <t>研发</t>
    <phoneticPr fontId="31" type="noConversion"/>
  </si>
  <si>
    <r>
      <t>30-40</t>
    </r>
    <r>
      <rPr>
        <sz val="11"/>
        <color indexed="8"/>
        <rFont val="宋体"/>
        <family val="3"/>
        <charset val="134"/>
      </rPr>
      <t>（含）</t>
    </r>
    <phoneticPr fontId="31" type="noConversion"/>
  </si>
  <si>
    <r>
      <t>20-30</t>
    </r>
    <r>
      <rPr>
        <sz val="11"/>
        <color indexed="8"/>
        <rFont val="宋体"/>
        <family val="3"/>
        <charset val="134"/>
      </rPr>
      <t>（含）</t>
    </r>
    <phoneticPr fontId="31" type="noConversion"/>
  </si>
  <si>
    <r>
      <t>40-50</t>
    </r>
    <r>
      <rPr>
        <sz val="11"/>
        <color indexed="8"/>
        <rFont val="宋体"/>
        <family val="3"/>
        <charset val="134"/>
      </rPr>
      <t>（含）</t>
    </r>
    <phoneticPr fontId="31" type="noConversion"/>
  </si>
  <si>
    <t>根据建成年代推测土地使用期限</t>
  </si>
  <si>
    <r>
      <rPr>
        <sz val="11"/>
        <color indexed="8"/>
        <rFont val="Arial"/>
        <family val="2"/>
      </rPr>
      <t>2049/1/5</t>
    </r>
    <r>
      <rPr>
        <sz val="11"/>
        <color indexed="8"/>
        <rFont val="宋体"/>
        <family val="3"/>
        <charset val="134"/>
      </rPr>
      <t>，剩余</t>
    </r>
    <r>
      <rPr>
        <sz val="11"/>
        <color indexed="8"/>
        <rFont val="Arial"/>
        <family val="2"/>
      </rPr>
      <t>23.58</t>
    </r>
    <r>
      <rPr>
        <sz val="11"/>
        <color indexed="8"/>
        <rFont val="宋体"/>
        <family val="3"/>
        <charset val="134"/>
      </rPr>
      <t>年</t>
    </r>
  </si>
  <si>
    <t>根据大宗案例信息里的土地使用期限</t>
  </si>
  <si>
    <t>地下占比</t>
    <phoneticPr fontId="31" type="noConversion"/>
  </si>
  <si>
    <t>单价</t>
    <phoneticPr fontId="134" type="noConversion"/>
  </si>
  <si>
    <r>
      <rPr>
        <sz val="20"/>
        <color theme="1"/>
        <rFont val="Arial"/>
        <family val="2"/>
      </rPr>
      <t>1516-36</t>
    </r>
    <r>
      <rPr>
        <sz val="20"/>
        <color theme="1"/>
        <rFont val="宋体"/>
        <family val="3"/>
        <charset val="134"/>
      </rPr>
      <t>地块项目房屋销售台账</t>
    </r>
  </si>
  <si>
    <r>
      <rPr>
        <b/>
        <sz val="10"/>
        <color theme="1"/>
        <rFont val="宋体"/>
        <family val="3"/>
        <charset val="134"/>
      </rPr>
      <t>项目</t>
    </r>
  </si>
  <si>
    <r>
      <rPr>
        <b/>
        <sz val="10"/>
        <color theme="1"/>
        <rFont val="宋体"/>
        <family val="3"/>
        <charset val="134"/>
      </rPr>
      <t>面积（㎡）</t>
    </r>
  </si>
  <si>
    <r>
      <rPr>
        <b/>
        <sz val="10"/>
        <color theme="1"/>
        <rFont val="宋体"/>
        <family val="3"/>
        <charset val="134"/>
      </rPr>
      <t>单价（元）</t>
    </r>
  </si>
  <si>
    <t>购买单位</t>
  </si>
  <si>
    <t>合同签订日期</t>
  </si>
  <si>
    <r>
      <rPr>
        <b/>
        <sz val="10"/>
        <color theme="1"/>
        <rFont val="宋体"/>
        <family val="3"/>
        <charset val="134"/>
      </rPr>
      <t>合同额</t>
    </r>
  </si>
  <si>
    <r>
      <rPr>
        <b/>
        <sz val="10"/>
        <color theme="1"/>
        <rFont val="宋体"/>
        <family val="3"/>
        <charset val="134"/>
      </rPr>
      <t>不含税金额</t>
    </r>
  </si>
  <si>
    <t>截至2023年末
累计收款</t>
  </si>
  <si>
    <t>截至2024年7月末
累计收款</t>
  </si>
  <si>
    <r>
      <rPr>
        <sz val="10"/>
        <color theme="1"/>
        <rFont val="Arial"/>
        <family val="2"/>
      </rPr>
      <t>36-5</t>
    </r>
    <r>
      <rPr>
        <sz val="10"/>
        <color theme="1"/>
        <rFont val="宋体"/>
        <family val="3"/>
        <charset val="134"/>
      </rPr>
      <t>号楼</t>
    </r>
  </si>
  <si>
    <t>中铁高新工业股份有限公司</t>
  </si>
  <si>
    <r>
      <rPr>
        <sz val="10"/>
        <color theme="1"/>
        <rFont val="Arial"/>
        <family val="2"/>
      </rPr>
      <t>36-6</t>
    </r>
    <r>
      <rPr>
        <sz val="10"/>
        <color theme="1"/>
        <rFont val="宋体"/>
        <family val="3"/>
        <charset val="134"/>
      </rPr>
      <t>号楼</t>
    </r>
  </si>
  <si>
    <t>中国星网网络系统研究院有限公司</t>
  </si>
  <si>
    <r>
      <rPr>
        <sz val="10"/>
        <color theme="1"/>
        <rFont val="Arial"/>
        <family val="2"/>
      </rPr>
      <t>36-7</t>
    </r>
    <r>
      <rPr>
        <sz val="10"/>
        <color theme="1"/>
        <rFont val="宋体"/>
        <family val="3"/>
        <charset val="134"/>
      </rPr>
      <t>号楼</t>
    </r>
  </si>
  <si>
    <r>
      <rPr>
        <sz val="10"/>
        <color theme="1"/>
        <rFont val="Arial"/>
        <family val="2"/>
      </rPr>
      <t>36-8</t>
    </r>
    <r>
      <rPr>
        <sz val="10"/>
        <color theme="1"/>
        <rFont val="宋体"/>
        <family val="3"/>
        <charset val="134"/>
      </rPr>
      <t>号楼</t>
    </r>
  </si>
  <si>
    <r>
      <rPr>
        <sz val="10"/>
        <color theme="1"/>
        <rFont val="Arial"/>
        <family val="2"/>
      </rPr>
      <t>36-9</t>
    </r>
    <r>
      <rPr>
        <sz val="10"/>
        <color theme="1"/>
        <rFont val="宋体"/>
        <family val="3"/>
        <charset val="134"/>
      </rPr>
      <t>号楼</t>
    </r>
  </si>
  <si>
    <t>北京丰台科技园投资控股有限公司</t>
  </si>
  <si>
    <t>地上</t>
    <phoneticPr fontId="134" type="noConversion"/>
  </si>
  <si>
    <t>地下</t>
    <phoneticPr fontId="134" type="noConversion"/>
  </si>
  <si>
    <t>价值时点</t>
    <phoneticPr fontId="134" type="noConversion"/>
  </si>
  <si>
    <t>剩余租赁期</t>
  </si>
  <si>
    <t>平均日租金</t>
  </si>
  <si>
    <t>收益期内总收益</t>
  </si>
  <si>
    <t>估价对象总面积</t>
  </si>
  <si>
    <t>市调租金</t>
  </si>
  <si>
    <t>市调增长率</t>
  </si>
  <si>
    <t>租期结束后日租金</t>
  </si>
  <si>
    <t>2025.3.1-2030.2.28</t>
    <phoneticPr fontId="134" type="noConversion"/>
  </si>
  <si>
    <r>
      <t>120</t>
    </r>
    <r>
      <rPr>
        <sz val="10"/>
        <color theme="1"/>
        <rFont val="宋体"/>
        <family val="3"/>
        <charset val="134"/>
      </rPr>
      <t>个月（</t>
    </r>
    <r>
      <rPr>
        <sz val="10"/>
        <color theme="1"/>
        <rFont val="Arial"/>
        <family val="2"/>
      </rPr>
      <t>2035.2.28</t>
    </r>
    <r>
      <rPr>
        <sz val="10"/>
        <color theme="1"/>
        <rFont val="宋体"/>
        <family val="3"/>
        <charset val="134"/>
      </rPr>
      <t>）</t>
    </r>
    <phoneticPr fontId="134" type="noConversion"/>
  </si>
  <si>
    <r>
      <t>120</t>
    </r>
    <r>
      <rPr>
        <sz val="10"/>
        <color theme="1"/>
        <rFont val="宋体"/>
        <family val="3"/>
        <charset val="134"/>
      </rPr>
      <t>个月</t>
    </r>
    <r>
      <rPr>
        <sz val="10"/>
        <color rgb="FFFF0000"/>
        <rFont val="宋体"/>
        <family val="3"/>
        <charset val="134"/>
      </rPr>
      <t>（</t>
    </r>
    <r>
      <rPr>
        <sz val="10"/>
        <color rgb="FFFF0000"/>
        <rFont val="Arial"/>
        <family val="2"/>
      </rPr>
      <t>2035.2.28</t>
    </r>
    <r>
      <rPr>
        <sz val="10"/>
        <color rgb="FFFF0000"/>
        <rFont val="宋体"/>
        <family val="3"/>
        <charset val="134"/>
      </rPr>
      <t>）</t>
    </r>
    <phoneticPr fontId="134" type="noConversion"/>
  </si>
  <si>
    <t>3年后</t>
    <phoneticPr fontId="134" type="noConversion"/>
  </si>
  <si>
    <t>10年后</t>
    <phoneticPr fontId="134" type="noConversion"/>
  </si>
  <si>
    <t>比较法-办公</t>
  </si>
  <si>
    <t>总价</t>
  </si>
  <si>
    <t>成本比率</t>
  </si>
  <si>
    <t>收益比率</t>
  </si>
  <si>
    <t>建筑面积</t>
    <phoneticPr fontId="134" type="noConversion"/>
  </si>
  <si>
    <t>已出租面积</t>
    <phoneticPr fontId="134" type="noConversion"/>
  </si>
  <si>
    <t>占比</t>
    <phoneticPr fontId="134" type="noConversion"/>
  </si>
  <si>
    <t>建成年代</t>
    <phoneticPr fontId="31" type="noConversion"/>
  </si>
  <si>
    <r>
      <rPr>
        <sz val="11"/>
        <color indexed="8"/>
        <rFont val="宋体"/>
        <family val="3"/>
        <charset val="134"/>
      </rPr>
      <t>根据中指，</t>
    </r>
    <r>
      <rPr>
        <sz val="11"/>
        <color indexed="8"/>
        <rFont val="Arial"/>
        <family val="2"/>
      </rPr>
      <t>2018</t>
    </r>
    <r>
      <rPr>
        <sz val="11"/>
        <color indexed="8"/>
        <rFont val="宋体"/>
        <family val="3"/>
        <charset val="134"/>
      </rPr>
      <t>年拿地</t>
    </r>
    <phoneticPr fontId="31" type="noConversion"/>
  </si>
  <si>
    <t>土地剩余年期</t>
    <phoneticPr fontId="31" type="noConversion"/>
  </si>
  <si>
    <t>甲级</t>
    <phoneticPr fontId="31" type="noConversion"/>
  </si>
  <si>
    <t>其余未出租面积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</si>
</sst>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华文细黑"/>
      <family val="3"/>
      <charset val="134"/>
    </font>
    <font>
      <sz val="20"/>
      <color theme="1"/>
      <name val="Arial"/>
      <family val="2"/>
    </font>
    <font>
      <sz val="20"/>
      <color theme="1"/>
      <name val="宋体"/>
      <family val="3"/>
      <charset val="134"/>
    </font>
    <font>
      <sz val="11"/>
      <color rgb="FF000000"/>
      <name val="宋体"/>
      <family val="3"/>
      <charset val="134"/>
      <scheme val="minor"/>
    </font>
    <font>
      <sz val="12"/>
      <name val="宋体"/>
      <family val="3"/>
      <charset val="134"/>
      <scheme val="minor"/>
    </font>
    <font>
      <sz val="11"/>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lignment vertical="center"/>
    </xf>
    <xf numFmtId="49" fontId="271" fillId="0" borderId="1" xfId="10" applyNumberFormat="1" applyFont="1" applyBorder="1" applyAlignment="1">
      <alignment horizontal="lef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9" fontId="47" fillId="12" borderId="0" xfId="10" applyNumberFormat="1" applyFont="1" applyFill="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0" fontId="102" fillId="0" borderId="1" xfId="10" applyFont="1" applyBorder="1" applyAlignment="1">
      <alignment horizontal="center" vertical="center"/>
    </xf>
    <xf numFmtId="0" fontId="99" fillId="0" borderId="1" xfId="10" applyFont="1" applyBorder="1" applyAlignment="1">
      <alignment horizontal="center"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12" xfId="0" applyFont="1" applyBorder="1" applyAlignment="1" applyProtection="1">
      <alignment horizontal="center" vertical="center" wrapText="1"/>
      <protection locked="0"/>
    </xf>
    <xf numFmtId="14" fontId="44" fillId="0" borderId="41" xfId="0" applyNumberFormat="1"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02" fillId="0" borderId="1" xfId="10" applyFont="1" applyBorder="1" applyAlignment="1">
      <alignment horizontal="center" vertical="center" wrapText="1"/>
    </xf>
    <xf numFmtId="0" fontId="95" fillId="0" borderId="0" xfId="10" applyAlignment="1">
      <alignment horizontal="left" vertical="center"/>
    </xf>
    <xf numFmtId="2" fontId="95" fillId="0" borderId="0" xfId="10" applyNumberFormat="1" applyAlignment="1">
      <alignment horizontal="left" vertical="center"/>
    </xf>
    <xf numFmtId="0" fontId="271" fillId="0" borderId="1" xfId="10" applyFont="1" applyBorder="1" applyAlignment="1">
      <alignment horizontal="left" vertical="center"/>
    </xf>
    <xf numFmtId="0" fontId="271" fillId="0" borderId="0" xfId="10" applyFont="1" applyAlignment="1">
      <alignment horizontal="left" vertical="center"/>
    </xf>
    <xf numFmtId="0" fontId="271" fillId="22" borderId="1" xfId="10" applyFont="1" applyFill="1" applyBorder="1" applyAlignment="1">
      <alignment horizontal="left" vertical="center"/>
    </xf>
    <xf numFmtId="196" fontId="95" fillId="0" borderId="0" xfId="10" applyNumberFormat="1" applyAlignment="1">
      <alignment horizontal="left" vertical="center"/>
    </xf>
    <xf numFmtId="0" fontId="47" fillId="12" borderId="0" xfId="10"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272" fillId="0" borderId="0" xfId="10" applyFont="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3" fontId="95" fillId="23" borderId="0" xfId="10" applyNumberFormat="1" applyFill="1" applyAlignment="1">
      <alignment horizontal="left" vertical="center"/>
    </xf>
    <xf numFmtId="43" fontId="95" fillId="14" borderId="0" xfId="10" applyNumberFormat="1" applyFill="1" applyAlignment="1">
      <alignment horizontal="left" vertical="center"/>
    </xf>
    <xf numFmtId="43" fontId="99" fillId="23" borderId="1" xfId="10" applyNumberFormat="1" applyFont="1" applyFill="1" applyBorder="1" applyAlignment="1">
      <alignment horizontal="left" vertical="center"/>
    </xf>
    <xf numFmtId="0" fontId="99" fillId="0" borderId="0" xfId="10" applyFont="1">
      <alignment vertical="center"/>
    </xf>
    <xf numFmtId="43" fontId="102" fillId="0" borderId="1" xfId="20" applyFont="1" applyBorder="1" applyAlignment="1">
      <alignment horizontal="center" vertical="center" wrapText="1"/>
    </xf>
    <xf numFmtId="0" fontId="136" fillId="0" borderId="1" xfId="10" applyFont="1" applyBorder="1" applyAlignment="1">
      <alignment horizontal="center" vertical="center" wrapText="1"/>
    </xf>
    <xf numFmtId="43" fontId="136" fillId="0" borderId="1" xfId="20" applyFont="1" applyBorder="1" applyAlignment="1">
      <alignment horizontal="center" vertical="center" wrapText="1"/>
    </xf>
    <xf numFmtId="43" fontId="99" fillId="0" borderId="1" xfId="20" applyFont="1" applyBorder="1">
      <alignment vertical="center"/>
    </xf>
    <xf numFmtId="0" fontId="122" fillId="0" borderId="1" xfId="10" applyFont="1" applyBorder="1" applyAlignment="1">
      <alignment horizontal="center" vertical="center" wrapText="1"/>
    </xf>
    <xf numFmtId="31" fontId="122" fillId="0" borderId="1" xfId="10" applyNumberFormat="1" applyFont="1" applyBorder="1" applyAlignment="1">
      <alignment horizontal="center" vertical="center" wrapText="1"/>
    </xf>
    <xf numFmtId="0" fontId="136" fillId="0" borderId="1" xfId="10" applyFont="1" applyBorder="1" applyAlignment="1">
      <alignment horizontal="center" vertical="center"/>
    </xf>
    <xf numFmtId="43" fontId="102" fillId="0" borderId="1" xfId="20" applyFont="1" applyBorder="1">
      <alignment vertical="center"/>
    </xf>
    <xf numFmtId="0" fontId="102" fillId="0" borderId="0" xfId="10" applyFont="1">
      <alignment vertical="center"/>
    </xf>
    <xf numFmtId="14" fontId="107" fillId="0" borderId="1" xfId="0" applyNumberFormat="1" applyFont="1" applyBorder="1" applyAlignment="1">
      <alignment horizontal="left" vertical="center"/>
    </xf>
    <xf numFmtId="0" fontId="107" fillId="0" borderId="0" xfId="10" applyFont="1" applyAlignment="1">
      <alignment horizontal="left" vertical="center"/>
    </xf>
    <xf numFmtId="14" fontId="107" fillId="0" borderId="0" xfId="10" applyNumberFormat="1" applyFont="1" applyAlignment="1">
      <alignment horizontal="left" vertical="center"/>
    </xf>
    <xf numFmtId="0" fontId="107" fillId="0" borderId="0" xfId="10" applyNumberFormat="1" applyFont="1" applyAlignment="1">
      <alignment horizontal="left" vertical="center"/>
    </xf>
    <xf numFmtId="0" fontId="19" fillId="7" borderId="1" xfId="4" applyFont="1" applyFill="1" applyBorder="1" applyAlignment="1">
      <alignment horizontal="left" vertical="center"/>
    </xf>
    <xf numFmtId="0" fontId="19" fillId="0" borderId="1" xfId="4" applyFont="1" applyBorder="1" applyAlignment="1">
      <alignment horizontal="left" vertical="center"/>
    </xf>
    <xf numFmtId="9" fontId="19" fillId="0" borderId="1" xfId="4" applyNumberFormat="1" applyFont="1" applyBorder="1" applyAlignment="1">
      <alignment horizontal="left" vertical="center"/>
    </xf>
    <xf numFmtId="0" fontId="275" fillId="0" borderId="1" xfId="12" applyFont="1" applyBorder="1" applyAlignment="1" applyProtection="1">
      <alignment horizontal="left"/>
      <protection locked="0"/>
    </xf>
    <xf numFmtId="0" fontId="275" fillId="0" borderId="13" xfId="12" applyFont="1" applyBorder="1" applyAlignment="1" applyProtection="1">
      <alignment horizontal="left" vertical="center" wrapText="1"/>
      <protection locked="0"/>
    </xf>
    <xf numFmtId="0" fontId="272" fillId="0" borderId="0" xfId="10" applyFont="1" applyAlignment="1">
      <alignment horizontal="left" vertical="center"/>
    </xf>
    <xf numFmtId="0" fontId="102" fillId="0" borderId="1" xfId="10" applyFont="1" applyBorder="1" applyAlignment="1">
      <alignment horizontal="left" vertical="center"/>
    </xf>
    <xf numFmtId="0" fontId="102" fillId="0" borderId="1" xfId="10" applyFont="1" applyBorder="1" applyAlignment="1">
      <alignment horizontal="left" vertical="center" wrapText="1"/>
    </xf>
    <xf numFmtId="43" fontId="102" fillId="0" borderId="1" xfId="10" applyNumberFormat="1" applyFont="1" applyBorder="1" applyAlignment="1">
      <alignment horizontal="left" vertical="center"/>
    </xf>
    <xf numFmtId="43" fontId="136" fillId="0" borderId="1" xfId="10" applyNumberFormat="1" applyFont="1" applyBorder="1" applyAlignment="1">
      <alignment horizontal="left" vertical="center" wrapText="1"/>
    </xf>
    <xf numFmtId="43" fontId="102" fillId="0" borderId="1" xfId="10" applyNumberFormat="1" applyFont="1" applyBorder="1" applyAlignment="1">
      <alignment horizontal="left" vertical="center" wrapText="1"/>
    </xf>
    <xf numFmtId="0" fontId="99" fillId="23" borderId="1" xfId="10" applyFont="1" applyFill="1" applyBorder="1" applyAlignment="1">
      <alignment horizontal="left" vertical="center"/>
    </xf>
    <xf numFmtId="0" fontId="99" fillId="23" borderId="1" xfId="10" applyFont="1" applyFill="1" applyBorder="1" applyAlignment="1">
      <alignment horizontal="left" vertical="center" wrapText="1"/>
    </xf>
    <xf numFmtId="0" fontId="122" fillId="23" borderId="1" xfId="10" applyFont="1" applyFill="1" applyBorder="1" applyAlignment="1">
      <alignment horizontal="left" vertical="center"/>
    </xf>
    <xf numFmtId="0" fontId="99" fillId="14" borderId="1" xfId="10" applyFont="1" applyFill="1" applyBorder="1" applyAlignment="1">
      <alignment horizontal="left" vertical="center"/>
    </xf>
    <xf numFmtId="43" fontId="99" fillId="14" borderId="1" xfId="10" applyNumberFormat="1" applyFont="1" applyFill="1" applyBorder="1" applyAlignment="1">
      <alignment horizontal="left" vertical="center"/>
    </xf>
    <xf numFmtId="0" fontId="99" fillId="14" borderId="13" xfId="10" applyFont="1" applyFill="1" applyBorder="1" applyAlignment="1">
      <alignment horizontal="left" vertical="center"/>
    </xf>
    <xf numFmtId="0" fontId="122" fillId="14" borderId="1" xfId="10" applyFont="1" applyFill="1" applyBorder="1" applyAlignment="1">
      <alignment horizontal="left" vertical="center"/>
    </xf>
    <xf numFmtId="0" fontId="99" fillId="14" borderId="2" xfId="10" applyFont="1" applyFill="1" applyBorder="1" applyAlignment="1">
      <alignment horizontal="left" vertical="center"/>
    </xf>
    <xf numFmtId="0" fontId="107" fillId="0" borderId="1" xfId="10" applyFont="1" applyBorder="1" applyAlignment="1">
      <alignment horizontal="left" vertical="center"/>
    </xf>
    <xf numFmtId="0" fontId="128" fillId="0" borderId="46" xfId="0" applyFont="1" applyBorder="1" applyAlignment="1" applyProtection="1">
      <alignment horizontal="center" vertical="center" wrapText="1"/>
      <protection locked="0"/>
    </xf>
    <xf numFmtId="0" fontId="276" fillId="0" borderId="41" xfId="0" applyFont="1" applyBorder="1" applyAlignment="1" applyProtection="1">
      <alignment horizontal="center" vertical="center" wrapText="1"/>
      <protection locked="0"/>
    </xf>
    <xf numFmtId="0" fontId="19" fillId="0" borderId="1" xfId="10" applyFont="1" applyBorder="1" applyAlignment="1">
      <alignment horizontal="left" vertical="center" wrapText="1"/>
    </xf>
    <xf numFmtId="176" fontId="19" fillId="0" borderId="1" xfId="10" applyNumberFormat="1" applyFont="1" applyBorder="1" applyAlignment="1">
      <alignment horizontal="left" vertical="center" wrapText="1"/>
    </xf>
    <xf numFmtId="183" fontId="19" fillId="0" borderId="1" xfId="10" applyNumberFormat="1" applyFont="1" applyBorder="1" applyAlignment="1">
      <alignment horizontal="left" vertical="center" wrapText="1"/>
    </xf>
    <xf numFmtId="1" fontId="19" fillId="0" borderId="1" xfId="10" applyNumberFormat="1" applyFont="1" applyBorder="1" applyAlignment="1">
      <alignment horizontal="left" vertical="center" wrapText="1"/>
    </xf>
    <xf numFmtId="189" fontId="19" fillId="0" borderId="13" xfId="10" applyNumberFormat="1" applyFont="1" applyBorder="1" applyAlignment="1">
      <alignment horizontal="left" vertical="center" wrapText="1"/>
    </xf>
    <xf numFmtId="9" fontId="19" fillId="0" borderId="1" xfId="19" applyFont="1" applyFill="1" applyBorder="1" applyAlignment="1">
      <alignment horizontal="left" vertical="center" wrapText="1"/>
    </xf>
    <xf numFmtId="0" fontId="95" fillId="0" borderId="0" xfId="10" applyAlignment="1">
      <alignment horizontal="left" vertical="center" wrapText="1"/>
    </xf>
    <xf numFmtId="0" fontId="19" fillId="0" borderId="1" xfId="10" applyFont="1" applyBorder="1" applyAlignment="1">
      <alignment horizontal="left" vertical="center"/>
    </xf>
    <xf numFmtId="176" fontId="19" fillId="0" borderId="1" xfId="10" applyNumberFormat="1" applyFont="1" applyBorder="1" applyAlignment="1">
      <alignment horizontal="left" vertical="center"/>
    </xf>
    <xf numFmtId="1" fontId="19" fillId="0" borderId="1" xfId="10" applyNumberFormat="1" applyFont="1" applyBorder="1" applyAlignment="1">
      <alignment horizontal="left" vertical="center"/>
    </xf>
    <xf numFmtId="189" fontId="19" fillId="0" borderId="1" xfId="10" applyNumberFormat="1" applyFont="1" applyBorder="1" applyAlignment="1">
      <alignment horizontal="left" vertical="center"/>
    </xf>
    <xf numFmtId="9" fontId="19" fillId="0" borderId="1" xfId="19" applyFont="1" applyFill="1" applyBorder="1" applyAlignment="1">
      <alignment horizontal="left" vertical="center"/>
    </xf>
    <xf numFmtId="0" fontId="19" fillId="7" borderId="1" xfId="10" applyFont="1" applyFill="1" applyBorder="1" applyAlignment="1">
      <alignment horizontal="left" vertical="center" wrapText="1"/>
    </xf>
    <xf numFmtId="1" fontId="19" fillId="7" borderId="1" xfId="10" applyNumberFormat="1" applyFont="1" applyFill="1" applyBorder="1" applyAlignment="1">
      <alignment horizontal="left" vertical="center"/>
    </xf>
    <xf numFmtId="183" fontId="19" fillId="0" borderId="1" xfId="10" applyNumberFormat="1" applyFont="1" applyBorder="1" applyAlignment="1">
      <alignment horizontal="left" vertical="center"/>
    </xf>
    <xf numFmtId="9" fontId="19" fillId="0" borderId="1" xfId="19" applyFont="1" applyBorder="1" applyAlignment="1">
      <alignment horizontal="left" vertical="center"/>
    </xf>
    <xf numFmtId="0" fontId="19" fillId="0" borderId="15" xfId="10" applyFont="1" applyBorder="1" applyAlignment="1">
      <alignment horizontal="left" vertical="center" wrapText="1"/>
    </xf>
    <xf numFmtId="14" fontId="95" fillId="0" borderId="0" xfId="10" applyNumberFormat="1" applyAlignment="1">
      <alignment horizontal="left" vertical="center"/>
    </xf>
    <xf numFmtId="179" fontId="95" fillId="0" borderId="0" xfId="10" applyNumberFormat="1" applyAlignment="1">
      <alignment horizontal="left" vertical="center" wrapText="1"/>
    </xf>
    <xf numFmtId="0" fontId="99" fillId="14" borderId="0" xfId="10" applyFont="1" applyFill="1" applyBorder="1" applyAlignment="1">
      <alignment horizontal="left" vertical="center"/>
    </xf>
    <xf numFmtId="0" fontId="122" fillId="14" borderId="0" xfId="10" applyFont="1" applyFill="1" applyBorder="1" applyAlignment="1">
      <alignment horizontal="left" vertical="center"/>
    </xf>
    <xf numFmtId="43" fontId="99" fillId="14" borderId="0" xfId="10" applyNumberFormat="1" applyFont="1" applyFill="1" applyBorder="1" applyAlignment="1">
      <alignment horizontal="left" vertical="center"/>
    </xf>
  </cellXfs>
  <cellStyles count="21">
    <cellStyle name="百分比" xfId="17" builtinId="5"/>
    <cellStyle name="百分比 2" xfId="14" xr:uid="{00000000-0005-0000-0000-000001000000}"/>
    <cellStyle name="百分比 3" xfId="19" xr:uid="{63EC8E98-11CC-49FE-A246-438ED31792D3}"/>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0" xr:uid="{A4201551-F067-4B98-A0AB-3292CE6B0203}"/>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28575</xdr:colOff>
      <xdr:row>41</xdr:row>
      <xdr:rowOff>16206</xdr:rowOff>
    </xdr:to>
    <xdr:pic>
      <xdr:nvPicPr>
        <xdr:cNvPr id="2" name="图片 1">
          <a:extLst>
            <a:ext uri="{FF2B5EF4-FFF2-40B4-BE49-F238E27FC236}">
              <a16:creationId xmlns:a16="http://schemas.microsoft.com/office/drawing/2014/main" id="{6DD83FEA-329D-4BCB-BB91-405E8EBD8427}"/>
            </a:ext>
          </a:extLst>
        </xdr:cNvPr>
        <xdr:cNvPicPr>
          <a:picLocks noChangeAspect="1"/>
        </xdr:cNvPicPr>
      </xdr:nvPicPr>
      <xdr:blipFill>
        <a:blip xmlns:r="http://schemas.openxmlformats.org/officeDocument/2006/relationships" r:embed="rId1"/>
        <a:stretch>
          <a:fillRect/>
        </a:stretch>
      </xdr:blipFill>
      <xdr:spPr>
        <a:xfrm>
          <a:off x="1" y="0"/>
          <a:ext cx="9629774" cy="7045656"/>
        </a:xfrm>
        <a:prstGeom prst="rect">
          <a:avLst/>
        </a:prstGeom>
      </xdr:spPr>
    </xdr:pic>
    <xdr:clientData/>
  </xdr:twoCellAnchor>
  <xdr:twoCellAnchor editAs="oneCell">
    <xdr:from>
      <xdr:col>0</xdr:col>
      <xdr:colOff>0</xdr:colOff>
      <xdr:row>40</xdr:row>
      <xdr:rowOff>133350</xdr:rowOff>
    </xdr:from>
    <xdr:to>
      <xdr:col>14</xdr:col>
      <xdr:colOff>9525</xdr:colOff>
      <xdr:row>77</xdr:row>
      <xdr:rowOff>54410</xdr:rowOff>
    </xdr:to>
    <xdr:pic>
      <xdr:nvPicPr>
        <xdr:cNvPr id="3" name="图片 2">
          <a:extLst>
            <a:ext uri="{FF2B5EF4-FFF2-40B4-BE49-F238E27FC236}">
              <a16:creationId xmlns:a16="http://schemas.microsoft.com/office/drawing/2014/main" id="{FF4EDC89-2FF8-4B23-8CFF-F53CB1797D47}"/>
            </a:ext>
          </a:extLst>
        </xdr:cNvPr>
        <xdr:cNvPicPr>
          <a:picLocks noChangeAspect="1"/>
        </xdr:cNvPicPr>
      </xdr:nvPicPr>
      <xdr:blipFill>
        <a:blip xmlns:r="http://schemas.openxmlformats.org/officeDocument/2006/relationships" r:embed="rId2"/>
        <a:stretch>
          <a:fillRect/>
        </a:stretch>
      </xdr:blipFill>
      <xdr:spPr>
        <a:xfrm>
          <a:off x="0" y="6991350"/>
          <a:ext cx="9610725" cy="6264710"/>
        </a:xfrm>
        <a:prstGeom prst="rect">
          <a:avLst/>
        </a:prstGeom>
      </xdr:spPr>
    </xdr:pic>
    <xdr:clientData/>
  </xdr:twoCellAnchor>
  <xdr:twoCellAnchor editAs="oneCell">
    <xdr:from>
      <xdr:col>0</xdr:col>
      <xdr:colOff>0</xdr:colOff>
      <xdr:row>77</xdr:row>
      <xdr:rowOff>95250</xdr:rowOff>
    </xdr:from>
    <xdr:to>
      <xdr:col>17</xdr:col>
      <xdr:colOff>19049</xdr:colOff>
      <xdr:row>89</xdr:row>
      <xdr:rowOff>64501</xdr:rowOff>
    </xdr:to>
    <xdr:pic>
      <xdr:nvPicPr>
        <xdr:cNvPr id="4" name="图片 3">
          <a:extLst>
            <a:ext uri="{FF2B5EF4-FFF2-40B4-BE49-F238E27FC236}">
              <a16:creationId xmlns:a16="http://schemas.microsoft.com/office/drawing/2014/main" id="{2148DB73-E140-4198-8125-F7187C5DF209}"/>
            </a:ext>
          </a:extLst>
        </xdr:cNvPr>
        <xdr:cNvPicPr>
          <a:picLocks noChangeAspect="1"/>
        </xdr:cNvPicPr>
      </xdr:nvPicPr>
      <xdr:blipFill>
        <a:blip xmlns:r="http://schemas.openxmlformats.org/officeDocument/2006/relationships" r:embed="rId3"/>
        <a:stretch>
          <a:fillRect/>
        </a:stretch>
      </xdr:blipFill>
      <xdr:spPr>
        <a:xfrm>
          <a:off x="0" y="13296900"/>
          <a:ext cx="11677649" cy="20266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653855</xdr:colOff>
      <xdr:row>22</xdr:row>
      <xdr:rowOff>38101</xdr:rowOff>
    </xdr:to>
    <xdr:pic>
      <xdr:nvPicPr>
        <xdr:cNvPr id="2" name="图片 1">
          <a:extLst>
            <a:ext uri="{FF2B5EF4-FFF2-40B4-BE49-F238E27FC236}">
              <a16:creationId xmlns:a16="http://schemas.microsoft.com/office/drawing/2014/main" id="{8475630D-FE45-D625-17D9-9A8AAE7B8C49}"/>
            </a:ext>
          </a:extLst>
        </xdr:cNvPr>
        <xdr:cNvPicPr>
          <a:picLocks noChangeAspect="1"/>
        </xdr:cNvPicPr>
      </xdr:nvPicPr>
      <xdr:blipFill>
        <a:blip xmlns:r="http://schemas.openxmlformats.org/officeDocument/2006/relationships" r:embed="rId1"/>
        <a:stretch>
          <a:fillRect/>
        </a:stretch>
      </xdr:blipFill>
      <xdr:spPr>
        <a:xfrm>
          <a:off x="0" y="1"/>
          <a:ext cx="3397055" cy="3810000"/>
        </a:xfrm>
        <a:prstGeom prst="rect">
          <a:avLst/>
        </a:prstGeom>
      </xdr:spPr>
    </xdr:pic>
    <xdr:clientData/>
  </xdr:twoCellAnchor>
  <xdr:twoCellAnchor editAs="oneCell">
    <xdr:from>
      <xdr:col>4</xdr:col>
      <xdr:colOff>638175</xdr:colOff>
      <xdr:row>0</xdr:row>
      <xdr:rowOff>0</xdr:rowOff>
    </xdr:from>
    <xdr:to>
      <xdr:col>9</xdr:col>
      <xdr:colOff>473776</xdr:colOff>
      <xdr:row>23</xdr:row>
      <xdr:rowOff>84809</xdr:rowOff>
    </xdr:to>
    <xdr:pic>
      <xdr:nvPicPr>
        <xdr:cNvPr id="3" name="图片 2">
          <a:extLst>
            <a:ext uri="{FF2B5EF4-FFF2-40B4-BE49-F238E27FC236}">
              <a16:creationId xmlns:a16="http://schemas.microsoft.com/office/drawing/2014/main" id="{9B8CC1B3-4788-6191-0F8A-93C01791DE88}"/>
            </a:ext>
          </a:extLst>
        </xdr:cNvPr>
        <xdr:cNvPicPr>
          <a:picLocks noChangeAspect="1"/>
        </xdr:cNvPicPr>
      </xdr:nvPicPr>
      <xdr:blipFill>
        <a:blip xmlns:r="http://schemas.openxmlformats.org/officeDocument/2006/relationships" r:embed="rId2"/>
        <a:stretch>
          <a:fillRect/>
        </a:stretch>
      </xdr:blipFill>
      <xdr:spPr>
        <a:xfrm>
          <a:off x="3381375" y="0"/>
          <a:ext cx="3264601" cy="4028159"/>
        </a:xfrm>
        <a:prstGeom prst="rect">
          <a:avLst/>
        </a:prstGeom>
      </xdr:spPr>
    </xdr:pic>
    <xdr:clientData/>
  </xdr:twoCellAnchor>
  <xdr:twoCellAnchor editAs="oneCell">
    <xdr:from>
      <xdr:col>9</xdr:col>
      <xdr:colOff>438150</xdr:colOff>
      <xdr:row>0</xdr:row>
      <xdr:rowOff>0</xdr:rowOff>
    </xdr:from>
    <xdr:to>
      <xdr:col>14</xdr:col>
      <xdr:colOff>328291</xdr:colOff>
      <xdr:row>22</xdr:row>
      <xdr:rowOff>147179</xdr:rowOff>
    </xdr:to>
    <xdr:pic>
      <xdr:nvPicPr>
        <xdr:cNvPr id="4" name="图片 3">
          <a:extLst>
            <a:ext uri="{FF2B5EF4-FFF2-40B4-BE49-F238E27FC236}">
              <a16:creationId xmlns:a16="http://schemas.microsoft.com/office/drawing/2014/main" id="{9F04836D-0F56-5E19-34C2-060680FB73EB}"/>
            </a:ext>
          </a:extLst>
        </xdr:cNvPr>
        <xdr:cNvPicPr>
          <a:picLocks noChangeAspect="1"/>
        </xdr:cNvPicPr>
      </xdr:nvPicPr>
      <xdr:blipFill>
        <a:blip xmlns:r="http://schemas.openxmlformats.org/officeDocument/2006/relationships" r:embed="rId3"/>
        <a:stretch>
          <a:fillRect/>
        </a:stretch>
      </xdr:blipFill>
      <xdr:spPr>
        <a:xfrm>
          <a:off x="6610350" y="0"/>
          <a:ext cx="3319141" cy="3919079"/>
        </a:xfrm>
        <a:prstGeom prst="rect">
          <a:avLst/>
        </a:prstGeom>
      </xdr:spPr>
    </xdr:pic>
    <xdr:clientData/>
  </xdr:twoCellAnchor>
  <xdr:twoCellAnchor editAs="oneCell">
    <xdr:from>
      <xdr:col>0</xdr:col>
      <xdr:colOff>0</xdr:colOff>
      <xdr:row>22</xdr:row>
      <xdr:rowOff>152400</xdr:rowOff>
    </xdr:from>
    <xdr:to>
      <xdr:col>11</xdr:col>
      <xdr:colOff>647700</xdr:colOff>
      <xdr:row>47</xdr:row>
      <xdr:rowOff>6551</xdr:rowOff>
    </xdr:to>
    <xdr:pic>
      <xdr:nvPicPr>
        <xdr:cNvPr id="5" name="图片 4">
          <a:extLst>
            <a:ext uri="{FF2B5EF4-FFF2-40B4-BE49-F238E27FC236}">
              <a16:creationId xmlns:a16="http://schemas.microsoft.com/office/drawing/2014/main" id="{6D830486-31AF-082B-CE4C-02C6B21E1AD1}"/>
            </a:ext>
          </a:extLst>
        </xdr:cNvPr>
        <xdr:cNvPicPr>
          <a:picLocks noChangeAspect="1"/>
        </xdr:cNvPicPr>
      </xdr:nvPicPr>
      <xdr:blipFill>
        <a:blip xmlns:r="http://schemas.openxmlformats.org/officeDocument/2006/relationships" r:embed="rId4"/>
        <a:stretch>
          <a:fillRect/>
        </a:stretch>
      </xdr:blipFill>
      <xdr:spPr>
        <a:xfrm>
          <a:off x="0" y="3924300"/>
          <a:ext cx="8191500" cy="41404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strator\Desktop\&#21103;&#26412;2025-1-0469-F01&#26395;&#20140;&#19996;&#36335;4&#21495;&#38498;&#27979;&#31639;&#34920;-&#20215;&#20540;&#26102;&#28857;9.1-&#20108;&#23457;&#23828;&#38196;.xlsx" TargetMode="External"/><Relationship Id="rId1" Type="http://schemas.openxmlformats.org/officeDocument/2006/relationships/externalLinkPath" Target="&#21103;&#26412;2025-1-0469-F01&#26395;&#20140;&#19996;&#36335;4&#21495;&#38498;&#27979;&#31639;&#34920;-&#20215;&#20540;&#26102;&#28857;9.1-&#20108;&#23457;&#23828;&#38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E19">
            <v>55858.959999999977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估价对象为北京市房地产，为所有。根据《国有土地使用证》[]，估价对象（分摊）出让国有建设用地使用权面积为48565.52平方米，建筑面积为226041.84平方米。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估价对象为北京市房地产,属开发建设的，该项目尚在开发建设中。根据《国有土地使用证》[]，估价对象（分摊）出让国有建设用地使用权面积为48565.52平方米，规划建筑面积为226041.84平方米。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2025年10月14日（评估专业人员实地查勘之日）</v>
      </c>
    </row>
    <row r="13" spans="1:2">
      <c r="A13" s="1119" t="s">
        <v>529</v>
      </c>
      <c r="B13" s="1120" t="str">
        <f>'预评函-1'!A18</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309511</v>
      </c>
    </row>
    <row r="21" spans="1:2">
      <c r="A21" s="1119" t="s">
        <v>537</v>
      </c>
      <c r="B21" s="1120">
        <f ca="1">'预评函-2'!D7</f>
        <v>13693</v>
      </c>
    </row>
    <row r="22" spans="1:2">
      <c r="A22" s="1119" t="s">
        <v>538</v>
      </c>
      <c r="B22" s="1120" t="str">
        <f ca="1">'预评函-2'!D6</f>
        <v>叁拾亿玖仟伍佰壹拾壹万元整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309511</v>
      </c>
    </row>
    <row r="31" spans="1:2">
      <c r="A31" s="1119" t="s">
        <v>576</v>
      </c>
      <c r="B31" s="1120">
        <f ca="1">'预评函-2'!D15</f>
        <v>13693</v>
      </c>
    </row>
    <row r="32" spans="1:2">
      <c r="A32" s="1119" t="s">
        <v>543</v>
      </c>
      <c r="B32" s="1120" t="str">
        <f ca="1">'预评函-2'!D14</f>
        <v>叁拾亿玖仟伍佰壹拾壹万元整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226041.84</v>
      </c>
    </row>
    <row r="44" spans="1:2">
      <c r="A44" s="1119" t="s">
        <v>575</v>
      </c>
      <c r="B44" s="1120" t="str">
        <f>'预评函-3'!C2</f>
        <v>(分摊)土地面积</v>
      </c>
    </row>
    <row r="45" spans="1:2">
      <c r="A45" s="1119" t="s">
        <v>547</v>
      </c>
      <c r="B45" s="1120">
        <f>'预评函-3'!C4</f>
        <v>48565.52</v>
      </c>
    </row>
    <row r="46" spans="1:2">
      <c r="A46" s="1119" t="s">
        <v>573</v>
      </c>
      <c r="B46" s="1120" t="str">
        <f>'预评函-3'!D2</f>
        <v>出让国有建设用地使用权价值</v>
      </c>
    </row>
    <row r="47" spans="1:2">
      <c r="A47" s="1119" t="s">
        <v>548</v>
      </c>
      <c r="B47" s="1120">
        <f ca="1">'预评函-3'!D4</f>
        <v>62521</v>
      </c>
    </row>
    <row r="48" spans="1:2">
      <c r="A48" s="1119" t="s">
        <v>549</v>
      </c>
      <c r="B48" s="1120">
        <f ca="1">'预评函-3'!E4</f>
        <v>2766</v>
      </c>
    </row>
    <row r="49" spans="1:2">
      <c r="A49" s="1119" t="s">
        <v>550</v>
      </c>
      <c r="B49" s="1120" t="str">
        <f ca="1">'预评函-3'!D5</f>
        <v>陆亿贰仟伍佰贰拾壹万元整</v>
      </c>
    </row>
    <row r="50" spans="1:2">
      <c r="A50" s="1119" t="s">
        <v>574</v>
      </c>
      <c r="B50" s="1120" t="str">
        <f>'预评函-3'!F2</f>
        <v>在建建筑物价值</v>
      </c>
    </row>
    <row r="51" spans="1:2">
      <c r="A51" s="1119" t="s">
        <v>551</v>
      </c>
      <c r="B51" s="1120">
        <f ca="1">'预评函-3'!F4</f>
        <v>246990</v>
      </c>
    </row>
    <row r="52" spans="1:2">
      <c r="A52" s="1119" t="s">
        <v>552</v>
      </c>
      <c r="B52" s="1120">
        <f ca="1">'预评函-3'!G4</f>
        <v>10927</v>
      </c>
    </row>
    <row r="53" spans="1:2">
      <c r="A53" s="1119" t="s">
        <v>580</v>
      </c>
      <c r="B53" s="1120" t="str">
        <f ca="1">'预评函-3'!F5</f>
        <v>贰拾肆亿陆仟玖佰玖拾万元整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4F306-280F-426E-8B4E-1341EA23361E}">
  <dimension ref="A1:J8"/>
  <sheetViews>
    <sheetView workbookViewId="0">
      <selection activeCell="E15" sqref="E15"/>
    </sheetView>
  </sheetViews>
  <sheetFormatPr defaultColWidth="9" defaultRowHeight="12.75"/>
  <cols>
    <col min="1" max="2" width="9" style="3542"/>
    <col min="3" max="3" width="11.375" style="3542" customWidth="1"/>
    <col min="4" max="4" width="10.5" style="3542" customWidth="1"/>
    <col min="5" max="5" width="28.625" style="3542" customWidth="1"/>
    <col min="6" max="6" width="21.375" style="3542" customWidth="1"/>
    <col min="7" max="7" width="16.375" style="3542" customWidth="1"/>
    <col min="8" max="9" width="17.125" style="3542" customWidth="1"/>
    <col min="10" max="10" width="16" style="3542" customWidth="1"/>
    <col min="11" max="16384" width="9" style="3542"/>
  </cols>
  <sheetData>
    <row r="1" spans="1:10" ht="56.1" customHeight="1">
      <c r="A1" s="3243" t="s">
        <v>3656</v>
      </c>
      <c r="B1" s="3243"/>
      <c r="C1" s="3243"/>
      <c r="D1" s="3243"/>
      <c r="E1" s="3243"/>
      <c r="F1" s="3243"/>
      <c r="G1" s="3243"/>
      <c r="H1" s="3243"/>
      <c r="I1" s="3243"/>
      <c r="J1" s="3243"/>
    </row>
    <row r="2" spans="1:10" ht="30.95" customHeight="1">
      <c r="A2" s="3193" t="s">
        <v>1345</v>
      </c>
      <c r="B2" s="3193" t="s">
        <v>3657</v>
      </c>
      <c r="C2" s="3543" t="s">
        <v>3658</v>
      </c>
      <c r="D2" s="3543" t="s">
        <v>3659</v>
      </c>
      <c r="E2" s="3544" t="s">
        <v>3660</v>
      </c>
      <c r="F2" s="3544" t="s">
        <v>3661</v>
      </c>
      <c r="G2" s="3543" t="s">
        <v>3662</v>
      </c>
      <c r="H2" s="3543" t="s">
        <v>3663</v>
      </c>
      <c r="I2" s="3545" t="s">
        <v>3664</v>
      </c>
      <c r="J2" s="3545" t="s">
        <v>3665</v>
      </c>
    </row>
    <row r="3" spans="1:10" ht="23.1" customHeight="1">
      <c r="A3" s="3183">
        <v>1</v>
      </c>
      <c r="B3" s="3183" t="s">
        <v>3666</v>
      </c>
      <c r="C3" s="3546">
        <v>16792.330000000002</v>
      </c>
      <c r="D3" s="3546">
        <f>G3/C3</f>
        <v>41685.698172915843</v>
      </c>
      <c r="E3" s="3547" t="s">
        <v>3667</v>
      </c>
      <c r="F3" s="3548">
        <v>45015</v>
      </c>
      <c r="G3" s="3546">
        <v>700000000</v>
      </c>
      <c r="H3" s="3546">
        <f>G3/1.09</f>
        <v>642201834.86238527</v>
      </c>
      <c r="I3" s="3546">
        <v>700000000</v>
      </c>
      <c r="J3" s="3546">
        <v>700000000</v>
      </c>
    </row>
    <row r="4" spans="1:10" ht="23.1" customHeight="1">
      <c r="A4" s="3183">
        <v>2</v>
      </c>
      <c r="B4" s="3183" t="s">
        <v>3668</v>
      </c>
      <c r="C4" s="3546">
        <v>18525.22</v>
      </c>
      <c r="D4" s="3546">
        <v>44797</v>
      </c>
      <c r="E4" s="3547" t="s">
        <v>3669</v>
      </c>
      <c r="F4" s="3548">
        <v>45139</v>
      </c>
      <c r="G4" s="3546">
        <v>829874280.34000003</v>
      </c>
      <c r="H4" s="3546">
        <f>G4/1.09</f>
        <v>761352550.77064216</v>
      </c>
      <c r="I4" s="3546">
        <v>829874280.34000003</v>
      </c>
      <c r="J4" s="3546">
        <v>829874280.34000003</v>
      </c>
    </row>
    <row r="5" spans="1:10" ht="23.1" customHeight="1">
      <c r="A5" s="3183">
        <v>3</v>
      </c>
      <c r="B5" s="3183" t="s">
        <v>3670</v>
      </c>
      <c r="C5" s="3546">
        <v>18273.53</v>
      </c>
      <c r="D5" s="3546">
        <v>44797</v>
      </c>
      <c r="E5" s="3547" t="s">
        <v>3669</v>
      </c>
      <c r="F5" s="3548">
        <v>45139</v>
      </c>
      <c r="G5" s="3546">
        <v>818599323.40999997</v>
      </c>
      <c r="H5" s="3546">
        <f>G5/1.09</f>
        <v>751008553.58715582</v>
      </c>
      <c r="I5" s="3546">
        <v>818599323.40999997</v>
      </c>
      <c r="J5" s="3546">
        <v>818599323.40999997</v>
      </c>
    </row>
    <row r="6" spans="1:10" ht="23.1" customHeight="1">
      <c r="A6" s="3183">
        <v>4</v>
      </c>
      <c r="B6" s="3183" t="s">
        <v>3671</v>
      </c>
      <c r="C6" s="3546">
        <v>17841.419999999998</v>
      </c>
      <c r="D6" s="3546">
        <v>44797</v>
      </c>
      <c r="E6" s="3547" t="s">
        <v>3502</v>
      </c>
      <c r="F6" s="3548">
        <v>45139</v>
      </c>
      <c r="G6" s="3546">
        <v>799242091.74000001</v>
      </c>
      <c r="H6" s="3546">
        <f>G6/1.09</f>
        <v>733249625.44954121</v>
      </c>
      <c r="I6" s="3546">
        <v>799242091.74000001</v>
      </c>
      <c r="J6" s="3546">
        <v>799242091.74000001</v>
      </c>
    </row>
    <row r="7" spans="1:10" ht="23.1" customHeight="1">
      <c r="A7" s="3183">
        <v>5</v>
      </c>
      <c r="B7" s="3183" t="s">
        <v>3672</v>
      </c>
      <c r="C7" s="3546">
        <v>38740.75</v>
      </c>
      <c r="D7" s="3546">
        <f>G7/C7</f>
        <v>20000</v>
      </c>
      <c r="E7" s="3547" t="s">
        <v>3673</v>
      </c>
      <c r="F7" s="3548">
        <v>45271</v>
      </c>
      <c r="G7" s="3546">
        <v>774815000</v>
      </c>
      <c r="H7" s="3546">
        <f>G7/1.09</f>
        <v>710839449.54128432</v>
      </c>
      <c r="I7" s="3546">
        <v>774815000</v>
      </c>
      <c r="J7" s="3546">
        <v>774815000</v>
      </c>
    </row>
    <row r="8" spans="1:10" s="3551" customFormat="1" ht="18" customHeight="1">
      <c r="A8" s="3549" t="s">
        <v>3442</v>
      </c>
      <c r="B8" s="3182"/>
      <c r="C8" s="3550">
        <f>SUM(C3:C7)</f>
        <v>110173.25</v>
      </c>
      <c r="D8" s="3550"/>
      <c r="E8" s="3544"/>
      <c r="F8" s="3544"/>
      <c r="G8" s="3550">
        <f>SUM(G3:G7)</f>
        <v>3922530695.4899998</v>
      </c>
      <c r="H8" s="3550">
        <f>SUM(H3:H7)</f>
        <v>3598652014.211009</v>
      </c>
      <c r="I8" s="3550">
        <f>SUM(I3:I7)</f>
        <v>3922530695.4899998</v>
      </c>
      <c r="J8" s="3550">
        <f>SUM(J3:J7)</f>
        <v>3922530695.4899998</v>
      </c>
    </row>
  </sheetData>
  <mergeCells count="1">
    <mergeCell ref="A1:J1"/>
  </mergeCells>
  <phoneticPr fontId="134"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7DDED-754C-4496-962C-0F8A0401F5C8}">
  <sheetPr>
    <tabColor rgb="FF7030A0"/>
  </sheetPr>
  <dimension ref="A1:W9"/>
  <sheetViews>
    <sheetView topLeftCell="I1" workbookViewId="0">
      <selection activeCell="N3" sqref="N3"/>
    </sheetView>
  </sheetViews>
  <sheetFormatPr defaultColWidth="15.375" defaultRowHeight="13.5"/>
  <cols>
    <col min="1" max="3" width="15.375" style="3170"/>
    <col min="4" max="4" width="8" style="3170" bestFit="1" customWidth="1"/>
    <col min="5" max="5" width="9.625" style="3170" bestFit="1" customWidth="1"/>
    <col min="6" max="6" width="15" style="3170" bestFit="1" customWidth="1"/>
    <col min="7" max="7" width="13" style="3170" bestFit="1" customWidth="1"/>
    <col min="8" max="8" width="13.125" style="3170" bestFit="1" customWidth="1"/>
    <col min="9" max="9" width="15" style="3170" bestFit="1" customWidth="1"/>
    <col min="10" max="11" width="11.375" style="3170" bestFit="1" customWidth="1"/>
    <col min="12" max="12" width="17.25" style="3170" bestFit="1" customWidth="1"/>
    <col min="13" max="13" width="18.375" style="3170" customWidth="1"/>
    <col min="14" max="14" width="15.125" style="3170" bestFit="1" customWidth="1"/>
    <col min="15" max="15" width="15.25" style="3170" bestFit="1" customWidth="1"/>
    <col min="16" max="16" width="13" style="3170" bestFit="1" customWidth="1"/>
    <col min="17" max="16384" width="15.375" style="3170"/>
  </cols>
  <sheetData>
    <row r="1" spans="1:23" s="3194" customFormat="1" ht="24">
      <c r="A1" s="3578" t="s">
        <v>3542</v>
      </c>
      <c r="B1" s="3578" t="s">
        <v>3543</v>
      </c>
      <c r="C1" s="3578" t="s">
        <v>3544</v>
      </c>
      <c r="D1" s="3578" t="s">
        <v>3545</v>
      </c>
      <c r="E1" s="3578" t="s">
        <v>3546</v>
      </c>
      <c r="F1" s="3578" t="s">
        <v>3547</v>
      </c>
      <c r="G1" s="3578" t="s">
        <v>670</v>
      </c>
      <c r="H1" s="3578" t="s">
        <v>3548</v>
      </c>
      <c r="I1" s="3578" t="s">
        <v>3549</v>
      </c>
      <c r="J1" s="3579" t="s">
        <v>3550</v>
      </c>
      <c r="K1" s="3578" t="s">
        <v>3551</v>
      </c>
      <c r="L1" s="3578" t="s">
        <v>3552</v>
      </c>
      <c r="M1" s="3578" t="s">
        <v>3553</v>
      </c>
      <c r="N1" s="3578" t="s">
        <v>3554</v>
      </c>
      <c r="O1" s="3578" t="s">
        <v>3555</v>
      </c>
      <c r="P1" s="3580" t="s">
        <v>3556</v>
      </c>
      <c r="Q1" s="3578" t="s">
        <v>3557</v>
      </c>
      <c r="R1" s="3578" t="s">
        <v>3558</v>
      </c>
      <c r="S1" s="3578" t="s">
        <v>3559</v>
      </c>
      <c r="T1" s="3578" t="s">
        <v>3560</v>
      </c>
      <c r="U1" s="3578" t="s">
        <v>3561</v>
      </c>
      <c r="V1" s="3578" t="s">
        <v>3562</v>
      </c>
      <c r="W1" s="3578" t="s">
        <v>3563</v>
      </c>
    </row>
    <row r="2" spans="1:23" s="3584" customFormat="1" ht="24">
      <c r="A2" s="3578">
        <v>565</v>
      </c>
      <c r="B2" s="3578" t="s">
        <v>3564</v>
      </c>
      <c r="C2" s="3578" t="s">
        <v>3565</v>
      </c>
      <c r="D2" s="3578" t="s">
        <v>3566</v>
      </c>
      <c r="E2" s="3578" t="s">
        <v>3567</v>
      </c>
      <c r="F2" s="3578" t="s">
        <v>3568</v>
      </c>
      <c r="G2" s="3578" t="s">
        <v>3569</v>
      </c>
      <c r="H2" s="3578"/>
      <c r="I2" s="3578">
        <v>20714.13</v>
      </c>
      <c r="J2" s="3579">
        <v>20714.13</v>
      </c>
      <c r="K2" s="3578"/>
      <c r="L2" s="3578">
        <v>93213.58</v>
      </c>
      <c r="M2" s="3578">
        <v>45000</v>
      </c>
      <c r="N2" s="3581">
        <v>44999.997586188802</v>
      </c>
      <c r="O2" s="3578" t="s">
        <v>3570</v>
      </c>
      <c r="P2" s="3582">
        <v>45139</v>
      </c>
      <c r="Q2" s="3578" t="s">
        <v>3571</v>
      </c>
      <c r="R2" s="3578" t="s">
        <v>3572</v>
      </c>
      <c r="S2" s="3578"/>
      <c r="T2" s="3581">
        <v>0</v>
      </c>
      <c r="U2" s="3578"/>
      <c r="V2" s="3583" t="e">
        <v>#DIV/0!</v>
      </c>
      <c r="W2" s="3578" t="s">
        <v>3573</v>
      </c>
    </row>
    <row r="3" spans="1:23" s="3194" customFormat="1" ht="132">
      <c r="A3" s="3578">
        <v>566</v>
      </c>
      <c r="B3" s="3578" t="s">
        <v>3574</v>
      </c>
      <c r="C3" s="3578" t="s">
        <v>3575</v>
      </c>
      <c r="D3" s="3585" t="s">
        <v>3576</v>
      </c>
      <c r="E3" s="3585" t="s">
        <v>3577</v>
      </c>
      <c r="F3" s="3585" t="s">
        <v>3578</v>
      </c>
      <c r="G3" s="3578" t="s">
        <v>3579</v>
      </c>
      <c r="H3" s="3585"/>
      <c r="I3" s="3585">
        <v>8905</v>
      </c>
      <c r="J3" s="3586">
        <v>8905</v>
      </c>
      <c r="K3" s="3585"/>
      <c r="L3" s="3585">
        <v>33839</v>
      </c>
      <c r="M3" s="3578">
        <v>38000</v>
      </c>
      <c r="N3" s="3587">
        <v>38000</v>
      </c>
      <c r="O3" s="3585" t="s">
        <v>3580</v>
      </c>
      <c r="P3" s="3588">
        <v>45041</v>
      </c>
      <c r="Q3" s="3578" t="s">
        <v>3581</v>
      </c>
      <c r="R3" s="3585" t="s">
        <v>3582</v>
      </c>
      <c r="S3" s="3585"/>
      <c r="T3" s="3587">
        <v>0</v>
      </c>
      <c r="U3" s="3585"/>
      <c r="V3" s="3589" t="e">
        <v>#DIV/0!</v>
      </c>
      <c r="W3" s="3585" t="s">
        <v>3583</v>
      </c>
    </row>
    <row r="4" spans="1:23" s="3194" customFormat="1" ht="24" hidden="1">
      <c r="A4" s="3578">
        <v>508</v>
      </c>
      <c r="B4" s="3585" t="s">
        <v>3584</v>
      </c>
      <c r="C4" s="3578" t="s">
        <v>3585</v>
      </c>
      <c r="D4" s="3585" t="s">
        <v>3576</v>
      </c>
      <c r="E4" s="3585" t="s">
        <v>3586</v>
      </c>
      <c r="F4" s="3585" t="s">
        <v>43</v>
      </c>
      <c r="G4" s="3578" t="s">
        <v>3587</v>
      </c>
      <c r="H4" s="3585"/>
      <c r="I4" s="3585">
        <v>470.01</v>
      </c>
      <c r="J4" s="3586">
        <v>352.50749999999999</v>
      </c>
      <c r="K4" s="3586">
        <v>117.5025</v>
      </c>
      <c r="L4" s="3585">
        <v>1921</v>
      </c>
      <c r="M4" s="3590">
        <v>40871</v>
      </c>
      <c r="N4" s="3591">
        <v>54495.294426359702</v>
      </c>
      <c r="O4" s="3585" t="s">
        <v>3588</v>
      </c>
      <c r="P4" s="3592">
        <v>44930</v>
      </c>
      <c r="Q4" s="3585" t="s">
        <v>3589</v>
      </c>
      <c r="R4" s="3585" t="s">
        <v>3590</v>
      </c>
      <c r="S4" s="3585">
        <v>1500</v>
      </c>
      <c r="T4" s="3587">
        <v>42552.286121571902</v>
      </c>
      <c r="U4" s="3585"/>
      <c r="V4" s="3593">
        <v>1.28066666666667</v>
      </c>
      <c r="W4" s="3585" t="s">
        <v>3591</v>
      </c>
    </row>
    <row r="5" spans="1:23" s="3194" customFormat="1" ht="24" hidden="1">
      <c r="B5" s="3594" t="s">
        <v>3592</v>
      </c>
      <c r="I5" s="3194">
        <v>21684.06</v>
      </c>
      <c r="L5" s="3194">
        <v>73725.8</v>
      </c>
      <c r="M5" s="3594">
        <v>34000</v>
      </c>
      <c r="P5" s="3595">
        <v>45632</v>
      </c>
    </row>
    <row r="6" spans="1:23" s="3194" customFormat="1"/>
    <row r="7" spans="1:23" s="3194" customFormat="1">
      <c r="A7" s="3194" t="s">
        <v>3593</v>
      </c>
      <c r="B7" s="3194" t="s">
        <v>3543</v>
      </c>
      <c r="C7" s="3194" t="s">
        <v>3594</v>
      </c>
      <c r="D7" s="3194" t="s">
        <v>3595</v>
      </c>
      <c r="E7" s="3194" t="s">
        <v>3546</v>
      </c>
      <c r="F7" s="3194" t="s">
        <v>3596</v>
      </c>
      <c r="G7" s="3194" t="s">
        <v>3597</v>
      </c>
      <c r="H7" s="3194" t="s">
        <v>3598</v>
      </c>
      <c r="I7" s="3194" t="s">
        <v>3599</v>
      </c>
      <c r="J7" s="3194" t="s">
        <v>3600</v>
      </c>
      <c r="K7" s="3194" t="s">
        <v>3601</v>
      </c>
      <c r="L7" s="3194" t="s">
        <v>3602</v>
      </c>
      <c r="M7" s="3194" t="s">
        <v>3603</v>
      </c>
      <c r="N7" s="3194" t="s">
        <v>3604</v>
      </c>
      <c r="O7" s="3194" t="s">
        <v>3605</v>
      </c>
      <c r="P7" s="3194" t="s">
        <v>3606</v>
      </c>
    </row>
    <row r="8" spans="1:23" s="3584" customFormat="1" ht="27">
      <c r="A8" s="3584" t="s">
        <v>3607</v>
      </c>
      <c r="B8" s="3584" t="s">
        <v>3608</v>
      </c>
      <c r="C8" s="3584" t="s">
        <v>3609</v>
      </c>
      <c r="D8" s="3584" t="s">
        <v>3610</v>
      </c>
      <c r="E8" s="3584" t="s">
        <v>3611</v>
      </c>
      <c r="F8" s="3584" t="s">
        <v>3612</v>
      </c>
      <c r="G8" s="3584" t="s">
        <v>3612</v>
      </c>
      <c r="H8" s="3584" t="s">
        <v>3613</v>
      </c>
      <c r="I8" s="3584" t="s">
        <v>3614</v>
      </c>
      <c r="J8" s="3584" t="s">
        <v>3615</v>
      </c>
      <c r="K8" s="3584" t="s">
        <v>3616</v>
      </c>
      <c r="L8" s="3584" t="s">
        <v>3617</v>
      </c>
      <c r="M8" s="3584" t="s">
        <v>3618</v>
      </c>
      <c r="N8" s="3596" t="s">
        <v>3619</v>
      </c>
      <c r="O8" s="3584" t="s">
        <v>3620</v>
      </c>
      <c r="P8" s="3584" t="s">
        <v>3621</v>
      </c>
    </row>
    <row r="9" spans="1:23">
      <c r="M9" s="3170">
        <v>45388</v>
      </c>
    </row>
  </sheetData>
  <phoneticPr fontId="134"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1A7F-50BE-4A2B-8E7E-C21EA496052B}">
  <sheetPr>
    <tabColor rgb="FF7030A0"/>
  </sheetPr>
  <dimension ref="A1"/>
  <sheetViews>
    <sheetView workbookViewId="0">
      <selection activeCell="R13" sqref="R13"/>
    </sheetView>
  </sheetViews>
  <sheetFormatPr defaultColWidth="9" defaultRowHeight="13.5"/>
  <cols>
    <col min="1" max="16384" width="9" style="3170"/>
  </cols>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19" sqref="G19"/>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975</v>
      </c>
      <c r="C1" s="1438" t="s">
        <v>314</v>
      </c>
      <c r="D1" s="1439" t="s">
        <v>3338</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c r="X1" s="1438" t="s">
        <v>671</v>
      </c>
      <c r="Y1" s="1438" t="s">
        <v>21</v>
      </c>
      <c r="Z1" s="1438" t="s">
        <v>3394</v>
      </c>
      <c r="AA1" s="1438" t="s">
        <v>3393</v>
      </c>
      <c r="AB1" s="1438" t="s">
        <v>3</v>
      </c>
    </row>
    <row r="2" spans="1:28">
      <c r="A2" s="1441" t="s">
        <v>19</v>
      </c>
      <c r="B2" s="1441" t="s">
        <v>991</v>
      </c>
      <c r="C2" s="1442" t="s">
        <v>315</v>
      </c>
      <c r="D2" s="1443" t="s">
        <v>992</v>
      </c>
      <c r="E2" s="1443" t="s">
        <v>993</v>
      </c>
      <c r="F2" s="1443" t="s">
        <v>994</v>
      </c>
      <c r="G2" s="1443">
        <v>20</v>
      </c>
      <c r="H2" s="1443" t="s">
        <v>994</v>
      </c>
      <c r="I2" s="1443" t="s">
        <v>3324</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c r="X2" s="1445" t="s">
        <v>2428</v>
      </c>
      <c r="Y2" s="1445" t="s">
        <v>3401</v>
      </c>
      <c r="Z2" s="1445" t="s">
        <v>2441</v>
      </c>
      <c r="AA2" s="1445" t="s">
        <v>3402</v>
      </c>
      <c r="AB2" s="1445" t="s">
        <v>2468</v>
      </c>
    </row>
    <row r="3" spans="1:28">
      <c r="A3" s="1441" t="s">
        <v>999</v>
      </c>
      <c r="B3" s="1444" t="s">
        <v>448</v>
      </c>
      <c r="C3" s="1442" t="s">
        <v>316</v>
      </c>
      <c r="D3" s="1443" t="s">
        <v>1000</v>
      </c>
      <c r="E3" s="1443" t="s">
        <v>13</v>
      </c>
      <c r="F3" s="1443" t="s">
        <v>1001</v>
      </c>
      <c r="G3" s="1443">
        <v>40</v>
      </c>
      <c r="H3" s="1443" t="s">
        <v>1001</v>
      </c>
      <c r="I3" s="1443" t="s">
        <v>3325</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c r="X3" s="1445" t="s">
        <v>2430</v>
      </c>
      <c r="Z3" s="1445" t="s">
        <v>2443</v>
      </c>
      <c r="AB3" s="1445" t="s">
        <v>2470</v>
      </c>
    </row>
    <row r="4" spans="1:28">
      <c r="A4" s="1441" t="s">
        <v>1006</v>
      </c>
      <c r="B4" s="1441" t="s">
        <v>1007</v>
      </c>
      <c r="C4" s="1442" t="s">
        <v>317</v>
      </c>
      <c r="D4" s="1443" t="s">
        <v>389</v>
      </c>
      <c r="E4" s="1443" t="s">
        <v>1008</v>
      </c>
      <c r="F4" s="1443" t="s">
        <v>1009</v>
      </c>
      <c r="G4" s="1443">
        <v>50</v>
      </c>
      <c r="H4" s="1443" t="s">
        <v>1009</v>
      </c>
      <c r="I4" s="1443" t="s">
        <v>3326</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c r="X4" s="1445" t="s">
        <v>2432</v>
      </c>
      <c r="Z4" s="1445" t="s">
        <v>2445</v>
      </c>
      <c r="AB4" s="1445" t="s">
        <v>2472</v>
      </c>
    </row>
    <row r="5" spans="1:28">
      <c r="A5" s="1441" t="s">
        <v>1012</v>
      </c>
      <c r="B5" s="1441" t="s">
        <v>1013</v>
      </c>
      <c r="C5" s="1442" t="s">
        <v>318</v>
      </c>
      <c r="F5" s="1443" t="s">
        <v>1014</v>
      </c>
      <c r="G5" s="1443">
        <v>70</v>
      </c>
      <c r="H5" s="1443" t="s">
        <v>1015</v>
      </c>
      <c r="I5" s="1443" t="s">
        <v>3327</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2434</v>
      </c>
      <c r="Z5" s="1445" t="s">
        <v>2447</v>
      </c>
      <c r="AB5" s="1445" t="s">
        <v>3403</v>
      </c>
    </row>
    <row r="6" spans="1:28">
      <c r="A6" s="1441" t="s">
        <v>1018</v>
      </c>
      <c r="B6" s="1444" t="s">
        <v>449</v>
      </c>
      <c r="C6" s="1446" t="s">
        <v>24</v>
      </c>
      <c r="F6" s="1443" t="s">
        <v>1015</v>
      </c>
      <c r="H6" s="1443" t="s">
        <v>1019</v>
      </c>
      <c r="I6" s="1443" t="s">
        <v>3328</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2436</v>
      </c>
      <c r="Z6" s="1445" t="s">
        <v>2449</v>
      </c>
      <c r="AB6" s="1445" t="s">
        <v>2475</v>
      </c>
    </row>
    <row r="7" spans="1:28">
      <c r="A7" s="1441" t="s">
        <v>1021</v>
      </c>
      <c r="B7" s="1444" t="s">
        <v>450</v>
      </c>
      <c r="C7" s="1442" t="s">
        <v>25</v>
      </c>
      <c r="F7" s="1443" t="s">
        <v>1022</v>
      </c>
      <c r="H7" s="1443" t="s">
        <v>1023</v>
      </c>
      <c r="I7" s="1443" t="s">
        <v>3329</v>
      </c>
      <c r="X7" s="1445" t="s">
        <v>2438</v>
      </c>
      <c r="Z7" s="1445" t="s">
        <v>2451</v>
      </c>
      <c r="AB7" s="1445" t="s">
        <v>2477</v>
      </c>
    </row>
    <row r="8" spans="1:28">
      <c r="A8" s="1441" t="s">
        <v>1024</v>
      </c>
      <c r="B8" s="1441" t="s">
        <v>1025</v>
      </c>
      <c r="C8" s="1442" t="s">
        <v>319</v>
      </c>
      <c r="F8" s="1443" t="s">
        <v>1026</v>
      </c>
      <c r="H8" s="1443" t="s">
        <v>2566</v>
      </c>
      <c r="I8" s="1443" t="s">
        <v>3330</v>
      </c>
      <c r="X8" s="1445" t="s">
        <v>3404</v>
      </c>
      <c r="Z8" s="1445" t="s">
        <v>2453</v>
      </c>
      <c r="AB8" s="1445" t="s">
        <v>2479</v>
      </c>
    </row>
    <row r="9" spans="1:28">
      <c r="A9" s="1441" t="s">
        <v>1027</v>
      </c>
      <c r="B9" s="1441" t="s">
        <v>1028</v>
      </c>
      <c r="C9" s="1442" t="s">
        <v>320</v>
      </c>
      <c r="F9" s="1443" t="s">
        <v>1029</v>
      </c>
      <c r="H9" s="1443"/>
      <c r="I9" s="1445" t="s">
        <v>3331</v>
      </c>
      <c r="X9" s="1445" t="s">
        <v>3405</v>
      </c>
      <c r="Z9" s="1445" t="s">
        <v>2455</v>
      </c>
      <c r="AB9" s="1445" t="s">
        <v>2481</v>
      </c>
    </row>
    <row r="10" spans="1:28">
      <c r="A10" s="1441" t="s">
        <v>1030</v>
      </c>
      <c r="B10" s="1441" t="s">
        <v>1031</v>
      </c>
      <c r="C10" s="1442" t="s">
        <v>321</v>
      </c>
      <c r="F10" s="1443" t="s">
        <v>2567</v>
      </c>
      <c r="I10" s="1445" t="s">
        <v>3332</v>
      </c>
      <c r="Z10" s="1445" t="s">
        <v>2457</v>
      </c>
      <c r="AB10" s="1445" t="s">
        <v>2483</v>
      </c>
    </row>
    <row r="11" spans="1:28">
      <c r="A11" s="1441" t="s">
        <v>1032</v>
      </c>
      <c r="B11" s="1441" t="s">
        <v>1033</v>
      </c>
      <c r="C11" s="1442" t="s">
        <v>322</v>
      </c>
      <c r="F11" s="1443" t="s">
        <v>13</v>
      </c>
      <c r="I11" s="1445" t="s">
        <v>3333</v>
      </c>
      <c r="Z11" s="1445" t="s">
        <v>2459</v>
      </c>
      <c r="AB11" s="1445" t="s">
        <v>2485</v>
      </c>
    </row>
    <row r="12" spans="1:28">
      <c r="A12" s="1441" t="s">
        <v>1034</v>
      </c>
      <c r="B12" s="1441" t="s">
        <v>1035</v>
      </c>
      <c r="C12" s="1442" t="s">
        <v>323</v>
      </c>
      <c r="I12" s="1445" t="s">
        <v>3334</v>
      </c>
      <c r="Z12" s="1445" t="s">
        <v>2461</v>
      </c>
      <c r="AB12" s="1445" t="s">
        <v>2487</v>
      </c>
    </row>
    <row r="13" spans="1:28">
      <c r="A13" s="1441" t="s">
        <v>1036</v>
      </c>
      <c r="B13" s="1441" t="s">
        <v>1037</v>
      </c>
      <c r="C13" s="1442" t="s">
        <v>324</v>
      </c>
      <c r="I13" s="1445" t="s">
        <v>3335</v>
      </c>
      <c r="Z13" s="1445" t="s">
        <v>2463</v>
      </c>
    </row>
    <row r="14" spans="1:28">
      <c r="A14" s="1441" t="s">
        <v>1038</v>
      </c>
      <c r="B14" s="1441" t="s">
        <v>1039</v>
      </c>
      <c r="C14" s="1443" t="s">
        <v>13</v>
      </c>
      <c r="I14" s="1445" t="s">
        <v>3336</v>
      </c>
      <c r="Z14" s="1445" t="s">
        <v>2465</v>
      </c>
    </row>
    <row r="15" spans="1:28">
      <c r="A15" s="1441" t="s">
        <v>1040</v>
      </c>
      <c r="B15" s="1441" t="s">
        <v>1041</v>
      </c>
      <c r="C15" s="1442"/>
      <c r="I15" s="1445" t="s">
        <v>3337</v>
      </c>
    </row>
    <row r="16" spans="1:28">
      <c r="A16" s="1441" t="s">
        <v>1042</v>
      </c>
      <c r="B16" s="1441" t="s">
        <v>312</v>
      </c>
      <c r="C16" s="1442"/>
    </row>
    <row r="17" spans="1:3">
      <c r="A17" s="1441" t="s">
        <v>1043</v>
      </c>
      <c r="B17" s="1441" t="s">
        <v>2282</v>
      </c>
      <c r="C17" s="1442"/>
    </row>
    <row r="18" spans="1:3">
      <c r="A18" s="1441" t="s">
        <v>1044</v>
      </c>
      <c r="B18" s="1441" t="s">
        <v>2422</v>
      </c>
      <c r="C18" s="1442"/>
    </row>
    <row r="19" spans="1:3">
      <c r="A19" s="1441" t="s">
        <v>1045</v>
      </c>
      <c r="B19" s="1441" t="s">
        <v>3536</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42" t="s">
        <v>2569</v>
      </c>
      <c r="J2" s="3242"/>
      <c r="K2" s="3242"/>
      <c r="L2" s="3242"/>
      <c r="M2" s="3242"/>
      <c r="N2" s="3242"/>
      <c r="O2" s="3242"/>
      <c r="P2" s="3242"/>
      <c r="Q2" s="3242"/>
      <c r="R2" s="3242"/>
    </row>
    <row r="3" spans="1:18">
      <c r="A3" s="2763" t="s">
        <v>2490</v>
      </c>
      <c r="B3" s="2764">
        <f>项目基本情况!D3</f>
        <v>45944</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1.18</v>
      </c>
      <c r="D5" s="2768">
        <f>IF(ISERROR(ROUND(POWER(1+E5,A5-C5)*(POWER(1+E5,C5)-1)/(POWER(1+E5,A5)-1),3)),0,ROUND(POWER(1+E5,A5-C5)*(POWER(1+E5,C5)-1)/(POWER(1+E5,A5)-1),4))</f>
        <v>5.7099999999999998E-2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11.18</v>
      </c>
      <c r="D6" s="2768">
        <f>IF(ISERROR(ROUND(POWER(1+E6,A6-C6)*(POWER(1+E6,C6)-1)/(POWER(1+E6,A6)-1),3)),0,ROUND(POWER(1+E6,A6-C6)*(POWER(1+E6,C6)-1)/(POWER(1+E6,A6)-1),4))</f>
        <v>0.41310000000000002</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31.2</v>
      </c>
      <c r="D7" s="2768">
        <f>IF(ISERROR(ROUND(POWER(1+E7,A7-C7)*(POWER(1+E7,C7)-1)/(POWER(1+E7,A7)-1),3)),0,ROUND(POWER(1+E7,A7-C7)*(POWER(1+E7,C7)-1)/(POWER(1+E7,A7)-1),4))</f>
        <v>0.75429999999999997</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3374</v>
      </c>
    </row>
    <row r="50" spans="1:4">
      <c r="A50" s="3145" t="s">
        <v>3375</v>
      </c>
      <c r="B50" s="3145" t="s">
        <v>3376</v>
      </c>
      <c r="C50" s="3145" t="s">
        <v>3377</v>
      </c>
      <c r="D50" s="3145" t="s">
        <v>3378</v>
      </c>
    </row>
    <row r="51" spans="1:4">
      <c r="A51" s="3145" t="s">
        <v>3379</v>
      </c>
      <c r="B51" s="2765">
        <f>B52+B53</f>
        <v>15000</v>
      </c>
      <c r="C51" s="3146">
        <f>D51/B51</f>
        <v>2666.6666666666665</v>
      </c>
      <c r="D51" s="2765">
        <f>D52+D53</f>
        <v>40000000</v>
      </c>
    </row>
    <row r="52" spans="1:4">
      <c r="A52" s="3147" t="s">
        <v>3380</v>
      </c>
      <c r="B52" s="3148">
        <v>10000</v>
      </c>
      <c r="C52" s="3148">
        <v>1500</v>
      </c>
      <c r="D52" s="3149">
        <f>C52*B52</f>
        <v>15000000</v>
      </c>
    </row>
    <row r="53" spans="1:4">
      <c r="A53" s="3147" t="s">
        <v>3381</v>
      </c>
      <c r="B53" s="3148">
        <v>5000</v>
      </c>
      <c r="C53" s="3148">
        <v>5000</v>
      </c>
      <c r="D53" s="3149">
        <f>C53*B53</f>
        <v>25000000</v>
      </c>
    </row>
    <row r="54" spans="1:4">
      <c r="A54" s="3145" t="s">
        <v>3382</v>
      </c>
      <c r="B54" s="2765">
        <f>B51</f>
        <v>15000</v>
      </c>
      <c r="C54" s="2771">
        <v>700</v>
      </c>
      <c r="D54" s="2765">
        <f t="shared" ref="D54:D55" si="5">C54*B54</f>
        <v>10500000</v>
      </c>
    </row>
    <row r="55" spans="1:4">
      <c r="A55" s="3145" t="s">
        <v>3383</v>
      </c>
      <c r="B55" s="2765">
        <f>B51</f>
        <v>15000</v>
      </c>
      <c r="C55" s="2771">
        <v>1500</v>
      </c>
      <c r="D55" s="2765">
        <f t="shared" si="5"/>
        <v>22500000</v>
      </c>
    </row>
    <row r="56" spans="1:4">
      <c r="A56" s="3145" t="s">
        <v>3384</v>
      </c>
      <c r="B56" s="2765">
        <f>B51</f>
        <v>15000</v>
      </c>
      <c r="C56" s="3150">
        <f>C51+C54+C55</f>
        <v>4866.6666666666661</v>
      </c>
      <c r="D56" s="2765">
        <f>D51+D54+D55</f>
        <v>73000000</v>
      </c>
    </row>
    <row r="58" spans="1:4">
      <c r="A58" s="3145" t="s">
        <v>3385</v>
      </c>
      <c r="B58" s="3151">
        <v>0.05</v>
      </c>
      <c r="C58" s="2765">
        <f>C56*(1+B58)</f>
        <v>5110</v>
      </c>
      <c r="D58" s="2765">
        <f>D56*B58</f>
        <v>3650000</v>
      </c>
    </row>
    <row r="60" spans="1:4">
      <c r="A60" s="3145" t="s">
        <v>3386</v>
      </c>
      <c r="B60" s="2771">
        <v>3500</v>
      </c>
      <c r="C60" s="2771">
        <f>C53</f>
        <v>5000</v>
      </c>
      <c r="D60" s="2765">
        <f>C60*B60</f>
        <v>17500000</v>
      </c>
    </row>
    <row r="62" spans="1:4">
      <c r="A62" s="3145" t="s">
        <v>3387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3BC3-F974-4908-B6F3-E011EDC81521}">
  <sheetPr>
    <pageSetUpPr fitToPage="1"/>
  </sheetPr>
  <dimension ref="A1:U30"/>
  <sheetViews>
    <sheetView topLeftCell="H5" workbookViewId="0">
      <selection activeCell="Q30" sqref="Q30"/>
    </sheetView>
  </sheetViews>
  <sheetFormatPr defaultColWidth="9" defaultRowHeight="13.5"/>
  <cols>
    <col min="1" max="1" width="5" style="3194" bestFit="1" customWidth="1"/>
    <col min="2" max="2" width="31.25" style="3194" bestFit="1" customWidth="1"/>
    <col min="3" max="3" width="18.875" style="3194" bestFit="1" customWidth="1"/>
    <col min="4" max="4" width="11" style="3194" bestFit="1" customWidth="1"/>
    <col min="5" max="7" width="9.125" style="3194" customWidth="1"/>
    <col min="8" max="8" width="14" style="3194" bestFit="1" customWidth="1"/>
    <col min="9" max="9" width="9.125" style="3194" customWidth="1"/>
    <col min="10" max="10" width="10.25" style="3553" bestFit="1" customWidth="1"/>
    <col min="11" max="12" width="11.25" style="3553" bestFit="1" customWidth="1"/>
    <col min="13" max="14" width="15.125" style="3553" bestFit="1" customWidth="1"/>
    <col min="15" max="21" width="11.25" style="3553" bestFit="1" customWidth="1"/>
    <col min="22" max="16384" width="9" style="3194"/>
  </cols>
  <sheetData>
    <row r="1" spans="1:21" ht="25.5">
      <c r="A1" s="3561" t="s">
        <v>3462</v>
      </c>
      <c r="B1" s="3561"/>
      <c r="C1" s="3561"/>
      <c r="D1" s="3561"/>
      <c r="E1" s="3561"/>
      <c r="F1" s="3561"/>
      <c r="G1" s="3561"/>
      <c r="H1" s="3561"/>
      <c r="J1" s="3553" t="s">
        <v>3676</v>
      </c>
      <c r="K1" s="3552">
        <v>45658</v>
      </c>
      <c r="L1" s="3552">
        <v>46023</v>
      </c>
      <c r="M1" s="3552">
        <v>46388</v>
      </c>
      <c r="N1" s="3552">
        <v>46753</v>
      </c>
      <c r="O1" s="3552">
        <v>47119</v>
      </c>
      <c r="P1" s="3552">
        <v>47484</v>
      </c>
      <c r="Q1" s="3552">
        <v>47849</v>
      </c>
      <c r="R1" s="3552">
        <v>48214</v>
      </c>
      <c r="S1" s="3552">
        <v>48580</v>
      </c>
      <c r="T1" s="3552">
        <v>48945</v>
      </c>
      <c r="U1" s="3552">
        <v>49310</v>
      </c>
    </row>
    <row r="2" spans="1:21" ht="24">
      <c r="A2" s="3562" t="s">
        <v>1345</v>
      </c>
      <c r="B2" s="3562" t="s">
        <v>3463</v>
      </c>
      <c r="C2" s="3562" t="s">
        <v>3464</v>
      </c>
      <c r="D2" s="3563" t="s">
        <v>3465</v>
      </c>
      <c r="E2" s="3562" t="s">
        <v>3466</v>
      </c>
      <c r="F2" s="3564" t="s">
        <v>3467</v>
      </c>
      <c r="G2" s="3565" t="s">
        <v>3468</v>
      </c>
      <c r="H2" s="3566" t="s">
        <v>3469</v>
      </c>
      <c r="I2" s="3194" t="s">
        <v>3655</v>
      </c>
      <c r="J2" s="3554">
        <f>项目基本情况!D3</f>
        <v>45944</v>
      </c>
      <c r="K2" s="3552">
        <v>46022</v>
      </c>
      <c r="L2" s="3552">
        <v>46387</v>
      </c>
      <c r="M2" s="3552">
        <v>46752</v>
      </c>
      <c r="N2" s="3552">
        <v>47118</v>
      </c>
      <c r="O2" s="3552">
        <v>47483</v>
      </c>
      <c r="P2" s="3552">
        <v>47848</v>
      </c>
      <c r="Q2" s="3552">
        <v>48213</v>
      </c>
      <c r="R2" s="3552">
        <v>48579</v>
      </c>
      <c r="S2" s="3552">
        <v>48944</v>
      </c>
      <c r="T2" s="3552">
        <v>49309</v>
      </c>
      <c r="U2" s="3552">
        <v>49674</v>
      </c>
    </row>
    <row r="3" spans="1:21">
      <c r="A3" s="3567">
        <v>1</v>
      </c>
      <c r="B3" s="3567" t="s">
        <v>3470</v>
      </c>
      <c r="C3" s="3567" t="s">
        <v>3471</v>
      </c>
      <c r="D3" s="3567" t="s">
        <v>3472</v>
      </c>
      <c r="E3" s="3567" t="s">
        <v>3473</v>
      </c>
      <c r="F3" s="3567">
        <v>5851.07</v>
      </c>
      <c r="G3" s="3541" t="s">
        <v>3474</v>
      </c>
      <c r="H3" s="3541">
        <v>31158703.25</v>
      </c>
      <c r="I3" s="3539">
        <f>H3/F3/365/5</f>
        <v>2.917972619502847</v>
      </c>
      <c r="J3" s="3555"/>
      <c r="K3" s="3555">
        <f>F3*I3*(K$2-J$2)</f>
        <v>1331714.4402739727</v>
      </c>
      <c r="L3" s="3555">
        <f>F3*I3*(L$2-L$1)</f>
        <v>6214667.3879452059</v>
      </c>
      <c r="M3" s="3555">
        <f>F3*I3*(M$2-M$1)</f>
        <v>6214667.3879452059</v>
      </c>
      <c r="N3" s="3555">
        <f>F3*I3*(N$2-N$1)</f>
        <v>6231740.6500000004</v>
      </c>
      <c r="O3" s="3555"/>
      <c r="P3" s="3555"/>
      <c r="Q3" s="3555"/>
      <c r="R3" s="3555"/>
      <c r="S3" s="3555"/>
      <c r="T3" s="3555"/>
      <c r="U3" s="3555"/>
    </row>
    <row r="4" spans="1:21">
      <c r="A4" s="3567">
        <v>2</v>
      </c>
      <c r="B4" s="3567" t="s">
        <v>3475</v>
      </c>
      <c r="C4" s="3567" t="s">
        <v>3476</v>
      </c>
      <c r="D4" s="3567" t="s">
        <v>3472</v>
      </c>
      <c r="E4" s="3567" t="s">
        <v>3477</v>
      </c>
      <c r="F4" s="3567">
        <v>1358.87</v>
      </c>
      <c r="G4" s="3541" t="s">
        <v>3478</v>
      </c>
      <c r="H4" s="3541">
        <v>5002476.0599999996</v>
      </c>
      <c r="I4" s="3539">
        <f>H4/F4/365/3</f>
        <v>3.3619634605747666</v>
      </c>
      <c r="J4" s="3555"/>
      <c r="K4" s="3555">
        <f>F4*I4*(K$2-J$2)</f>
        <v>356340.76043835614</v>
      </c>
      <c r="L4" s="3555">
        <f>F4*I4*(L$2-L$1)</f>
        <v>1662923.5487123288</v>
      </c>
      <c r="M4" s="3555">
        <f t="shared" ref="M4:M21" si="0">F4*I4*(M$2-M$1)</f>
        <v>1662923.5487123288</v>
      </c>
      <c r="N4" s="3555">
        <f t="shared" ref="N4:N21" si="1">F4*I4*(N$2-N$1)</f>
        <v>1667492.02</v>
      </c>
      <c r="O4" s="3555"/>
      <c r="P4" s="3555"/>
      <c r="Q4" s="3555"/>
      <c r="R4" s="3555"/>
      <c r="S4" s="3555"/>
      <c r="T4" s="3555"/>
      <c r="U4" s="3555"/>
    </row>
    <row r="5" spans="1:21">
      <c r="A5" s="3567">
        <v>3</v>
      </c>
      <c r="B5" s="3567" t="s">
        <v>3475</v>
      </c>
      <c r="C5" s="3567" t="s">
        <v>3479</v>
      </c>
      <c r="D5" s="3567" t="s">
        <v>3472</v>
      </c>
      <c r="E5" s="3567" t="s">
        <v>3480</v>
      </c>
      <c r="F5" s="3567">
        <v>2355.7199999999998</v>
      </c>
      <c r="G5" s="3541" t="s">
        <v>3478</v>
      </c>
      <c r="H5" s="3541">
        <v>8672229.8200000003</v>
      </c>
      <c r="I5" s="3539">
        <f>H5/F5/365/3</f>
        <v>3.3619634695442948</v>
      </c>
      <c r="J5" s="3555"/>
      <c r="K5" s="3555">
        <f>F5*I5*(K$2-J$2)</f>
        <v>617747.87758904113</v>
      </c>
      <c r="L5" s="3555">
        <f>F5*I5*(L$2-L$1)</f>
        <v>2882823.4287488586</v>
      </c>
      <c r="M5" s="3555">
        <f t="shared" si="0"/>
        <v>2882823.4287488586</v>
      </c>
      <c r="N5" s="3555">
        <f t="shared" si="1"/>
        <v>2890743.2733333334</v>
      </c>
      <c r="O5" s="3555"/>
      <c r="P5" s="3555"/>
      <c r="Q5" s="3555"/>
      <c r="R5" s="3555"/>
      <c r="S5" s="3555"/>
      <c r="T5" s="3555"/>
      <c r="U5" s="3555"/>
    </row>
    <row r="6" spans="1:21" ht="51">
      <c r="A6" s="3567">
        <v>4</v>
      </c>
      <c r="B6" s="3567" t="s">
        <v>3475</v>
      </c>
      <c r="C6" s="3567" t="s">
        <v>3481</v>
      </c>
      <c r="D6" s="3567" t="s">
        <v>3472</v>
      </c>
      <c r="E6" s="3568" t="s">
        <v>3482</v>
      </c>
      <c r="F6" s="3567">
        <v>1738.17</v>
      </c>
      <c r="G6" s="3541" t="s">
        <v>3483</v>
      </c>
      <c r="H6" s="3541">
        <v>8041191.5899999999</v>
      </c>
      <c r="I6" s="3539">
        <f>H6/F6/365/3</f>
        <v>4.2248767171624868</v>
      </c>
      <c r="J6" s="3555"/>
      <c r="K6" s="3555">
        <f>F6*I6*(K$2-J$2)</f>
        <v>572797.209150685</v>
      </c>
      <c r="L6" s="3555">
        <f>F6*I6*(L$2-L$1)</f>
        <v>2673053.6427031965</v>
      </c>
      <c r="M6" s="3555">
        <f t="shared" si="0"/>
        <v>2673053.6427031965</v>
      </c>
      <c r="N6" s="3555">
        <f t="shared" si="1"/>
        <v>2680397.1966666668</v>
      </c>
      <c r="O6" s="3555"/>
      <c r="P6" s="3555"/>
      <c r="Q6" s="3555"/>
      <c r="R6" s="3555"/>
      <c r="S6" s="3555"/>
      <c r="T6" s="3555"/>
      <c r="U6" s="3555"/>
    </row>
    <row r="7" spans="1:21">
      <c r="A7" s="3567">
        <v>5</v>
      </c>
      <c r="B7" s="3567" t="s">
        <v>3484</v>
      </c>
      <c r="C7" s="3567" t="s">
        <v>3485</v>
      </c>
      <c r="D7" s="3567" t="s">
        <v>3472</v>
      </c>
      <c r="E7" s="3567" t="s">
        <v>3486</v>
      </c>
      <c r="F7" s="3567">
        <v>16991.61</v>
      </c>
      <c r="G7" s="3541" t="s">
        <v>3487</v>
      </c>
      <c r="H7" s="3541">
        <v>82089866.159999996</v>
      </c>
      <c r="I7" s="3539">
        <f t="shared" ref="I7" si="2">H7/F7/365/5</f>
        <v>2.6472328743904732</v>
      </c>
      <c r="J7" s="3555"/>
      <c r="K7" s="3555">
        <f>F7*I7*(K$2-J$2)</f>
        <v>3508498.3893041089</v>
      </c>
      <c r="L7" s="3555">
        <f>F7*I7*(L$2-L$1)</f>
        <v>16372992.483419174</v>
      </c>
      <c r="M7" s="3555">
        <f t="shared" si="0"/>
        <v>16372992.483419174</v>
      </c>
      <c r="N7" s="3555">
        <f t="shared" si="1"/>
        <v>16417973.231999995</v>
      </c>
      <c r="O7" s="3555"/>
      <c r="P7" s="3555"/>
      <c r="Q7" s="3555"/>
      <c r="R7" s="3555"/>
      <c r="S7" s="3555"/>
      <c r="T7" s="3555"/>
      <c r="U7" s="3555"/>
    </row>
    <row r="8" spans="1:21">
      <c r="A8" s="3567">
        <v>6</v>
      </c>
      <c r="B8" s="3567" t="s">
        <v>3488</v>
      </c>
      <c r="C8" s="3567" t="s">
        <v>3489</v>
      </c>
      <c r="D8" s="3567" t="s">
        <v>3472</v>
      </c>
      <c r="E8" s="3567" t="s">
        <v>3490</v>
      </c>
      <c r="F8" s="3567">
        <v>23851.53</v>
      </c>
      <c r="G8" s="3541" t="s">
        <v>3491</v>
      </c>
      <c r="H8" s="3541">
        <v>338536214.19</v>
      </c>
      <c r="I8" s="3539">
        <f>H8/F8/365/10</f>
        <v>3.8886246594364251</v>
      </c>
      <c r="J8" s="3555"/>
      <c r="K8" s="3555">
        <f>F8*I8*(K$2-J$2)</f>
        <v>7234472.5224164389</v>
      </c>
      <c r="L8" s="3555">
        <f>F8*I8*(L$2-L$1)</f>
        <v>33760871.771276712</v>
      </c>
      <c r="M8" s="3555">
        <f t="shared" si="0"/>
        <v>33760871.771276712</v>
      </c>
      <c r="N8" s="3555">
        <f t="shared" si="1"/>
        <v>33853621.419</v>
      </c>
      <c r="O8" s="3555"/>
      <c r="P8" s="3555"/>
      <c r="Q8" s="3555"/>
      <c r="R8" s="3555"/>
      <c r="S8" s="3555"/>
      <c r="T8" s="3555"/>
      <c r="U8" s="3555"/>
    </row>
    <row r="9" spans="1:21">
      <c r="A9" s="3567">
        <v>7</v>
      </c>
      <c r="B9" s="3569" t="s">
        <v>3506</v>
      </c>
      <c r="C9" s="3567" t="s">
        <v>3507</v>
      </c>
      <c r="D9" s="3567" t="s">
        <v>3472</v>
      </c>
      <c r="E9" s="3567" t="s">
        <v>3508</v>
      </c>
      <c r="F9" s="3567">
        <v>130.43</v>
      </c>
      <c r="G9" s="3541"/>
      <c r="H9" s="3541">
        <v>999620.76</v>
      </c>
      <c r="I9" s="3539">
        <f>H9/F9/365/5</f>
        <v>4.1994740683870742</v>
      </c>
      <c r="J9" s="3555"/>
      <c r="K9" s="3555">
        <f>F9*I9*(K$2-J$2)</f>
        <v>42723.517413698639</v>
      </c>
      <c r="L9" s="3555">
        <f>F9*I9*(L$2-L$1)</f>
        <v>199376.4145972603</v>
      </c>
      <c r="M9" s="3555">
        <f>F9*I9*(M$2-M$1)</f>
        <v>199376.4145972603</v>
      </c>
      <c r="N9" s="3555">
        <f>F9*I9*(N$2-N$1)</f>
        <v>199924.15200000003</v>
      </c>
      <c r="O9" s="3555"/>
      <c r="P9" s="3555"/>
      <c r="Q9" s="3555"/>
      <c r="R9" s="3555"/>
      <c r="S9" s="3555"/>
      <c r="T9" s="3555"/>
      <c r="U9" s="3555"/>
    </row>
    <row r="10" spans="1:21">
      <c r="A10" s="3567"/>
      <c r="B10" s="3569" t="s">
        <v>3700</v>
      </c>
      <c r="C10" s="3567"/>
      <c r="D10" s="3567"/>
      <c r="E10" s="3567"/>
      <c r="F10" s="3567">
        <f>85190.52-租赁台账!F11</f>
        <v>32913.120000000003</v>
      </c>
      <c r="G10" s="3541"/>
      <c r="H10" s="3541"/>
      <c r="I10" s="3539">
        <f>L28*0.9</f>
        <v>4.05</v>
      </c>
      <c r="J10" s="3555"/>
      <c r="K10" s="3555">
        <f>F10*I10*(K$2-J$2)</f>
        <v>10397254.607999999</v>
      </c>
      <c r="L10" s="3555">
        <f>F10*I10*(L$2-L$1)</f>
        <v>48520521.504000001</v>
      </c>
      <c r="M10" s="3555">
        <f>F10*I10*(M$2-M$1)</f>
        <v>48520521.504000001</v>
      </c>
      <c r="N10" s="3555">
        <f>F10*I10*(N$2-N$1)</f>
        <v>48653819.640000001</v>
      </c>
      <c r="O10" s="3555"/>
      <c r="P10" s="3555"/>
      <c r="Q10" s="3555"/>
      <c r="R10" s="3555"/>
      <c r="S10" s="3555"/>
      <c r="T10" s="3555"/>
      <c r="U10" s="3555"/>
    </row>
    <row r="11" spans="1:21">
      <c r="A11" s="3567"/>
      <c r="B11" s="3567"/>
      <c r="C11" s="3567"/>
      <c r="D11" s="3567"/>
      <c r="E11" s="3567"/>
      <c r="F11" s="3567">
        <f>SUM(F3:F9)</f>
        <v>52277.4</v>
      </c>
      <c r="G11" s="3541"/>
      <c r="H11" s="3541"/>
      <c r="I11" s="3539"/>
      <c r="J11" s="3555"/>
      <c r="K11" s="3555">
        <f>SUM(K3:K10)</f>
        <v>24061549.324586302</v>
      </c>
      <c r="L11" s="3555">
        <f t="shared" ref="L11:N11" si="3">SUM(L3:L10)</f>
        <v>112287230.18140274</v>
      </c>
      <c r="M11" s="3555">
        <f t="shared" si="3"/>
        <v>112287230.18140274</v>
      </c>
      <c r="N11" s="3555">
        <f t="shared" si="3"/>
        <v>112595711.583</v>
      </c>
      <c r="O11" s="3555"/>
      <c r="P11" s="3555"/>
      <c r="Q11" s="3555"/>
      <c r="R11" s="3555"/>
      <c r="S11" s="3555"/>
      <c r="T11" s="3555"/>
      <c r="U11" s="3555"/>
    </row>
    <row r="12" spans="1:21">
      <c r="A12" s="3567"/>
      <c r="B12" s="3567"/>
      <c r="C12" s="3567"/>
      <c r="D12" s="3567"/>
      <c r="E12" s="3567"/>
      <c r="F12" s="3567"/>
      <c r="G12" s="3541"/>
      <c r="H12" s="3541"/>
      <c r="I12" s="3539"/>
      <c r="J12" s="3555"/>
      <c r="K12" s="3555"/>
      <c r="L12" s="3555"/>
      <c r="M12" s="3555"/>
      <c r="N12" s="3555"/>
      <c r="O12" s="3555"/>
      <c r="P12" s="3555"/>
      <c r="Q12" s="3555"/>
      <c r="R12" s="3555"/>
      <c r="S12" s="3555"/>
      <c r="T12" s="3555"/>
      <c r="U12" s="3555"/>
    </row>
    <row r="13" spans="1:21">
      <c r="A13" s="3570">
        <v>8</v>
      </c>
      <c r="B13" s="3570" t="s">
        <v>3488</v>
      </c>
      <c r="C13" s="3570" t="s">
        <v>3492</v>
      </c>
      <c r="D13" s="3570" t="s">
        <v>3472</v>
      </c>
      <c r="E13" s="3570" t="s">
        <v>3493</v>
      </c>
      <c r="F13" s="3570">
        <v>462.64</v>
      </c>
      <c r="G13" s="3571" t="s">
        <v>3494</v>
      </c>
      <c r="H13" s="3571">
        <v>2223253.56</v>
      </c>
      <c r="I13" s="3540">
        <f>H13/F13/365/10</f>
        <v>1.3165972773291581</v>
      </c>
      <c r="J13" s="3555"/>
      <c r="K13" s="3555">
        <f>F13*I13*(K$2-J$2)</f>
        <v>47510.624021917814</v>
      </c>
      <c r="L13" s="3555">
        <f>F13*I13*(L$2-L$1)</f>
        <v>221716.24543561647</v>
      </c>
      <c r="M13" s="3555">
        <f t="shared" si="0"/>
        <v>221716.24543561647</v>
      </c>
      <c r="N13" s="3555">
        <f t="shared" si="1"/>
        <v>222325.35600000003</v>
      </c>
      <c r="O13" s="3555">
        <f t="shared" ref="O13:O21" si="4">F13*I13*(O$2-O$1)</f>
        <v>221716.24543561647</v>
      </c>
      <c r="P13" s="3555">
        <f t="shared" ref="P13:P21" si="5">F13*I13*(P$2-P$1)</f>
        <v>221716.24543561647</v>
      </c>
      <c r="Q13" s="3555">
        <f t="shared" ref="Q13:Q21" si="6">F13*I13*(Q$2-Q$1)</f>
        <v>221716.24543561647</v>
      </c>
      <c r="R13" s="3555">
        <f t="shared" ref="R13:R21" si="7">F13*I13*(R$2-R$1)</f>
        <v>222325.35600000003</v>
      </c>
      <c r="S13" s="3555">
        <f t="shared" ref="S13:S21" si="8">F13*I13*(S$2-S$1)</f>
        <v>221716.24543561647</v>
      </c>
      <c r="T13" s="3555">
        <f t="shared" ref="T13:T21" si="9">F13*I13*(T$2-T$1)</f>
        <v>221716.24543561647</v>
      </c>
      <c r="U13" s="3555">
        <f t="shared" ref="U13:U21" si="10">F13*I13*(U$2-U$1)</f>
        <v>221716.24543561647</v>
      </c>
    </row>
    <row r="14" spans="1:21">
      <c r="A14" s="3570">
        <v>9</v>
      </c>
      <c r="B14" s="3570" t="s">
        <v>3495</v>
      </c>
      <c r="C14" s="3570" t="s">
        <v>3686</v>
      </c>
      <c r="D14" s="3570" t="s">
        <v>3472</v>
      </c>
      <c r="E14" s="3570" t="s">
        <v>3496</v>
      </c>
      <c r="F14" s="3570">
        <v>1056.56</v>
      </c>
      <c r="G14" s="3571"/>
      <c r="H14" s="3571">
        <v>2579934.62</v>
      </c>
      <c r="I14" s="3540">
        <f>H14/F14/365/10</f>
        <v>0.66899315016631911</v>
      </c>
      <c r="J14" s="3555"/>
      <c r="K14" s="3555">
        <f>F14*I14*(K$2-J$2)</f>
        <v>55132.849413698634</v>
      </c>
      <c r="L14" s="3555">
        <f>F14*I14*(L$2-L$1)</f>
        <v>257286.63059726029</v>
      </c>
      <c r="M14" s="3555">
        <f t="shared" si="0"/>
        <v>257286.63059726029</v>
      </c>
      <c r="N14" s="3555">
        <f t="shared" si="1"/>
        <v>257993.462</v>
      </c>
      <c r="O14" s="3555">
        <f t="shared" si="4"/>
        <v>257286.63059726029</v>
      </c>
      <c r="P14" s="3555">
        <f t="shared" si="5"/>
        <v>257286.63059726029</v>
      </c>
      <c r="Q14" s="3555">
        <f t="shared" si="6"/>
        <v>257286.63059726029</v>
      </c>
      <c r="R14" s="3555">
        <f t="shared" si="7"/>
        <v>257993.462</v>
      </c>
      <c r="S14" s="3555">
        <f t="shared" si="8"/>
        <v>257286.63059726029</v>
      </c>
      <c r="T14" s="3555">
        <f t="shared" si="9"/>
        <v>257286.63059726029</v>
      </c>
      <c r="U14" s="3555">
        <f t="shared" si="10"/>
        <v>257286.63059726029</v>
      </c>
    </row>
    <row r="15" spans="1:21">
      <c r="A15" s="3570">
        <v>10</v>
      </c>
      <c r="B15" s="3570" t="s">
        <v>3497</v>
      </c>
      <c r="C15" s="3570" t="s">
        <v>3685</v>
      </c>
      <c r="D15" s="3570" t="s">
        <v>3472</v>
      </c>
      <c r="E15" s="3570" t="s">
        <v>3496</v>
      </c>
      <c r="F15" s="3570">
        <v>566.1</v>
      </c>
      <c r="G15" s="3571"/>
      <c r="H15" s="3571">
        <v>1382317.13</v>
      </c>
      <c r="I15" s="3540">
        <f>H15/F15/365/10</f>
        <v>0.66899314947501876</v>
      </c>
      <c r="J15" s="3555"/>
      <c r="K15" s="3555">
        <f>F15*I15*(K$2-J$2)</f>
        <v>29539.927709589036</v>
      </c>
      <c r="L15" s="3555">
        <f>F15*I15*(L$2-L$1)</f>
        <v>137852.99597808218</v>
      </c>
      <c r="M15" s="3555">
        <f t="shared" si="0"/>
        <v>137852.99597808218</v>
      </c>
      <c r="N15" s="3555">
        <f t="shared" si="1"/>
        <v>138231.71299999999</v>
      </c>
      <c r="O15" s="3555">
        <f t="shared" si="4"/>
        <v>137852.99597808218</v>
      </c>
      <c r="P15" s="3555">
        <f t="shared" si="5"/>
        <v>137852.99597808218</v>
      </c>
      <c r="Q15" s="3555">
        <f t="shared" si="6"/>
        <v>137852.99597808218</v>
      </c>
      <c r="R15" s="3555">
        <f t="shared" si="7"/>
        <v>138231.71299999999</v>
      </c>
      <c r="S15" s="3555">
        <f t="shared" si="8"/>
        <v>137852.99597808218</v>
      </c>
      <c r="T15" s="3555">
        <f t="shared" si="9"/>
        <v>137852.99597808218</v>
      </c>
      <c r="U15" s="3555">
        <f t="shared" si="10"/>
        <v>137852.99597808218</v>
      </c>
    </row>
    <row r="16" spans="1:21">
      <c r="A16" s="3570">
        <v>11</v>
      </c>
      <c r="B16" s="3570" t="s">
        <v>3495</v>
      </c>
      <c r="C16" s="3570" t="s">
        <v>3685</v>
      </c>
      <c r="D16" s="3570" t="s">
        <v>3472</v>
      </c>
      <c r="E16" s="3570" t="s">
        <v>3498</v>
      </c>
      <c r="F16" s="3570">
        <v>1934.96</v>
      </c>
      <c r="G16" s="3571"/>
      <c r="H16" s="3571">
        <v>4724833.7</v>
      </c>
      <c r="I16" s="3540">
        <f>H16/F16/365/10</f>
        <v>0.66899315040174989</v>
      </c>
      <c r="J16" s="3555"/>
      <c r="K16" s="3555">
        <f>F16*I16*(K$2-J$2)</f>
        <v>100969.04893150687</v>
      </c>
      <c r="L16" s="3555">
        <f>F16*I16*(L$2-L$1)</f>
        <v>471188.89501369873</v>
      </c>
      <c r="M16" s="3555">
        <f t="shared" si="0"/>
        <v>471188.89501369873</v>
      </c>
      <c r="N16" s="3555">
        <f t="shared" si="1"/>
        <v>472483.37000000011</v>
      </c>
      <c r="O16" s="3555">
        <f t="shared" si="4"/>
        <v>471188.89501369873</v>
      </c>
      <c r="P16" s="3555">
        <f t="shared" si="5"/>
        <v>471188.89501369873</v>
      </c>
      <c r="Q16" s="3555">
        <f t="shared" si="6"/>
        <v>471188.89501369873</v>
      </c>
      <c r="R16" s="3555">
        <f t="shared" si="7"/>
        <v>472483.37000000011</v>
      </c>
      <c r="S16" s="3555">
        <f t="shared" si="8"/>
        <v>471188.89501369873</v>
      </c>
      <c r="T16" s="3555">
        <f t="shared" si="9"/>
        <v>471188.89501369873</v>
      </c>
      <c r="U16" s="3555">
        <f t="shared" si="10"/>
        <v>471188.89501369873</v>
      </c>
    </row>
    <row r="17" spans="1:21">
      <c r="A17" s="3570">
        <v>12</v>
      </c>
      <c r="B17" s="3570" t="s">
        <v>3497</v>
      </c>
      <c r="C17" s="3570" t="s">
        <v>3685</v>
      </c>
      <c r="D17" s="3570" t="s">
        <v>3472</v>
      </c>
      <c r="E17" s="3570" t="s">
        <v>3498</v>
      </c>
      <c r="F17" s="3570">
        <v>886.09</v>
      </c>
      <c r="G17" s="3571"/>
      <c r="H17" s="3571">
        <v>2163676.71</v>
      </c>
      <c r="I17" s="3540">
        <f>H17/F17/365/10</f>
        <v>0.66899314937086218</v>
      </c>
      <c r="J17" s="3555"/>
      <c r="K17" s="3555">
        <f>F17*I17*(K$2-J$2)</f>
        <v>46237.474898630135</v>
      </c>
      <c r="L17" s="3555">
        <f>F17*I17*(L$2-L$1)</f>
        <v>215774.88286027394</v>
      </c>
      <c r="M17" s="3555">
        <f t="shared" si="0"/>
        <v>215774.88286027394</v>
      </c>
      <c r="N17" s="3555">
        <f t="shared" si="1"/>
        <v>216367.67099999997</v>
      </c>
      <c r="O17" s="3555">
        <f t="shared" si="4"/>
        <v>215774.88286027394</v>
      </c>
      <c r="P17" s="3555">
        <f t="shared" si="5"/>
        <v>215774.88286027394</v>
      </c>
      <c r="Q17" s="3555">
        <f t="shared" si="6"/>
        <v>215774.88286027394</v>
      </c>
      <c r="R17" s="3555">
        <f t="shared" si="7"/>
        <v>216367.67099999997</v>
      </c>
      <c r="S17" s="3555">
        <f t="shared" si="8"/>
        <v>215774.88286027394</v>
      </c>
      <c r="T17" s="3555">
        <f t="shared" si="9"/>
        <v>215774.88286027394</v>
      </c>
      <c r="U17" s="3555">
        <f t="shared" si="10"/>
        <v>215774.88286027394</v>
      </c>
    </row>
    <row r="18" spans="1:21">
      <c r="A18" s="3570">
        <v>13</v>
      </c>
      <c r="B18" s="3570" t="s">
        <v>3495</v>
      </c>
      <c r="C18" s="3570" t="s">
        <v>3684</v>
      </c>
      <c r="D18" s="3570" t="s">
        <v>3472</v>
      </c>
      <c r="E18" s="3570" t="s">
        <v>3500</v>
      </c>
      <c r="F18" s="3572"/>
      <c r="G18" s="3571" t="s">
        <v>3501</v>
      </c>
      <c r="H18" s="3571">
        <v>20660514.66</v>
      </c>
      <c r="I18" s="3540"/>
      <c r="J18" s="3555"/>
      <c r="K18" s="3555">
        <f>F18*I18*(K$2-J$2)</f>
        <v>0</v>
      </c>
      <c r="L18" s="3555">
        <f>F18*I18*(L$2-L$1)</f>
        <v>0</v>
      </c>
      <c r="M18" s="3555">
        <f t="shared" si="0"/>
        <v>0</v>
      </c>
      <c r="N18" s="3555">
        <f t="shared" si="1"/>
        <v>0</v>
      </c>
      <c r="O18" s="3555">
        <f t="shared" si="4"/>
        <v>0</v>
      </c>
      <c r="P18" s="3555">
        <f t="shared" si="5"/>
        <v>0</v>
      </c>
      <c r="Q18" s="3555">
        <f t="shared" si="6"/>
        <v>0</v>
      </c>
      <c r="R18" s="3555">
        <f t="shared" si="7"/>
        <v>0</v>
      </c>
      <c r="S18" s="3555">
        <f t="shared" si="8"/>
        <v>0</v>
      </c>
      <c r="T18" s="3555">
        <f t="shared" si="9"/>
        <v>0</v>
      </c>
      <c r="U18" s="3555">
        <f t="shared" si="10"/>
        <v>0</v>
      </c>
    </row>
    <row r="19" spans="1:21">
      <c r="A19" s="3570">
        <v>14</v>
      </c>
      <c r="B19" s="3573" t="s">
        <v>3502</v>
      </c>
      <c r="C19" s="3570" t="s">
        <v>3499</v>
      </c>
      <c r="D19" s="3570" t="s">
        <v>3472</v>
      </c>
      <c r="E19" s="3570" t="s">
        <v>3500</v>
      </c>
      <c r="F19" s="3574">
        <v>261.22000000000003</v>
      </c>
      <c r="G19" s="3571" t="s">
        <v>3503</v>
      </c>
      <c r="H19" s="3571">
        <v>999620.76</v>
      </c>
      <c r="I19" s="3540">
        <f t="shared" ref="I19" si="11">H19/F19/365/10</f>
        <v>1.0484216421784818</v>
      </c>
      <c r="J19" s="3555"/>
      <c r="K19" s="3555">
        <f>F19*I19*(K$2-J$2)</f>
        <v>21361.758706849319</v>
      </c>
      <c r="L19" s="3555">
        <f>F19*I19*(L$2-L$1)</f>
        <v>99688.20729863015</v>
      </c>
      <c r="M19" s="3555">
        <f t="shared" si="0"/>
        <v>99688.20729863015</v>
      </c>
      <c r="N19" s="3555">
        <f t="shared" si="1"/>
        <v>99962.076000000015</v>
      </c>
      <c r="O19" s="3555">
        <f t="shared" si="4"/>
        <v>99688.20729863015</v>
      </c>
      <c r="P19" s="3555">
        <f t="shared" si="5"/>
        <v>99688.20729863015</v>
      </c>
      <c r="Q19" s="3555">
        <f t="shared" si="6"/>
        <v>99688.20729863015</v>
      </c>
      <c r="R19" s="3555">
        <f t="shared" si="7"/>
        <v>99962.076000000015</v>
      </c>
      <c r="S19" s="3555">
        <f t="shared" si="8"/>
        <v>99688.20729863015</v>
      </c>
      <c r="T19" s="3555">
        <f t="shared" si="9"/>
        <v>99688.20729863015</v>
      </c>
      <c r="U19" s="3555">
        <f t="shared" si="10"/>
        <v>99688.20729863015</v>
      </c>
    </row>
    <row r="20" spans="1:21">
      <c r="A20" s="3570">
        <v>15</v>
      </c>
      <c r="B20" s="3570" t="s">
        <v>3488</v>
      </c>
      <c r="C20" s="3570" t="s">
        <v>3504</v>
      </c>
      <c r="D20" s="3570" t="s">
        <v>3472</v>
      </c>
      <c r="E20" s="3570" t="s">
        <v>3505</v>
      </c>
      <c r="F20" s="3570">
        <v>2908.4</v>
      </c>
      <c r="G20" s="3571"/>
      <c r="H20" s="3571">
        <v>20660514.66</v>
      </c>
      <c r="I20" s="3540">
        <f>H20/F20/365/10</f>
        <v>1.9462298773698479</v>
      </c>
      <c r="J20" s="3555"/>
      <c r="K20" s="3555">
        <f>F20*I20*(K$2-J$2)</f>
        <v>441512.3680767123</v>
      </c>
      <c r="L20" s="3555">
        <f>F20*I20*(L$2-L$1)</f>
        <v>2060391.0510246574</v>
      </c>
      <c r="M20" s="3555">
        <f t="shared" si="0"/>
        <v>2060391.0510246574</v>
      </c>
      <c r="N20" s="3555">
        <f t="shared" si="1"/>
        <v>2066051.4659999998</v>
      </c>
      <c r="O20" s="3555">
        <f t="shared" si="4"/>
        <v>2060391.0510246574</v>
      </c>
      <c r="P20" s="3555">
        <f t="shared" si="5"/>
        <v>2060391.0510246574</v>
      </c>
      <c r="Q20" s="3555">
        <f t="shared" si="6"/>
        <v>2060391.0510246574</v>
      </c>
      <c r="R20" s="3555">
        <f t="shared" si="7"/>
        <v>2066051.4659999998</v>
      </c>
      <c r="S20" s="3555">
        <f t="shared" si="8"/>
        <v>2060391.0510246574</v>
      </c>
      <c r="T20" s="3555">
        <f t="shared" si="9"/>
        <v>2060391.0510246574</v>
      </c>
      <c r="U20" s="3555">
        <f t="shared" si="10"/>
        <v>2060391.0510246574</v>
      </c>
    </row>
    <row r="21" spans="1:21">
      <c r="A21" s="3570">
        <v>16</v>
      </c>
      <c r="B21" s="3573" t="s">
        <v>3509</v>
      </c>
      <c r="C21" s="3570" t="s">
        <v>3510</v>
      </c>
      <c r="D21" s="3570" t="s">
        <v>3472</v>
      </c>
      <c r="E21" s="3573" t="s">
        <v>3511</v>
      </c>
      <c r="F21" s="3570">
        <v>0.8</v>
      </c>
      <c r="G21" s="3571"/>
      <c r="H21" s="3571">
        <v>12000</v>
      </c>
      <c r="I21" s="3540">
        <f>H21/F21/365/2</f>
        <v>20.547945205479451</v>
      </c>
      <c r="J21" s="3555"/>
      <c r="K21" s="3555">
        <f>F21*I21*(K$2-J$2)</f>
        <v>1282.1917808219177</v>
      </c>
      <c r="L21" s="3555">
        <f>F21*I21*(L$2-L$1)</f>
        <v>5983.5616438356155</v>
      </c>
      <c r="M21" s="3555">
        <f t="shared" si="0"/>
        <v>5983.5616438356155</v>
      </c>
      <c r="N21" s="3555">
        <f t="shared" si="1"/>
        <v>5999.9999999999991</v>
      </c>
      <c r="O21" s="3555">
        <f t="shared" si="4"/>
        <v>5983.5616438356155</v>
      </c>
      <c r="P21" s="3555">
        <f t="shared" si="5"/>
        <v>5983.5616438356155</v>
      </c>
      <c r="Q21" s="3555">
        <f t="shared" si="6"/>
        <v>5983.5616438356155</v>
      </c>
      <c r="R21" s="3555">
        <f t="shared" si="7"/>
        <v>5999.9999999999991</v>
      </c>
      <c r="S21" s="3555">
        <f t="shared" si="8"/>
        <v>5983.5616438356155</v>
      </c>
      <c r="T21" s="3555">
        <f t="shared" si="9"/>
        <v>5983.5616438356155</v>
      </c>
      <c r="U21" s="3555">
        <f t="shared" si="10"/>
        <v>5983.5616438356155</v>
      </c>
    </row>
    <row r="22" spans="1:21">
      <c r="A22" s="3597"/>
      <c r="B22" s="3598" t="s">
        <v>3700</v>
      </c>
      <c r="C22" s="3597"/>
      <c r="D22" s="3597"/>
      <c r="E22" s="3598"/>
      <c r="F22" s="3597">
        <f>121804.97-F23</f>
        <v>113728.2</v>
      </c>
      <c r="G22" s="3599"/>
      <c r="H22" s="3599"/>
      <c r="I22" s="3540">
        <f>Q28*0.9</f>
        <v>1.1700000000000002</v>
      </c>
      <c r="J22" s="3555"/>
      <c r="K22" s="3555">
        <f>F22*I22*(K$2-J$2)</f>
        <v>10378835.532</v>
      </c>
      <c r="L22" s="3555">
        <f>F22*I22*(L$2-L$1)</f>
        <v>48434565.816</v>
      </c>
      <c r="M22" s="3555">
        <f t="shared" ref="M22" si="12">F22*I22*(M$2-M$1)</f>
        <v>48434565.816</v>
      </c>
      <c r="N22" s="3555">
        <f t="shared" ref="N22" si="13">F22*I22*(N$2-N$1)</f>
        <v>48567627.810000002</v>
      </c>
      <c r="O22" s="3555">
        <f t="shared" ref="O22" si="14">F22*I22*(O$2-O$1)</f>
        <v>48434565.816</v>
      </c>
      <c r="P22" s="3555">
        <f t="shared" ref="P22" si="15">F22*I22*(P$2-P$1)</f>
        <v>48434565.816</v>
      </c>
      <c r="Q22" s="3555">
        <f t="shared" ref="Q22" si="16">F22*I22*(Q$2-Q$1)</f>
        <v>48434565.816</v>
      </c>
      <c r="R22" s="3555">
        <f t="shared" ref="R22" si="17">F22*I22*(R$2-R$1)</f>
        <v>48567627.810000002</v>
      </c>
      <c r="S22" s="3555">
        <f t="shared" ref="S22" si="18">F22*I22*(S$2-S$1)</f>
        <v>48434565.816</v>
      </c>
      <c r="T22" s="3555">
        <f t="shared" ref="T22" si="19">F22*I22*(T$2-T$1)</f>
        <v>48434565.816</v>
      </c>
      <c r="U22" s="3555">
        <f t="shared" ref="U22" si="20">F22*I22*(U$2-U$1)</f>
        <v>48434565.816</v>
      </c>
    </row>
    <row r="23" spans="1:21">
      <c r="F23" s="3194">
        <f>SUM(F13:F21)</f>
        <v>8076.7699999999995</v>
      </c>
      <c r="J23" s="3555"/>
      <c r="K23" s="3555">
        <f>SUM(K13:K22)</f>
        <v>11122381.775539726</v>
      </c>
      <c r="L23" s="3555">
        <f t="shared" ref="L23:U23" si="21">SUM(L13:L22)</f>
        <v>51904448.285852052</v>
      </c>
      <c r="M23" s="3555">
        <f t="shared" si="21"/>
        <v>51904448.285852052</v>
      </c>
      <c r="N23" s="3555">
        <f t="shared" si="21"/>
        <v>52047042.924000002</v>
      </c>
      <c r="O23" s="3555">
        <f t="shared" si="21"/>
        <v>51904448.285852052</v>
      </c>
      <c r="P23" s="3555">
        <f t="shared" si="21"/>
        <v>51904448.285852052</v>
      </c>
      <c r="Q23" s="3555">
        <f t="shared" si="21"/>
        <v>51904448.285852052</v>
      </c>
      <c r="R23" s="3555">
        <f t="shared" si="21"/>
        <v>52047042.924000002</v>
      </c>
      <c r="S23" s="3555">
        <f t="shared" si="21"/>
        <v>51904448.285852052</v>
      </c>
      <c r="T23" s="3555">
        <f t="shared" si="21"/>
        <v>51904448.285852052</v>
      </c>
      <c r="U23" s="3555">
        <f t="shared" si="21"/>
        <v>51904448.285852052</v>
      </c>
    </row>
    <row r="24" spans="1:21">
      <c r="C24" s="3194" t="s">
        <v>3693</v>
      </c>
      <c r="D24" s="3194" t="s">
        <v>3694</v>
      </c>
      <c r="E24" s="3194" t="s">
        <v>3695</v>
      </c>
    </row>
    <row r="25" spans="1:21">
      <c r="B25" s="3194" t="s">
        <v>3674</v>
      </c>
      <c r="C25" s="3194">
        <f>'数据-汇总表'!F31</f>
        <v>85190.51999999999</v>
      </c>
      <c r="D25" s="3194">
        <f>SUM(F3:F9)</f>
        <v>52277.4</v>
      </c>
      <c r="E25" s="3194">
        <f>D25/C25</f>
        <v>0.6136527867185223</v>
      </c>
      <c r="J25" s="3575" t="s">
        <v>3674</v>
      </c>
      <c r="K25" s="3556" t="s">
        <v>3677</v>
      </c>
      <c r="L25" s="3557">
        <f>ROUND((N2-J2)/365,2)</f>
        <v>3.22</v>
      </c>
      <c r="M25" s="3557" t="s">
        <v>3678</v>
      </c>
      <c r="O25" s="3575" t="s">
        <v>3675</v>
      </c>
      <c r="P25" s="3556" t="s">
        <v>3677</v>
      </c>
      <c r="Q25" s="3557">
        <f>ROUND((U2-J2)/365,2)</f>
        <v>10.220000000000001</v>
      </c>
      <c r="R25" s="3557" t="s">
        <v>3678</v>
      </c>
    </row>
    <row r="26" spans="1:21">
      <c r="B26" s="3194" t="s">
        <v>3675</v>
      </c>
      <c r="C26" s="3194">
        <f>'数据-汇总表'!G31</f>
        <v>140851.32</v>
      </c>
      <c r="D26" s="3194">
        <f>SUM(F13:F21)</f>
        <v>8076.7699999999995</v>
      </c>
      <c r="E26" s="3194">
        <f>D26/C26</f>
        <v>5.7342522597587292E-2</v>
      </c>
      <c r="K26" s="3556" t="s">
        <v>3679</v>
      </c>
      <c r="L26" s="3557">
        <f>SUM(K11:N11)</f>
        <v>361231721.27039182</v>
      </c>
      <c r="M26" s="3557">
        <f>ROUND(L26/L27/L25/365,2)</f>
        <v>3.61</v>
      </c>
      <c r="P26" s="3556" t="s">
        <v>3679</v>
      </c>
      <c r="Q26" s="3557">
        <f>SUM(K23:U23)</f>
        <v>530452053.91035628</v>
      </c>
      <c r="R26" s="3557">
        <f>ROUND(Q26/Q27/Q25/365,2)</f>
        <v>1.17</v>
      </c>
    </row>
    <row r="27" spans="1:21">
      <c r="K27" s="3556" t="s">
        <v>3680</v>
      </c>
      <c r="L27" s="3557">
        <f>'数据-汇总表'!F19</f>
        <v>85190.51999999999</v>
      </c>
      <c r="M27" s="3557"/>
      <c r="P27" s="3556" t="s">
        <v>3680</v>
      </c>
      <c r="Q27" s="3557">
        <f>'数据-汇总表'!G20</f>
        <v>121804.97</v>
      </c>
      <c r="R27" s="3557"/>
    </row>
    <row r="28" spans="1:21">
      <c r="K28" s="3556" t="s">
        <v>3681</v>
      </c>
      <c r="L28" s="3557">
        <v>4.5</v>
      </c>
      <c r="M28" s="3557"/>
      <c r="P28" s="3556" t="s">
        <v>3681</v>
      </c>
      <c r="Q28" s="3557">
        <v>1.3</v>
      </c>
      <c r="R28" s="3557"/>
    </row>
    <row r="29" spans="1:21">
      <c r="K29" s="3556" t="s">
        <v>3682</v>
      </c>
      <c r="L29" s="3558">
        <v>0.02</v>
      </c>
      <c r="M29" s="3557"/>
      <c r="P29" s="3556" t="s">
        <v>3682</v>
      </c>
      <c r="Q29" s="3558">
        <v>0.02</v>
      </c>
      <c r="R29" s="3557"/>
    </row>
    <row r="30" spans="1:21">
      <c r="K30" s="3556" t="s">
        <v>3683</v>
      </c>
      <c r="L30" s="3557">
        <f>ROUND(L28*(1+L29)^L25,2)</f>
        <v>4.8</v>
      </c>
      <c r="M30" s="3557"/>
      <c r="P30" s="3556" t="s">
        <v>3683</v>
      </c>
      <c r="Q30" s="3557">
        <f>ROUND(Q28*(1+Q29)^Q25,2)</f>
        <v>1.59</v>
      </c>
      <c r="R30" s="3557"/>
    </row>
  </sheetData>
  <mergeCells count="1">
    <mergeCell ref="A1:H1"/>
  </mergeCells>
  <phoneticPr fontId="134" type="noConversion"/>
  <pageMargins left="0.75" right="0.75" top="1" bottom="1" header="0.5" footer="0.5"/>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0956F-7B71-41B0-9B6A-8A07C100F333}">
  <sheetPr>
    <pageSetUpPr fitToPage="1"/>
  </sheetPr>
  <dimension ref="A1:R48"/>
  <sheetViews>
    <sheetView topLeftCell="A10" zoomScale="98" zoomScaleNormal="98" workbookViewId="0">
      <selection activeCell="J30" sqref="J30"/>
    </sheetView>
  </sheetViews>
  <sheetFormatPr defaultColWidth="9" defaultRowHeight="13.5"/>
  <cols>
    <col min="1" max="1" width="9" style="3194"/>
    <col min="2" max="2" width="9.875" style="3194" bestFit="1" customWidth="1"/>
    <col min="3" max="3" width="31.125" style="3194" bestFit="1" customWidth="1"/>
    <col min="4" max="5" width="9" style="3194"/>
    <col min="6" max="6" width="11.25" style="3194" customWidth="1"/>
    <col min="7" max="8" width="14.375" style="3194" customWidth="1"/>
    <col min="9" max="9" width="10.5" style="3194" customWidth="1"/>
    <col min="10" max="10" width="13.75" style="3194" customWidth="1"/>
    <col min="11" max="13" width="9" style="3194"/>
    <col min="14" max="14" width="12.75" style="3194" bestFit="1" customWidth="1"/>
    <col min="15" max="16384" width="9" style="3194"/>
  </cols>
  <sheetData>
    <row r="1" spans="2:18">
      <c r="F1" s="3194" t="s">
        <v>3410</v>
      </c>
      <c r="G1" s="3194">
        <v>80867.399999999994</v>
      </c>
      <c r="I1" s="3194" t="s">
        <v>3411</v>
      </c>
      <c r="J1" s="3194">
        <f>(G2-G8)/G1</f>
        <v>2.912612004342912</v>
      </c>
    </row>
    <row r="2" spans="2:18">
      <c r="F2" s="3194" t="s">
        <v>3412</v>
      </c>
      <c r="G2" s="3194">
        <v>376386.68</v>
      </c>
      <c r="I2" s="3194" t="s">
        <v>3413</v>
      </c>
      <c r="J2" s="3195">
        <f>G2/G1</f>
        <v>4.654368509436436</v>
      </c>
    </row>
    <row r="3" spans="2:18" ht="15.75">
      <c r="B3" s="3196" t="s">
        <v>3414</v>
      </c>
      <c r="C3" s="3196"/>
      <c r="D3" s="3196" t="s">
        <v>3415</v>
      </c>
      <c r="E3" s="3196" t="s">
        <v>3416</v>
      </c>
      <c r="F3" s="3196" t="s">
        <v>3417</v>
      </c>
      <c r="G3" s="3196" t="s">
        <v>3418</v>
      </c>
      <c r="H3" s="3196" t="s">
        <v>3419</v>
      </c>
      <c r="I3" s="3197">
        <v>6.0433249100000003E-2</v>
      </c>
      <c r="J3" s="3197"/>
    </row>
    <row r="4" spans="2:18" ht="15.75">
      <c r="B4" s="3196" t="s">
        <v>3420</v>
      </c>
      <c r="C4" s="3196" t="s">
        <v>3421</v>
      </c>
      <c r="D4" s="3171" t="s">
        <v>3422</v>
      </c>
      <c r="E4" s="3171" t="s">
        <v>3422</v>
      </c>
      <c r="F4" s="3196" t="s">
        <v>3423</v>
      </c>
      <c r="G4" s="3196">
        <v>25087.16</v>
      </c>
      <c r="H4" s="3196">
        <f>ROUND(G4*$I$3+G4*$I$4,2)</f>
        <v>5390.02</v>
      </c>
      <c r="I4" s="3197">
        <v>0.1544186686</v>
      </c>
      <c r="J4" s="3197"/>
    </row>
    <row r="5" spans="2:18" ht="15.75">
      <c r="B5" s="3196" t="s">
        <v>3424</v>
      </c>
      <c r="C5" s="3196" t="s">
        <v>3425</v>
      </c>
      <c r="D5" s="3171" t="s">
        <v>3422</v>
      </c>
      <c r="E5" s="3171" t="s">
        <v>3422</v>
      </c>
      <c r="F5" s="3196" t="s">
        <v>3423</v>
      </c>
      <c r="G5" s="3196">
        <v>24614.21</v>
      </c>
      <c r="H5" s="3196">
        <f t="shared" ref="H5:H7" si="0">ROUND(G5*$I$3+G5*$I$4,2)</f>
        <v>5288.41</v>
      </c>
      <c r="I5" s="3197"/>
      <c r="J5" s="3197">
        <f>400000/G9</f>
        <v>1.7695838965034085</v>
      </c>
    </row>
    <row r="6" spans="2:18" ht="15.75">
      <c r="B6" s="3196" t="s">
        <v>3426</v>
      </c>
      <c r="C6" s="3196" t="s">
        <v>3427</v>
      </c>
      <c r="D6" s="3171" t="s">
        <v>3428</v>
      </c>
      <c r="E6" s="3171" t="s">
        <v>3428</v>
      </c>
      <c r="F6" s="3196" t="s">
        <v>3423</v>
      </c>
      <c r="G6" s="3196">
        <v>18497.71</v>
      </c>
      <c r="H6" s="3196">
        <f t="shared" si="0"/>
        <v>3974.27</v>
      </c>
      <c r="I6" s="3197"/>
      <c r="J6" s="3197"/>
    </row>
    <row r="7" spans="2:18" ht="15.75">
      <c r="B7" s="3196" t="s">
        <v>3429</v>
      </c>
      <c r="C7" s="3196" t="s">
        <v>3430</v>
      </c>
      <c r="D7" s="3171" t="s">
        <v>3431</v>
      </c>
      <c r="E7" s="3171" t="s">
        <v>3431</v>
      </c>
      <c r="F7" s="3196" t="s">
        <v>3423</v>
      </c>
      <c r="G7" s="3196">
        <v>16991.439999999999</v>
      </c>
      <c r="H7" s="3196">
        <f t="shared" si="0"/>
        <v>3650.64</v>
      </c>
      <c r="I7" s="3197"/>
      <c r="J7" s="3197"/>
      <c r="M7" s="3194">
        <f>L8/M8</f>
        <v>47.874765525982262</v>
      </c>
      <c r="N7" s="3194">
        <v>1000</v>
      </c>
      <c r="Q7" s="3194">
        <v>17000</v>
      </c>
      <c r="R7" s="3194">
        <f>Q7*C21/10000</f>
        <v>384271.12800000003</v>
      </c>
    </row>
    <row r="8" spans="2:18" ht="15.75">
      <c r="B8" s="3196" t="s">
        <v>3432</v>
      </c>
      <c r="C8" s="3196" t="s">
        <v>3433</v>
      </c>
      <c r="D8" s="3171" t="s">
        <v>3434</v>
      </c>
      <c r="E8" s="3171" t="s">
        <v>3434</v>
      </c>
      <c r="F8" s="3196"/>
      <c r="G8" s="3196">
        <v>140851.32</v>
      </c>
      <c r="H8" s="3196">
        <f>ROUND(G8*$I$3+G8*$I$4,2)</f>
        <v>30262.18</v>
      </c>
      <c r="I8" s="3197"/>
      <c r="J8" s="3196" t="s">
        <v>3435</v>
      </c>
      <c r="K8" s="3196">
        <v>78892.800000000003</v>
      </c>
      <c r="L8" s="3198">
        <f>ROUND(K8/K12*L12,2)</f>
        <v>75546.38</v>
      </c>
      <c r="M8" s="3196">
        <v>1578</v>
      </c>
      <c r="N8" s="3195">
        <f>M8*O8*12/365/L8</f>
        <v>0.68672320308126633</v>
      </c>
      <c r="O8" s="3194">
        <v>1000</v>
      </c>
      <c r="Q8" s="3194">
        <f>Q7*0.25*0.15</f>
        <v>637.5</v>
      </c>
      <c r="R8" s="3194">
        <f>Q8*L8/10000</f>
        <v>4816.081725</v>
      </c>
    </row>
    <row r="9" spans="2:18" ht="15.75">
      <c r="B9" s="3196" t="s">
        <v>2581</v>
      </c>
      <c r="C9" s="3196"/>
      <c r="D9" s="3171"/>
      <c r="E9" s="3171"/>
      <c r="F9" s="3196"/>
      <c r="G9" s="3196">
        <f>SUM(G4:G8)</f>
        <v>226041.84</v>
      </c>
      <c r="H9" s="3196">
        <f>SUM(H4:H8)</f>
        <v>48565.520000000004</v>
      </c>
      <c r="I9" s="3197"/>
      <c r="J9" s="3196" t="s">
        <v>3436</v>
      </c>
      <c r="K9" s="3196">
        <v>42660</v>
      </c>
      <c r="L9" s="3198">
        <f>ROUND(K9/K12*L12,2)</f>
        <v>40850.480000000003</v>
      </c>
      <c r="M9" s="3196"/>
      <c r="N9" s="3194">
        <v>2.5</v>
      </c>
      <c r="Q9" s="3194">
        <f>Q7*0.25*0.25</f>
        <v>1062.5</v>
      </c>
      <c r="R9" s="3194">
        <f t="shared" ref="R9:R10" si="1">Q9*L9/10000</f>
        <v>4340.3635000000004</v>
      </c>
    </row>
    <row r="10" spans="2:18" ht="15.75">
      <c r="B10" s="3196"/>
      <c r="C10" s="3196"/>
      <c r="D10" s="3171"/>
      <c r="E10" s="3171"/>
      <c r="F10" s="3196"/>
      <c r="G10" s="3196"/>
      <c r="H10" s="3196"/>
      <c r="I10" s="3197"/>
      <c r="J10" s="3196" t="s">
        <v>3437</v>
      </c>
      <c r="K10" s="3196">
        <v>5647.67</v>
      </c>
      <c r="L10" s="3198">
        <f>ROUND(K10/K12*L12,2)</f>
        <v>5408.11</v>
      </c>
      <c r="M10" s="3196"/>
      <c r="N10" s="3194">
        <v>1</v>
      </c>
      <c r="Q10" s="3194">
        <f>Q9</f>
        <v>1062.5</v>
      </c>
      <c r="R10" s="3194">
        <f t="shared" si="1"/>
        <v>574.61168750000002</v>
      </c>
    </row>
    <row r="11" spans="2:18" ht="15.75">
      <c r="B11" s="3196"/>
      <c r="C11" s="3196"/>
      <c r="D11" s="3171"/>
      <c r="E11" s="3171"/>
      <c r="F11" s="3196"/>
      <c r="G11" s="3196"/>
      <c r="H11" s="3196"/>
      <c r="I11" s="3197"/>
      <c r="J11" s="3196" t="s">
        <v>3438</v>
      </c>
      <c r="K11" s="3196">
        <v>19890.04</v>
      </c>
      <c r="L11" s="3198">
        <f>L12-L10-L9-L8</f>
        <v>19046.350000000006</v>
      </c>
      <c r="M11" s="3196"/>
      <c r="R11" s="3194">
        <f>SUM(R7:R10)</f>
        <v>394002.18491249997</v>
      </c>
    </row>
    <row r="12" spans="2:18" ht="15.75">
      <c r="B12" s="3196"/>
      <c r="C12" s="3196"/>
      <c r="D12" s="3171"/>
      <c r="E12" s="3171"/>
      <c r="F12" s="3196"/>
      <c r="G12" s="3196"/>
      <c r="H12" s="3196"/>
      <c r="I12" s="3197"/>
      <c r="J12" s="3196"/>
      <c r="K12" s="3196">
        <f>SUM(K8:K11)</f>
        <v>147090.51</v>
      </c>
      <c r="L12" s="3198">
        <f>G8</f>
        <v>140851.32</v>
      </c>
      <c r="M12" s="3196"/>
      <c r="N12" s="3199">
        <f>(L8*N8+L9*N9+L10*N10)/(L8+L9+L10)</f>
        <v>1.3087623768947565</v>
      </c>
    </row>
    <row r="13" spans="2:18" ht="15.75">
      <c r="B13" s="3196"/>
      <c r="C13" s="3196"/>
      <c r="D13" s="3196"/>
      <c r="E13" s="3196"/>
      <c r="F13" s="3196"/>
      <c r="G13" s="3196"/>
      <c r="H13" s="3196"/>
      <c r="I13" s="3197"/>
      <c r="J13" s="3197"/>
    </row>
    <row r="14" spans="2:18" ht="15.75">
      <c r="J14" s="3196">
        <v>-3</v>
      </c>
      <c r="K14" s="3196">
        <v>61819.96</v>
      </c>
      <c r="L14" s="3196">
        <v>36029.769999999997</v>
      </c>
      <c r="M14" s="3196">
        <f>K14-L14</f>
        <v>25790.190000000002</v>
      </c>
    </row>
    <row r="15" spans="2:18" ht="15.75">
      <c r="J15" s="3196">
        <v>-2</v>
      </c>
      <c r="K15" s="3196">
        <v>62279.23</v>
      </c>
      <c r="L15" s="3196">
        <v>370.89</v>
      </c>
      <c r="M15" s="3196">
        <f t="shared" ref="M15:M18" si="2">K15-L15</f>
        <v>61908.340000000004</v>
      </c>
    </row>
    <row r="16" spans="2:18" ht="15.75">
      <c r="B16" s="3194" t="s">
        <v>3439</v>
      </c>
      <c r="J16" s="3196">
        <v>-1</v>
      </c>
      <c r="K16" s="3196">
        <v>54763.77</v>
      </c>
      <c r="L16" s="3196">
        <v>384.05</v>
      </c>
      <c r="M16" s="3196">
        <f t="shared" si="2"/>
        <v>54379.719999999994</v>
      </c>
    </row>
    <row r="17" spans="2:13" ht="15.75">
      <c r="B17" s="3172"/>
      <c r="C17" s="3173" t="s">
        <v>3440</v>
      </c>
      <c r="D17" s="3173" t="s">
        <v>3441</v>
      </c>
      <c r="E17" s="3173" t="s">
        <v>3442</v>
      </c>
      <c r="F17" s="3172"/>
      <c r="G17" s="3174" t="s">
        <v>3443</v>
      </c>
      <c r="J17" s="3196" t="s">
        <v>3444</v>
      </c>
      <c r="K17" s="3196">
        <v>2878.54</v>
      </c>
      <c r="L17" s="3196"/>
      <c r="M17" s="3196">
        <f t="shared" si="2"/>
        <v>2878.54</v>
      </c>
    </row>
    <row r="18" spans="2:13" ht="15.75">
      <c r="B18" s="3175" t="s">
        <v>3445</v>
      </c>
      <c r="C18" s="3176">
        <f>C19+C20</f>
        <v>226041.84</v>
      </c>
      <c r="D18" s="3176">
        <f>E18/C18</f>
        <v>3369.3617075493635</v>
      </c>
      <c r="E18" s="3176">
        <f>E19+E20</f>
        <v>761616720</v>
      </c>
      <c r="F18" s="3172"/>
      <c r="G18" s="3177">
        <v>1</v>
      </c>
      <c r="J18" s="3196">
        <v>1</v>
      </c>
      <c r="K18" s="3196">
        <v>1107.03</v>
      </c>
      <c r="L18" s="3196">
        <v>440.63</v>
      </c>
      <c r="M18" s="3196">
        <f t="shared" si="2"/>
        <v>666.4</v>
      </c>
    </row>
    <row r="19" spans="2:13" ht="15.75">
      <c r="B19" s="3173" t="s">
        <v>3446</v>
      </c>
      <c r="C19" s="3178">
        <f>'数据-汇总表'!F27</f>
        <v>85190.51999999999</v>
      </c>
      <c r="D19" s="3172">
        <v>1500</v>
      </c>
      <c r="E19" s="3172">
        <f>D19*C19</f>
        <v>127785779.99999999</v>
      </c>
      <c r="F19" s="3172"/>
      <c r="G19" s="3172"/>
      <c r="J19" s="3196"/>
      <c r="K19" s="3196">
        <f>SUM(K14:K18)</f>
        <v>182848.53</v>
      </c>
      <c r="L19" s="3196">
        <f t="shared" ref="L19:M19" si="3">SUM(L14:L18)</f>
        <v>37225.339999999997</v>
      </c>
      <c r="M19" s="3196">
        <f t="shared" si="3"/>
        <v>145623.19</v>
      </c>
    </row>
    <row r="20" spans="2:13">
      <c r="B20" s="3173" t="s">
        <v>3447</v>
      </c>
      <c r="C20" s="3178">
        <f>G8</f>
        <v>140851.32</v>
      </c>
      <c r="D20" s="3172">
        <v>4500</v>
      </c>
      <c r="E20" s="3172">
        <f t="shared" ref="E20:E23" si="4">D20*C20</f>
        <v>633830940</v>
      </c>
      <c r="F20" s="3172"/>
      <c r="G20" s="3172"/>
    </row>
    <row r="21" spans="2:13">
      <c r="B21" s="3175" t="s">
        <v>3448</v>
      </c>
      <c r="C21" s="3176">
        <f>C18</f>
        <v>226041.84</v>
      </c>
      <c r="D21" s="3176">
        <v>1000</v>
      </c>
      <c r="E21" s="3176">
        <f t="shared" si="4"/>
        <v>226041840</v>
      </c>
      <c r="F21" s="3172"/>
      <c r="G21" s="3177">
        <v>1</v>
      </c>
    </row>
    <row r="22" spans="2:13">
      <c r="B22" s="3175" t="s">
        <v>3449</v>
      </c>
      <c r="C22" s="3176">
        <f>C18</f>
        <v>226041.84</v>
      </c>
      <c r="D22" s="3176">
        <v>1500</v>
      </c>
      <c r="E22" s="3176">
        <f t="shared" si="4"/>
        <v>339062760</v>
      </c>
      <c r="F22" s="3172"/>
      <c r="G22" s="3177">
        <v>1</v>
      </c>
    </row>
    <row r="23" spans="2:13">
      <c r="B23" s="3175" t="s">
        <v>3450</v>
      </c>
      <c r="C23" s="3176">
        <v>0</v>
      </c>
      <c r="D23" s="3176">
        <f>D20</f>
        <v>4500</v>
      </c>
      <c r="E23" s="3176">
        <f t="shared" si="4"/>
        <v>0</v>
      </c>
      <c r="F23" s="3172"/>
      <c r="G23" s="3172"/>
    </row>
    <row r="24" spans="2:13">
      <c r="B24" s="3173" t="s">
        <v>3451</v>
      </c>
      <c r="C24" s="3172">
        <f>C18</f>
        <v>226041.84</v>
      </c>
      <c r="D24" s="3172">
        <f>E24/C24</f>
        <v>5869.3617075493639</v>
      </c>
      <c r="E24" s="3172">
        <f>E18+E21+E22+E23</f>
        <v>1326721320</v>
      </c>
      <c r="F24" s="3172"/>
      <c r="G24" s="3175">
        <f>(G18*E18+G21*E21+G22*E22)/E24</f>
        <v>1</v>
      </c>
    </row>
    <row r="28" spans="2:13">
      <c r="B28" s="3194" t="s">
        <v>3452</v>
      </c>
    </row>
    <row r="29" spans="2:13">
      <c r="B29" s="3172"/>
      <c r="C29" s="3173" t="s">
        <v>3453</v>
      </c>
      <c r="D29" s="3173"/>
      <c r="E29" s="3173" t="s">
        <v>3454</v>
      </c>
      <c r="F29" s="3173" t="s">
        <v>3455</v>
      </c>
      <c r="G29" s="3173" t="s">
        <v>3456</v>
      </c>
      <c r="H29" s="3174" t="s">
        <v>3452</v>
      </c>
      <c r="I29" s="3194" t="s">
        <v>3687</v>
      </c>
      <c r="J29" s="3194" t="s">
        <v>3688</v>
      </c>
    </row>
    <row r="30" spans="2:13">
      <c r="B30" s="3175" t="s">
        <v>3457</v>
      </c>
      <c r="C30" s="3176">
        <v>2022</v>
      </c>
      <c r="D30" s="3176">
        <v>2025</v>
      </c>
      <c r="E30" s="3176">
        <v>50</v>
      </c>
      <c r="F30" s="3172">
        <v>60</v>
      </c>
      <c r="G30" s="3172">
        <v>0</v>
      </c>
      <c r="H30" s="3179">
        <f>ROUND(1-(1-G30)*(D30-C30)/F30,2)</f>
        <v>0.95</v>
      </c>
      <c r="I30" s="3194">
        <f>ROUND(1-(1-G30)*(2028-C30)/F30,2)</f>
        <v>0.9</v>
      </c>
      <c r="J30" s="3194">
        <f>ROUND(1-(1-G30)*(2032-C30)/F30,2)</f>
        <v>0.83</v>
      </c>
    </row>
    <row r="31" spans="2:13">
      <c r="B31" s="3173" t="s">
        <v>3458</v>
      </c>
      <c r="C31" s="3178"/>
      <c r="D31" s="3172"/>
      <c r="E31" s="3172"/>
      <c r="F31" s="3172"/>
      <c r="G31" s="3172"/>
      <c r="H31" s="3177">
        <v>0.9</v>
      </c>
    </row>
    <row r="32" spans="2:13">
      <c r="B32" s="3173"/>
      <c r="C32" s="3172"/>
      <c r="D32" s="3172"/>
      <c r="E32" s="3172"/>
      <c r="F32" s="3172"/>
      <c r="G32" s="3172"/>
      <c r="H32" s="3181">
        <f>ROUND((H31+H30)/2,2)</f>
        <v>0.93</v>
      </c>
    </row>
    <row r="34" spans="1:9">
      <c r="B34" s="3172"/>
      <c r="C34" s="3173" t="s">
        <v>3453</v>
      </c>
      <c r="D34" s="3173"/>
      <c r="E34" s="3173" t="s">
        <v>3454</v>
      </c>
      <c r="F34" s="3173" t="s">
        <v>3455</v>
      </c>
      <c r="G34" s="3173" t="s">
        <v>3456</v>
      </c>
      <c r="H34" s="3174" t="s">
        <v>3452</v>
      </c>
    </row>
    <row r="35" spans="1:9">
      <c r="B35" s="3175" t="s">
        <v>3457</v>
      </c>
      <c r="C35" s="3176">
        <v>2012</v>
      </c>
      <c r="D35" s="3176">
        <v>2033</v>
      </c>
      <c r="E35" s="3176">
        <v>50</v>
      </c>
      <c r="F35" s="3172">
        <v>60</v>
      </c>
      <c r="G35" s="3172">
        <v>0</v>
      </c>
      <c r="H35" s="3179">
        <f>ROUND((1-G35)-(D35-C35)/F35,2)</f>
        <v>0.65</v>
      </c>
    </row>
    <row r="36" spans="1:9">
      <c r="B36" s="3173" t="s">
        <v>3458</v>
      </c>
      <c r="C36" s="3178"/>
      <c r="D36" s="3172"/>
      <c r="E36" s="3172"/>
      <c r="F36" s="3172"/>
      <c r="G36" s="3172"/>
      <c r="H36" s="3177">
        <v>0.8</v>
      </c>
    </row>
    <row r="37" spans="1:9">
      <c r="B37" s="3173"/>
      <c r="C37" s="3172"/>
      <c r="D37" s="3172"/>
      <c r="E37" s="3172"/>
      <c r="F37" s="3172"/>
      <c r="G37" s="3172"/>
      <c r="H37" s="3181">
        <f>ROUND((H36+H35)/2,2)</f>
        <v>0.73</v>
      </c>
    </row>
    <row r="43" spans="1:9">
      <c r="A43" s="3200"/>
      <c r="B43" s="3180"/>
      <c r="C43" s="3200"/>
      <c r="D43" s="3200"/>
      <c r="E43" s="3200"/>
      <c r="F43" s="3200"/>
    </row>
    <row r="44" spans="1:9">
      <c r="A44" s="3200"/>
      <c r="B44" s="3200"/>
      <c r="C44" s="3200"/>
      <c r="D44" s="3200"/>
      <c r="E44" s="3200"/>
      <c r="F44" s="3200"/>
    </row>
    <row r="45" spans="1:9">
      <c r="A45" s="3200"/>
      <c r="B45" s="3200"/>
      <c r="C45" s="3200"/>
      <c r="D45" s="3200"/>
      <c r="E45" s="3200"/>
      <c r="F45" s="3200"/>
      <c r="I45" s="3200"/>
    </row>
    <row r="46" spans="1:9">
      <c r="A46" s="3200"/>
      <c r="B46" s="3200"/>
      <c r="C46" s="3200"/>
      <c r="D46" s="3200"/>
      <c r="E46" s="3200"/>
      <c r="F46" s="3200"/>
      <c r="I46" s="3200"/>
    </row>
    <row r="47" spans="1:9">
      <c r="A47" s="3200"/>
      <c r="B47" s="3200"/>
      <c r="C47" s="3200"/>
      <c r="D47" s="3200"/>
      <c r="E47" s="3200"/>
      <c r="F47" s="3200"/>
      <c r="I47" s="3200"/>
    </row>
    <row r="48" spans="1:9">
      <c r="A48" s="3200"/>
      <c r="B48" s="3200"/>
      <c r="C48" s="3200"/>
      <c r="D48" s="3200"/>
      <c r="E48" s="3200"/>
      <c r="F48" s="3200"/>
    </row>
  </sheetData>
  <phoneticPr fontId="134" type="noConversion"/>
  <pageMargins left="0.7" right="0.7" top="0.75" bottom="0.75" header="0.3" footer="0.3"/>
  <pageSetup paperSize="9" scale="8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EEEA0-4BAD-4E1D-8898-0702137757FD}">
  <dimension ref="A1"/>
  <sheetViews>
    <sheetView workbookViewId="0">
      <selection activeCell="O33" sqref="O33"/>
    </sheetView>
  </sheetViews>
  <sheetFormatPr defaultRowHeight="13.5"/>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34" sqref="M3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51" t="str">
        <f>IF(B10="北京市","北京市",C10)&amp;F10&amp;IF(结果表!G1="在建","出让国有建设用地使用权及在建建筑物",IF(结果表!G1="土地","出让国有建设用地使用权",))&amp;B9&amp;"预评估"</f>
        <v>北京市房地产抵押价值预评估</v>
      </c>
      <c r="C1" s="3252"/>
      <c r="D1" s="3252"/>
      <c r="E1" s="3252"/>
      <c r="F1" s="3252"/>
      <c r="G1" s="3252"/>
      <c r="H1" s="3252"/>
      <c r="I1" s="325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45944</v>
      </c>
      <c r="C3" s="2186" t="s">
        <v>2169</v>
      </c>
      <c r="D3" s="2185">
        <f>B3</f>
        <v>45944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3406</v>
      </c>
      <c r="C8" s="2201"/>
      <c r="D8" s="3254" t="s">
        <v>2175</v>
      </c>
      <c r="E8" s="2202" t="s">
        <v>3407</v>
      </c>
      <c r="F8" s="2203"/>
      <c r="G8" s="2442"/>
      <c r="H8" s="2442"/>
      <c r="I8" s="2442"/>
      <c r="J8" s="2245"/>
      <c r="K8" s="2400"/>
      <c r="L8" s="2399"/>
      <c r="M8" s="2399"/>
      <c r="N8" s="2245"/>
      <c r="O8" s="1670"/>
      <c r="P8" s="2245"/>
      <c r="Q8" s="2245"/>
      <c r="R8" s="2245"/>
    </row>
    <row r="9" spans="1:30" ht="13.5" thickBot="1">
      <c r="A9" s="2204" t="s">
        <v>2176</v>
      </c>
      <c r="B9" s="2205" t="s">
        <v>3407</v>
      </c>
      <c r="C9" s="2206"/>
      <c r="D9" s="3255"/>
      <c r="E9" s="2205" t="s">
        <v>43</v>
      </c>
      <c r="F9" s="2207"/>
      <c r="G9" s="2443"/>
      <c r="H9" s="2443"/>
      <c r="I9" s="2443"/>
      <c r="J9" s="2245"/>
      <c r="K9" s="2402"/>
      <c r="L9" s="2399"/>
      <c r="M9" s="2399"/>
      <c r="N9" s="2245"/>
      <c r="O9" s="1670"/>
      <c r="P9" s="2245"/>
      <c r="Q9" s="2245"/>
      <c r="R9" s="2245"/>
    </row>
    <row r="10" spans="1:30" ht="13.5" thickTop="1">
      <c r="A10" s="2208" t="s">
        <v>2177</v>
      </c>
      <c r="B10" s="2209" t="s">
        <v>3408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3409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2565</v>
      </c>
      <c r="J12" s="2803"/>
      <c r="K12" s="2399"/>
      <c r="L12" s="2399"/>
      <c r="M12" s="2245"/>
      <c r="N12" s="1670"/>
      <c r="O12" s="2245"/>
      <c r="P12" s="2245"/>
      <c r="Q12" s="2245"/>
      <c r="AD12" s="1618"/>
    </row>
    <row r="13" spans="1:30">
      <c r="A13" s="3122" t="s">
        <v>3319</v>
      </c>
      <c r="B13" s="2218" t="s">
        <v>2188</v>
      </c>
      <c r="C13" s="803"/>
      <c r="D13" s="803"/>
      <c r="E13" s="803">
        <v>60477</v>
      </c>
      <c r="F13" s="803">
        <v>60477</v>
      </c>
      <c r="G13" s="803"/>
      <c r="H13" s="803"/>
      <c r="I13" s="803">
        <v>60477</v>
      </c>
      <c r="J13" s="2803"/>
      <c r="K13" s="2399"/>
      <c r="L13" s="2399"/>
      <c r="M13" s="2245"/>
      <c r="N13" s="1670"/>
      <c r="O13" s="2245"/>
      <c r="P13" s="2245"/>
      <c r="Q13" s="2245"/>
      <c r="AD13" s="1618"/>
    </row>
    <row r="14" spans="1:30">
      <c r="A14" s="1018"/>
      <c r="B14" s="2218" t="s">
        <v>2189</v>
      </c>
      <c r="C14" s="2219"/>
      <c r="D14" s="2219"/>
      <c r="E14" s="2219">
        <v>50</v>
      </c>
      <c r="F14" s="2219">
        <v>50</v>
      </c>
      <c r="G14" s="2219"/>
      <c r="H14" s="2219"/>
      <c r="I14" s="2219">
        <v>50</v>
      </c>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f>IF(A13="出让",IF(E13="","",ROUNDDOWN(MIN((E13-$D$3)/365,E14),2)),E14)</f>
        <v>39.81</v>
      </c>
      <c r="F15" s="2221">
        <f>IF(A13="出让",IF(F13="","",ROUNDDOWN(MIN((F13-$D$3)/365,F14),2)),F14)</f>
        <v>39.81</v>
      </c>
      <c r="G15" s="2221" t="str">
        <f>IF(A13="出让",IF(G13="","",ROUNDDOWN(MIN((G13-$D$3)/365,G14),2)),G14)</f>
        <v/>
      </c>
      <c r="H15" s="2221" t="str">
        <f>IF(A13="出让",IF(H13="","",ROUNDDOWN(MIN((H13-$D$3)/365,H14),2)),H14)</f>
        <v/>
      </c>
      <c r="I15" s="2221">
        <f>IF(A13="出让",IF(I13="","",ROUNDDOWN(MIN((I13-$D$3)/365,I14),2)),I14)</f>
        <v>39.81</v>
      </c>
      <c r="J15" s="2805"/>
      <c r="K15" s="1670"/>
      <c r="L15" s="1670"/>
      <c r="M15" s="2245"/>
      <c r="N15" s="1670"/>
      <c r="O15" s="2245"/>
      <c r="P15" s="2245"/>
      <c r="Q15" s="2245"/>
      <c r="AD15" s="1618"/>
    </row>
    <row r="16" spans="1:30">
      <c r="A16" s="2211" t="s">
        <v>2191</v>
      </c>
      <c r="B16" s="3261"/>
      <c r="C16" s="3262"/>
      <c r="D16" s="3263"/>
      <c r="E16" s="2222" t="s">
        <v>2192</v>
      </c>
      <c r="F16" s="3264"/>
      <c r="G16" s="3265"/>
      <c r="H16" s="3265"/>
      <c r="I16" s="3266"/>
      <c r="J16" s="2245"/>
      <c r="K16" s="2403"/>
      <c r="L16" s="1670"/>
      <c r="M16" s="1670"/>
      <c r="N16" s="2245"/>
      <c r="O16" s="1670"/>
      <c r="P16" s="2245"/>
      <c r="Q16" s="2245"/>
      <c r="R16" s="2245"/>
    </row>
    <row r="17" spans="1:28">
      <c r="A17" s="305" t="s">
        <v>2193</v>
      </c>
      <c r="B17" s="294" t="s">
        <v>2194</v>
      </c>
      <c r="C17" s="8">
        <f>'数据-汇总表'!E3</f>
        <v>226041.84</v>
      </c>
      <c r="D17" s="1256" t="s">
        <v>2195</v>
      </c>
      <c r="E17" s="3267" t="s">
        <v>2196</v>
      </c>
      <c r="F17" s="3268"/>
      <c r="G17" s="3268"/>
      <c r="H17" s="3268"/>
      <c r="I17" s="326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48565.52</v>
      </c>
      <c r="D18" s="1029" t="s">
        <v>2199</v>
      </c>
      <c r="E18" s="3270" t="s">
        <v>2200</v>
      </c>
      <c r="F18" s="3271"/>
      <c r="G18" s="3271"/>
      <c r="H18" s="3271"/>
      <c r="I18" s="3272"/>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57" t="s">
        <v>2204</v>
      </c>
      <c r="C20" s="3258"/>
      <c r="D20" s="3259" t="s">
        <v>2205</v>
      </c>
      <c r="E20" s="3260"/>
      <c r="F20" s="2430" t="s">
        <v>1054</v>
      </c>
      <c r="G20" s="2442"/>
      <c r="H20" s="2442"/>
      <c r="I20" s="2442"/>
      <c r="J20" s="2245"/>
      <c r="K20" s="325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5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5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6"/>
      <c r="B30" s="294" t="s">
        <v>2216</v>
      </c>
      <c r="C30" s="3247"/>
      <c r="D30" s="3248"/>
      <c r="E30" s="2442"/>
      <c r="F30" s="2442"/>
      <c r="G30" s="2442"/>
      <c r="H30" s="2442"/>
      <c r="I30" s="2442"/>
      <c r="J30" s="2245"/>
      <c r="K30" s="2402"/>
      <c r="L30" s="2399"/>
      <c r="M30" s="2399"/>
      <c r="N30" s="2245"/>
      <c r="O30" s="1670"/>
      <c r="P30" s="2245"/>
      <c r="Q30" s="2245"/>
      <c r="R30" s="2245"/>
      <c r="S30" s="2245"/>
      <c r="T30" s="2245"/>
      <c r="U30" s="2245"/>
      <c r="V30" s="2245"/>
    </row>
    <row r="31" spans="1:28">
      <c r="A31" s="324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44" t="s">
        <v>2226</v>
      </c>
      <c r="T34" s="315" t="str">
        <f>NUMBERSTRING(7-K34,1)&amp;"通"</f>
        <v>七通</v>
      </c>
      <c r="U34" s="2245"/>
      <c r="V34" s="2245"/>
    </row>
    <row r="35" spans="1:30">
      <c r="A35" s="2236"/>
      <c r="B35" s="3244" t="s">
        <v>2227</v>
      </c>
      <c r="C35" s="3244"/>
      <c r="D35" s="3244"/>
      <c r="E35" s="324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t="s">
        <v>303</v>
      </c>
      <c r="C37" s="2237" t="s">
        <v>303</v>
      </c>
      <c r="D37" s="2237"/>
      <c r="E37" s="2237"/>
      <c r="F37" s="2237" t="s">
        <v>303</v>
      </c>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t="s">
        <v>247</v>
      </c>
      <c r="C38" s="2238" t="s">
        <v>247</v>
      </c>
      <c r="D38" s="2238"/>
      <c r="E38" s="2238"/>
      <c r="F38" s="2238" t="s">
        <v>247</v>
      </c>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2" width="9.5" style="1463" customWidth="1"/>
    <col min="13" max="14" width="9.5" style="1463" hidden="1"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Sheet1!H9</f>
        <v>48565.520000000004</v>
      </c>
      <c r="B3" s="11">
        <f>IF(C3="否",G5-AT5,G5)</f>
        <v>226041.84</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226041.84</v>
      </c>
      <c r="H5" s="13">
        <f t="shared" ref="H5:AT5" si="0">SUM(H13:H656)</f>
        <v>206995.49</v>
      </c>
      <c r="I5" s="13">
        <f t="shared" si="0"/>
        <v>85190.51999999999</v>
      </c>
      <c r="J5" s="13">
        <f t="shared" si="0"/>
        <v>0</v>
      </c>
      <c r="K5" s="13">
        <f t="shared" si="0"/>
        <v>121804.97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19046.350000000006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19046.350000000006</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226041.84</v>
      </c>
      <c r="BA5" s="15">
        <f t="shared" si="1"/>
        <v>206995.49</v>
      </c>
      <c r="BB5" s="15">
        <f t="shared" si="1"/>
        <v>85190.51999999999</v>
      </c>
      <c r="BC5" s="15">
        <f t="shared" si="1"/>
        <v>121804.97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19046.350000000006</v>
      </c>
      <c r="BM5" s="15">
        <f t="shared" si="1"/>
        <v>0</v>
      </c>
      <c r="BN5" s="15">
        <f t="shared" si="1"/>
        <v>0</v>
      </c>
      <c r="BO5" s="15">
        <f t="shared" si="1"/>
        <v>0</v>
      </c>
      <c r="BP5" s="15">
        <f t="shared" si="1"/>
        <v>0</v>
      </c>
      <c r="BQ5" s="15">
        <f t="shared" si="1"/>
        <v>0</v>
      </c>
      <c r="BR5" s="15">
        <f t="shared" si="1"/>
        <v>19046.350000000006</v>
      </c>
      <c r="BS5" s="15">
        <f t="shared" si="1"/>
        <v>0</v>
      </c>
      <c r="BT5" s="16">
        <f t="shared" si="1"/>
        <v>0</v>
      </c>
    </row>
    <row r="6" spans="1:72" s="1477" customFormat="1" ht="12.75">
      <c r="A6" s="12" t="s">
        <v>1070</v>
      </c>
      <c r="B6" s="1474"/>
      <c r="C6" s="1474"/>
      <c r="D6" s="1475"/>
      <c r="E6" s="13">
        <f>H6+AC6+AT6</f>
        <v>48565.52</v>
      </c>
      <c r="F6" s="13" t="s">
        <v>0</v>
      </c>
      <c r="G6" s="13" t="s">
        <v>1</v>
      </c>
      <c r="H6" s="17">
        <f>SUMIF(I$12:AB$12,"总值",I6:AB6)</f>
        <v>44473.38</v>
      </c>
      <c r="I6" s="13">
        <f t="shared" ref="I6:AB6" si="2">ROUND($A$3*I5/$B$3,2)</f>
        <v>18303.349999999999</v>
      </c>
      <c r="J6" s="13">
        <f t="shared" si="2"/>
        <v>0</v>
      </c>
      <c r="K6" s="13">
        <f t="shared" si="2"/>
        <v>26170.03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4092.14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4092.14</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48565.52</v>
      </c>
      <c r="AZ6" s="13" t="s">
        <v>2</v>
      </c>
      <c r="BA6" s="13">
        <f>ROUND($AY$6*BA5/$AZ$5,2)</f>
        <v>44473.38</v>
      </c>
      <c r="BB6" s="13">
        <f>ROUND($AY$6*BB5/$AZ$5,2)</f>
        <v>18303.349999999999</v>
      </c>
      <c r="BC6" s="13">
        <f t="shared" ref="BC6:BH6" si="4">ROUND($AY$6*BC5/$AZ$5,2)</f>
        <v>26170.03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4092.14</v>
      </c>
      <c r="BM6" s="13">
        <f t="shared" si="5"/>
        <v>0</v>
      </c>
      <c r="BN6" s="13">
        <f t="shared" si="5"/>
        <v>0</v>
      </c>
      <c r="BO6" s="13">
        <f t="shared" si="5"/>
        <v>0</v>
      </c>
      <c r="BP6" s="13">
        <f t="shared" si="5"/>
        <v>0</v>
      </c>
      <c r="BQ6" s="13">
        <f t="shared" si="5"/>
        <v>0</v>
      </c>
      <c r="BR6" s="13">
        <f t="shared" si="5"/>
        <v>4092.14</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3446</v>
      </c>
      <c r="J9" s="761"/>
      <c r="K9" s="1491" t="s">
        <v>3447</v>
      </c>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3394</v>
      </c>
      <c r="J10" s="761"/>
      <c r="K10" s="1497" t="s">
        <v>3394</v>
      </c>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地下</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t="str">
        <f>K10</f>
        <v>公共服务</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3459</v>
      </c>
      <c r="E13" s="13">
        <f>IF($C$3="是",ROUND($A$3*G13/$B$3,2),ROUND($A$3*(G13-AT13)/$B$3,2))</f>
        <v>48565.52</v>
      </c>
      <c r="F13" s="29"/>
      <c r="G13" s="30">
        <f>H13+AC13+AT13</f>
        <v>226041.84</v>
      </c>
      <c r="H13" s="17">
        <f>SUMIF(I$12:AB$12,"总值",I13:AB13)</f>
        <v>206995.49</v>
      </c>
      <c r="I13" s="1514">
        <f>Sheet1!G4+Sheet1!G5+Sheet1!G6+Sheet1!G7</f>
        <v>85190.51999999999</v>
      </c>
      <c r="J13" s="1514"/>
      <c r="K13" s="1514">
        <f>Sheet1!G8-Sheet1!L11</f>
        <v>121804.97</v>
      </c>
      <c r="L13" s="1514"/>
      <c r="M13" s="1514"/>
      <c r="N13" s="1514"/>
      <c r="O13" s="1514"/>
      <c r="P13" s="1514"/>
      <c r="Q13" s="1514"/>
      <c r="R13" s="1514"/>
      <c r="S13" s="1514"/>
      <c r="T13" s="1514"/>
      <c r="U13" s="1514"/>
      <c r="V13" s="1514"/>
      <c r="W13" s="1514"/>
      <c r="X13" s="1514"/>
      <c r="Y13" s="1514"/>
      <c r="Z13" s="1514"/>
      <c r="AA13" s="1514"/>
      <c r="AB13" s="1514"/>
      <c r="AC13" s="13">
        <f>SUMIF(AD$12:AS$12,"总值",AD13:AS13)</f>
        <v>19046.350000000006</v>
      </c>
      <c r="AD13" s="989"/>
      <c r="AE13" s="989"/>
      <c r="AF13" s="989"/>
      <c r="AG13" s="989"/>
      <c r="AH13" s="989"/>
      <c r="AI13" s="989"/>
      <c r="AJ13" s="989"/>
      <c r="AK13" s="989"/>
      <c r="AL13" s="989"/>
      <c r="AM13" s="989"/>
      <c r="AN13" s="989">
        <f>Sheet1!L11</f>
        <v>19046.350000000006</v>
      </c>
      <c r="AO13" s="989"/>
      <c r="AP13" s="989"/>
      <c r="AQ13" s="989"/>
      <c r="AR13" s="989"/>
      <c r="AS13" s="989"/>
      <c r="AT13" s="29"/>
      <c r="AU13" s="1515"/>
      <c r="AV13" s="8">
        <f t="shared" ref="AV13:AX17" si="6">A13</f>
        <v>0</v>
      </c>
      <c r="AW13" s="8">
        <f t="shared" si="6"/>
        <v>0</v>
      </c>
      <c r="AX13" s="8">
        <f t="shared" si="6"/>
        <v>0</v>
      </c>
      <c r="AY13" s="1260">
        <f>ROUND($AY$6*AZ13/$AZ$5,2)</f>
        <v>48565.52</v>
      </c>
      <c r="AZ13" s="13">
        <f>BA13+BL13</f>
        <v>226041.84</v>
      </c>
      <c r="BA13" s="13">
        <f>SUM(BB13:BK13)</f>
        <v>206995.49</v>
      </c>
      <c r="BB13" s="13">
        <f>IF($D13="是",I13-J13,0)</f>
        <v>85190.51999999999</v>
      </c>
      <c r="BC13" s="13">
        <f>IF($D13="是",K13-L13,0)</f>
        <v>121804.97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19046.350000000006</v>
      </c>
      <c r="BM13" s="13">
        <f>IF($D13="是",AD13-AE13,0)</f>
        <v>0</v>
      </c>
      <c r="BN13" s="13">
        <f>IF($D13="是",AF13-AG13,0)</f>
        <v>0</v>
      </c>
      <c r="BO13" s="13">
        <f>IF($D13="是",AH13-AI13,0)</f>
        <v>0</v>
      </c>
      <c r="BP13" s="13">
        <f>IF($D13="是",AJ13-AK13,0)</f>
        <v>0</v>
      </c>
      <c r="BQ13" s="13">
        <f>IF($D13="是",AL13-AM13,0)</f>
        <v>0</v>
      </c>
      <c r="BR13" s="13">
        <f>IF($D13="是",AN13-AO13,0)</f>
        <v>19046.350000000006</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北京市房地产抵押价值预评估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82" t="s">
        <v>1129</v>
      </c>
      <c r="B2" s="3282"/>
      <c r="C2" s="3282"/>
      <c r="D2" s="748" t="s">
        <v>1105</v>
      </c>
      <c r="E2" s="1523" t="s">
        <v>1106</v>
      </c>
      <c r="F2" s="2439"/>
      <c r="G2" s="2432"/>
      <c r="H2" s="2433"/>
      <c r="I2" s="2146" t="s">
        <v>1130</v>
      </c>
      <c r="J2" s="2439"/>
      <c r="K2" s="2439"/>
      <c r="L2" s="2439"/>
      <c r="M2" s="2439"/>
      <c r="N2" s="2440"/>
      <c r="O2" s="2439"/>
      <c r="P2" s="2439"/>
    </row>
    <row r="3" spans="1:16" ht="15.75" thickBot="1">
      <c r="A3" s="3283" t="s">
        <v>1103</v>
      </c>
      <c r="B3" s="3283"/>
      <c r="C3" s="3283"/>
      <c r="D3" s="41">
        <f>'数据-基础表'!AY6</f>
        <v>48565.52</v>
      </c>
      <c r="E3" s="41">
        <f>'数据-基础表'!AZ5</f>
        <v>226041.84</v>
      </c>
      <c r="F3" s="2439"/>
      <c r="G3" s="42"/>
      <c r="H3" s="43" t="s">
        <v>1104</v>
      </c>
      <c r="I3" s="802">
        <f>ROUND('数据-基础表'!B3/'数据-基础表'!A3,2)</f>
        <v>4.6500000000000004</v>
      </c>
      <c r="J3" s="2439"/>
      <c r="K3" s="2439"/>
      <c r="L3" s="2439"/>
      <c r="M3" s="2439"/>
      <c r="N3" s="2440"/>
      <c r="O3" s="2439"/>
      <c r="P3" s="2439"/>
    </row>
    <row r="4" spans="1:16" ht="15">
      <c r="A4" s="3284"/>
      <c r="B4" s="3285"/>
      <c r="C4" s="3286"/>
      <c r="D4" s="1524" t="s">
        <v>1105</v>
      </c>
      <c r="E4" s="1525" t="s">
        <v>1106</v>
      </c>
      <c r="F4" s="2439"/>
      <c r="G4" s="2434" t="s">
        <v>1131</v>
      </c>
      <c r="H4" s="43" t="s">
        <v>1111</v>
      </c>
      <c r="I4" s="802">
        <f>ROUND(SUMIF('数据-基础表'!I9:AS9,"地上",'数据-基础表'!I5:AS5)/'数据-基础表'!A3,2)</f>
        <v>1.75</v>
      </c>
      <c r="J4" s="2439"/>
      <c r="K4" s="2439"/>
      <c r="L4" s="2439"/>
      <c r="M4" s="2439"/>
      <c r="N4" s="2440"/>
      <c r="O4" s="2439"/>
      <c r="P4" s="2439"/>
    </row>
    <row r="5" spans="1:16">
      <c r="A5" s="42" t="s">
        <v>1107</v>
      </c>
      <c r="B5" s="3287" t="s">
        <v>1108</v>
      </c>
      <c r="C5" s="3287"/>
      <c r="D5" s="43">
        <f>ROUND($D$3*E5/$E$3,2)</f>
        <v>0</v>
      </c>
      <c r="E5" s="44">
        <f>SUMIF('数据-基础表'!$11:$11,"住宅",'数据-基础表'!$5:$5)</f>
        <v>0</v>
      </c>
      <c r="F5" s="2439"/>
      <c r="G5" s="42"/>
      <c r="H5" s="43" t="s">
        <v>1104</v>
      </c>
      <c r="I5" s="802">
        <f>ROUND(E31/D31,2)</f>
        <v>4.6500000000000004</v>
      </c>
      <c r="J5" s="2439"/>
      <c r="K5" s="2439"/>
      <c r="L5" s="2439"/>
      <c r="M5" s="2439"/>
      <c r="N5" s="2439"/>
      <c r="O5" s="2439"/>
      <c r="P5" s="2439"/>
    </row>
    <row r="6" spans="1:16" ht="15" thickBot="1">
      <c r="A6" s="1527"/>
      <c r="B6" s="3287" t="s">
        <v>1109</v>
      </c>
      <c r="C6" s="3287"/>
      <c r="D6" s="43">
        <f>ROUND($D$3*E6/$E$3,2)</f>
        <v>48565.52</v>
      </c>
      <c r="E6" s="44">
        <f>E3-E5</f>
        <v>226041.84</v>
      </c>
      <c r="F6" s="2439"/>
      <c r="G6" s="1529" t="s">
        <v>1110</v>
      </c>
      <c r="H6" s="45" t="s">
        <v>1111</v>
      </c>
      <c r="I6" s="2435">
        <f>ROUND(F31/D31,2)</f>
        <v>1.75</v>
      </c>
      <c r="J6" s="2439"/>
      <c r="K6" s="2439"/>
      <c r="L6" s="2439"/>
      <c r="M6" s="2439"/>
      <c r="N6" s="2439"/>
      <c r="O6" s="2439"/>
      <c r="P6" s="2439"/>
    </row>
    <row r="7" spans="1:16" ht="15.75" thickBot="1">
      <c r="A7" s="3279"/>
      <c r="B7" s="3280"/>
      <c r="C7" s="3281"/>
      <c r="D7" s="1524" t="s">
        <v>1105</v>
      </c>
      <c r="E7" s="1528" t="s">
        <v>1112</v>
      </c>
      <c r="F7" s="2439"/>
      <c r="G7" s="2436" t="s">
        <v>1113</v>
      </c>
      <c r="H7" s="95"/>
      <c r="I7" s="2437">
        <f>Sheet1!J1</f>
        <v>2.912612004342912</v>
      </c>
      <c r="J7" s="2439"/>
      <c r="K7" s="2439"/>
      <c r="L7" s="2439"/>
      <c r="M7" s="2439"/>
      <c r="N7" s="2439"/>
      <c r="O7" s="2439"/>
      <c r="P7" s="2439"/>
    </row>
    <row r="8" spans="1:16">
      <c r="A8" s="42" t="s">
        <v>1114</v>
      </c>
      <c r="B8" s="45" t="s">
        <v>1115</v>
      </c>
      <c r="C8" s="43" t="s">
        <v>1116</v>
      </c>
      <c r="D8" s="43">
        <f t="shared" ref="D8:D15" si="0">ROUND($D$3*E8/$E$3,2)</f>
        <v>18303.349999999999</v>
      </c>
      <c r="E8" s="46">
        <f>SUMIF('数据-基础表'!BB10:BK10,"地上",'数据-基础表'!BB5:BK5)</f>
        <v>85190.51999999999</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18303.349999999999</v>
      </c>
      <c r="E16" s="48">
        <f>SUM(E8:E15)</f>
        <v>85190.51999999999</v>
      </c>
      <c r="F16" s="2439"/>
      <c r="G16" s="2439"/>
      <c r="H16" s="1531" t="s">
        <v>1133</v>
      </c>
      <c r="I16" s="1532"/>
      <c r="J16" s="1071"/>
      <c r="K16" s="3276" t="s">
        <v>1133</v>
      </c>
      <c r="L16" s="3277"/>
      <c r="M16" s="3277"/>
      <c r="N16" s="3277"/>
      <c r="O16" s="3277"/>
      <c r="P16" s="3278"/>
    </row>
    <row r="17" spans="1:19" ht="15">
      <c r="A17" s="1533" t="s">
        <v>1134</v>
      </c>
      <c r="B17" s="1534" t="s">
        <v>1135</v>
      </c>
      <c r="C17" s="1535" t="s">
        <v>1136</v>
      </c>
      <c r="D17" s="1536" t="s">
        <v>1124</v>
      </c>
      <c r="E17" s="1537" t="s">
        <v>1125</v>
      </c>
      <c r="F17" s="1538"/>
      <c r="G17" s="1539"/>
      <c r="H17" s="1540" t="s">
        <v>1137</v>
      </c>
      <c r="I17" s="1541" t="s">
        <v>1122</v>
      </c>
      <c r="J17" s="1071"/>
      <c r="K17" s="3273" t="s">
        <v>1138</v>
      </c>
      <c r="L17" s="3274"/>
      <c r="M17" s="3275"/>
      <c r="N17" s="3273" t="s">
        <v>1139</v>
      </c>
      <c r="O17" s="3274"/>
      <c r="P17" s="3275"/>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3460</v>
      </c>
      <c r="D19" s="43">
        <f>ROUND($D$3*E19/$E$3,2)</f>
        <v>18303.349999999999</v>
      </c>
      <c r="E19" s="51">
        <f t="shared" ref="E19:E26" si="1">SUM(F19:G19)</f>
        <v>85190.51999999999</v>
      </c>
      <c r="F19" s="2558">
        <f>'数据-基础表'!I13</f>
        <v>85190.51999999999</v>
      </c>
      <c r="G19" s="1243"/>
      <c r="H19" s="637">
        <f>ROUND($D$3*I19/$E$3,2)</f>
        <v>1684.15</v>
      </c>
      <c r="I19" s="46">
        <f t="shared" ref="I19:I26" si="2">IF($I$17="自定义",P19,M19)</f>
        <v>7838.67</v>
      </c>
      <c r="J19" s="1071"/>
      <c r="K19" s="637">
        <f t="shared" ref="K19:K26" si="3">ROUND(E$28*E19/E$27,2)</f>
        <v>7838.67</v>
      </c>
      <c r="L19" s="43">
        <f t="shared" ref="L19:L26" si="4">ROUND(IF(COUNTIF(C19,"*住宅*")&gt;0,E$29*E19/E$32,0),2)</f>
        <v>0</v>
      </c>
      <c r="M19" s="46">
        <f>K19+L19</f>
        <v>7838.67</v>
      </c>
      <c r="N19" s="1550"/>
      <c r="O19" s="1551"/>
      <c r="P19" s="46">
        <f>N19+O19</f>
        <v>0</v>
      </c>
      <c r="R19" s="43">
        <f t="shared" ref="R19:S26" si="5">D19+H19</f>
        <v>19987.5</v>
      </c>
      <c r="S19" s="51">
        <f t="shared" si="5"/>
        <v>93029.189999999988</v>
      </c>
    </row>
    <row r="20" spans="1:19">
      <c r="A20" s="1549"/>
      <c r="B20" s="45" t="s">
        <v>1151</v>
      </c>
      <c r="C20" s="3116" t="s">
        <v>3461</v>
      </c>
      <c r="D20" s="43">
        <f t="shared" ref="D20:D26" si="6">ROUND($D$3*E20/$E$3,2)</f>
        <v>26170.03</v>
      </c>
      <c r="E20" s="51">
        <f t="shared" si="1"/>
        <v>121804.97</v>
      </c>
      <c r="F20" s="2558"/>
      <c r="G20" s="1243">
        <f>'数据-基础表'!K13</f>
        <v>121804.97</v>
      </c>
      <c r="H20" s="637">
        <f t="shared" ref="H20:H26" si="7">ROUND($D$3*I20/$E$3,2)</f>
        <v>2407.9899999999998</v>
      </c>
      <c r="I20" s="46">
        <f t="shared" si="2"/>
        <v>11207.68</v>
      </c>
      <c r="J20" s="1071"/>
      <c r="K20" s="637">
        <f t="shared" si="3"/>
        <v>11207.68</v>
      </c>
      <c r="L20" s="43">
        <f t="shared" si="4"/>
        <v>0</v>
      </c>
      <c r="M20" s="46">
        <f t="shared" ref="M20:M26" si="8">K20+L20</f>
        <v>11207.68</v>
      </c>
      <c r="N20" s="1550"/>
      <c r="O20" s="1551"/>
      <c r="P20" s="46">
        <f t="shared" ref="P20:P26" si="9">N20+O20</f>
        <v>0</v>
      </c>
      <c r="R20" s="43">
        <f t="shared" si="5"/>
        <v>28578.019999999997</v>
      </c>
      <c r="S20" s="51">
        <f t="shared" si="5"/>
        <v>133012.65</v>
      </c>
    </row>
    <row r="21" spans="1:19">
      <c r="A21" s="1549"/>
      <c r="B21" s="45" t="s">
        <v>1151</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44473.38</v>
      </c>
      <c r="E27" s="1073">
        <f>IF(SUM(E19:E26)='数据-基础表'!BA5,SUM(E19:E26),IF(F27="地上面积有误","面积有误","地下面积有误"))</f>
        <v>206995.49</v>
      </c>
      <c r="F27" s="1072">
        <f>IF(SUM(F19:F26)=E8,SUM(F19:F26),"地上面积有误")</f>
        <v>85190.51999999999</v>
      </c>
      <c r="G27" s="1074">
        <f>SUM(G19:G26)</f>
        <v>121804.97</v>
      </c>
      <c r="H27" s="1075">
        <f>SUM(H19:H26)</f>
        <v>4092.14</v>
      </c>
      <c r="I27" s="1076">
        <f>SUM(I19:I26)</f>
        <v>19046.349999999999</v>
      </c>
      <c r="J27" s="1071"/>
      <c r="K27" s="1077">
        <f>SUM(K19:K26)</f>
        <v>19046.349999999999</v>
      </c>
      <c r="L27" s="785">
        <f>SUM(L19:L26)</f>
        <v>0</v>
      </c>
      <c r="M27" s="1078">
        <f>SUM(M19:M26)</f>
        <v>19046.349999999999</v>
      </c>
      <c r="N27" s="1077">
        <f t="shared" ref="N27:O27" si="10">SUM(N19:N26)</f>
        <v>0</v>
      </c>
      <c r="O27" s="785">
        <f t="shared" si="10"/>
        <v>0</v>
      </c>
      <c r="P27" s="94">
        <f>SUM(P19:P26)</f>
        <v>0</v>
      </c>
      <c r="R27" s="968">
        <f>IF(SUM(R19:R26)=$D$3,SUM(R19:R26),SUM(R19:R26)&amp;"误差"&amp;ROUND(SUM(R19:R26)-$D$3,2))</f>
        <v>48565.52</v>
      </c>
      <c r="S27" s="43">
        <f>IF(SUM(S19:S26)=$E$3,SUM(S19:S26),SUM(S19:S26)&amp;"误差"&amp;ROUND(SUM(S19:S26)-E3,2))</f>
        <v>226041.83999999997</v>
      </c>
    </row>
    <row r="28" spans="1:19">
      <c r="A28" s="1549"/>
      <c r="B28" s="45" t="s">
        <v>1153</v>
      </c>
      <c r="C28" s="54" t="s">
        <v>1154</v>
      </c>
      <c r="D28" s="43">
        <f>ROUND($D$3*E28/$E$3,2)</f>
        <v>4092.14</v>
      </c>
      <c r="E28" s="51">
        <f>SUM(F28:G28)</f>
        <v>19046.350000000006</v>
      </c>
      <c r="F28" s="54">
        <f>'数据-基础表'!BQ5+'数据-基础表'!BS5</f>
        <v>0</v>
      </c>
      <c r="G28" s="55">
        <f>'数据-基础表'!BR5+'数据-基础表'!BT5</f>
        <v>19046.350000000006</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4092.14</v>
      </c>
      <c r="E30" s="1072">
        <f>SUM(E28:E29)</f>
        <v>19046.350000000006</v>
      </c>
      <c r="F30" s="1072">
        <f>SUM(F28:F29)</f>
        <v>0</v>
      </c>
      <c r="G30" s="1074">
        <f>SUM(G28:G29)</f>
        <v>19046.350000000006</v>
      </c>
      <c r="H30" s="2439"/>
      <c r="I30" s="2439"/>
      <c r="J30" s="2439"/>
      <c r="K30" s="2439"/>
      <c r="L30" s="2439"/>
      <c r="M30" s="2439"/>
      <c r="N30" s="2439"/>
      <c r="O30" s="2439"/>
      <c r="P30" s="2439"/>
    </row>
    <row r="31" spans="1:19" ht="15.75" thickBot="1">
      <c r="A31" s="1557"/>
      <c r="B31" s="96"/>
      <c r="C31" s="785" t="s">
        <v>1156</v>
      </c>
      <c r="D31" s="643">
        <f>D27+D30</f>
        <v>48565.52</v>
      </c>
      <c r="E31" s="643">
        <f>E27+E30</f>
        <v>226041.84</v>
      </c>
      <c r="F31" s="644">
        <f>F27+F30</f>
        <v>85190.51999999999</v>
      </c>
      <c r="G31" s="645">
        <f>G27+G30</f>
        <v>140851.32</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E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45944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3452</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地上研发</v>
      </c>
      <c r="B6" s="1587" t="str">
        <f>IF(A6=0,"","经营性")</f>
        <v>经营性</v>
      </c>
      <c r="C6" s="1588" t="s">
        <v>3394</v>
      </c>
      <c r="D6" s="805">
        <f>SUMIF(项目基本情况!C$12:I$12,C6,项目基本情况!C$14:I$14)</f>
        <v>50</v>
      </c>
      <c r="E6" s="804">
        <f>IF(B6="","",SUMIF(项目基本情况!C$12:I$12,C6,项目基本情况!C$13:I$13))</f>
        <v>60477</v>
      </c>
      <c r="F6" s="61">
        <f>SUMIF(项目基本情况!C$12:I$12,C6,项目基本情况!C$15:I$15)</f>
        <v>39.81</v>
      </c>
      <c r="G6" s="62">
        <f>IF(ISERROR(ROUND(POWER(1+H6,D6-F6)*(POWER(1+H6,F6)-1)/(POWER(1+H6,D6)-1),3)),0,ROUND(POWER(1+H6,D6-F6)*(POWER(1+H6,F6)-1)/(POWER(1+H6,D6)-1),3))</f>
        <v>0.93799999999999994</v>
      </c>
      <c r="H6" s="691">
        <v>0.05</v>
      </c>
      <c r="I6" s="691">
        <v>5.5E-2</v>
      </c>
      <c r="J6" s="63">
        <v>7.0000000000000007E-2</v>
      </c>
      <c r="K6" s="970">
        <f>SUMIF('数据-汇总表'!C$19:C$33,A6,'数据-汇总表'!E$19:E$33)</f>
        <v>85190.51999999999</v>
      </c>
      <c r="L6" s="692">
        <v>6500</v>
      </c>
      <c r="M6" s="64">
        <f t="shared" ref="M6:M14" si="0">ROUND(K6*L6/10000,0)</f>
        <v>55374</v>
      </c>
      <c r="N6" s="690">
        <f>Sheet1!H30</f>
        <v>0.95</v>
      </c>
      <c r="O6" s="64" t="str">
        <f>IF($N$5="成新度","——",ROUND(M6*N6,0))</f>
        <v>——</v>
      </c>
      <c r="P6" s="65" t="str">
        <f>IF($N$5="成新度","——",M6-O6)</f>
        <v>——</v>
      </c>
      <c r="Q6" s="693">
        <v>0.2</v>
      </c>
      <c r="R6" s="66">
        <f ca="1">SUMIF('数据-汇总表'!C$19:C$33,A6,'数据-汇总表'!R$19:R$27)</f>
        <v>19987.5</v>
      </c>
      <c r="S6" s="49">
        <f>IF('数据-汇总表'!$I$17="按面积比例",SUMIF('数据-汇总表'!C$19:C$33,A6,'数据-汇总表'!K$19:K$33),SUMIF('数据-汇总表'!C$19:C$33,A6,'数据-汇总表'!N$19:N$33))</f>
        <v>7838.67</v>
      </c>
      <c r="T6" s="1092">
        <f>ROUND($L$14*S6/10000,0)</f>
        <v>4311</v>
      </c>
      <c r="U6" s="3127">
        <f>租赁台账!L25</f>
        <v>3.22</v>
      </c>
      <c r="V6" s="67">
        <v>0</v>
      </c>
      <c r="W6" s="67">
        <v>0</v>
      </c>
      <c r="X6" s="979"/>
      <c r="Y6" s="68">
        <f>N6</f>
        <v>0.95</v>
      </c>
      <c r="Z6" s="69">
        <f>租赁台账!L30</f>
        <v>4.8</v>
      </c>
      <c r="AA6" s="63">
        <f>租赁台账!L29</f>
        <v>0.02</v>
      </c>
      <c r="AB6" s="63">
        <v>0.1</v>
      </c>
      <c r="AC6" s="979"/>
      <c r="AD6" s="70">
        <f>Sheet1!I30</f>
        <v>0.9</v>
      </c>
      <c r="AE6" s="980">
        <f ca="1">IF(AN6="",0,SUMIF(INDIRECT("'"&amp;AN6&amp;"'"&amp;"!E:E"),$AE$5,INDIRECT("'"&amp;AN6&amp;"'"&amp;"!F:F")))</f>
        <v>39.81</v>
      </c>
      <c r="AF6" s="74">
        <f>租赁台账!L25</f>
        <v>3.22</v>
      </c>
      <c r="AG6" s="130">
        <f ca="1">IF(AF6="",0,AE6-AF6)</f>
        <v>36.590000000000003</v>
      </c>
      <c r="AH6" s="71"/>
      <c r="AI6" s="73">
        <v>365</v>
      </c>
      <c r="AJ6" s="74"/>
      <c r="AK6" s="75">
        <v>2E-3</v>
      </c>
      <c r="AL6" s="76">
        <v>1E-3</v>
      </c>
      <c r="AM6" s="77">
        <v>0.01</v>
      </c>
      <c r="AN6" s="1589" t="s">
        <v>3534</v>
      </c>
      <c r="AO6" s="50">
        <f ca="1">SUMIF(INDIRECT("'"&amp;AN6&amp;"'"&amp;"!A:A"),"总价",INDIRECT("'"&amp;AN6&amp;"'"&amp;"!B:B"))</f>
        <v>208585</v>
      </c>
      <c r="AP6" s="1590">
        <f>IF(C6="住宅",K6*L6,0)</f>
        <v>0</v>
      </c>
      <c r="AQ6" s="50">
        <f>ROUND($L$14*$N$14*S6/10000,0)</f>
        <v>4096</v>
      </c>
      <c r="AR6" s="50">
        <f>ROUND($L$14*(1-$N$14)*S6/10000,0)</f>
        <v>216</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地下研发</v>
      </c>
      <c r="B7" s="1587" t="str">
        <f t="shared" ref="B7:B13" si="1">IF(A7=0,"","经营性")</f>
        <v>经营性</v>
      </c>
      <c r="C7" s="1588" t="s">
        <v>3394</v>
      </c>
      <c r="D7" s="805">
        <f>SUMIF(项目基本情况!C$12:I$12,C7,项目基本情况!C$14:I$14)</f>
        <v>50</v>
      </c>
      <c r="E7" s="804">
        <f>IF(B7="","",SUMIF(项目基本情况!C$12:I$12,C7,项目基本情况!C$13:I$13))</f>
        <v>60477</v>
      </c>
      <c r="F7" s="61">
        <f>SUMIF(项目基本情况!C$12:I$12,C7,项目基本情况!C$15:I$15)</f>
        <v>39.81</v>
      </c>
      <c r="G7" s="62">
        <f t="shared" ref="G7:G11" si="2">IF(ISERROR(ROUND(POWER(1+H7,D7-F7)*(POWER(1+H7,F7)-1)/(POWER(1+H7,D7)-1),3)),0,ROUND(POWER(1+H7,D7-F7)*(POWER(1+H7,F7)-1)/(POWER(1+H7,D7)-1),3))</f>
        <v>0.93</v>
      </c>
      <c r="H7" s="691">
        <v>4.4999999999999998E-2</v>
      </c>
      <c r="I7" s="691">
        <v>0.05</v>
      </c>
      <c r="J7" s="63">
        <v>7.0000000000000007E-2</v>
      </c>
      <c r="K7" s="970">
        <f>SUMIF('数据-汇总表'!C$19:C$33,A7,'数据-汇总表'!E$19:E$33)</f>
        <v>121804.97</v>
      </c>
      <c r="L7" s="692">
        <v>5500</v>
      </c>
      <c r="M7" s="64">
        <f t="shared" si="0"/>
        <v>66993</v>
      </c>
      <c r="N7" s="690">
        <f>N6</f>
        <v>0.95</v>
      </c>
      <c r="O7" s="64" t="str">
        <f t="shared" ref="O7:O14" si="3">IF($N$5="成新度","——",ROUND(M7*N7,0))</f>
        <v>——</v>
      </c>
      <c r="P7" s="65" t="str">
        <f t="shared" ref="P7:P14" si="4">IF($N$5="成新度","——",M7-O7)</f>
        <v>——</v>
      </c>
      <c r="Q7" s="693">
        <v>0.05</v>
      </c>
      <c r="R7" s="66">
        <f ca="1">SUMIF('数据-汇总表'!C$19:C$33,A7,'数据-汇总表'!R$19:R$27)</f>
        <v>28578.019999999997</v>
      </c>
      <c r="S7" s="49">
        <f>IF('数据-汇总表'!$I$17="按面积比例",SUMIF('数据-汇总表'!C$19:C$33,A7,'数据-汇总表'!K$19:K$33),SUMIF('数据-汇总表'!C$19:C$33,A7,'数据-汇总表'!N$19:N$33))</f>
        <v>11207.68</v>
      </c>
      <c r="T7" s="1092">
        <f t="shared" ref="T7:T13" si="5">ROUND($L$14*S7/10000,0)</f>
        <v>6164</v>
      </c>
      <c r="U7" s="3127">
        <f>租赁台账!R26</f>
        <v>1.17</v>
      </c>
      <c r="V7" s="67">
        <v>0</v>
      </c>
      <c r="W7" s="67">
        <v>0</v>
      </c>
      <c r="X7" s="979"/>
      <c r="Y7" s="68">
        <f>N7</f>
        <v>0.95</v>
      </c>
      <c r="Z7" s="69">
        <f>租赁台账!Q30</f>
        <v>1.59</v>
      </c>
      <c r="AA7" s="63">
        <f>租赁台账!Q29</f>
        <v>0.02</v>
      </c>
      <c r="AB7" s="63">
        <v>0.1</v>
      </c>
      <c r="AC7" s="979"/>
      <c r="AD7" s="70">
        <f>Sheet1!J30</f>
        <v>0.83</v>
      </c>
      <c r="AE7" s="980">
        <f t="shared" ref="AE7:AE13" ca="1" si="6">IF(AN7="",0,SUMIF(INDIRECT("'"&amp;AN7&amp;"'"&amp;"!E:E"),$AE$5,INDIRECT("'"&amp;AN7&amp;"'"&amp;"!F:F")))</f>
        <v>39.81</v>
      </c>
      <c r="AF7" s="74">
        <f>租赁台账!Q25</f>
        <v>10.220000000000001</v>
      </c>
      <c r="AG7" s="130">
        <f t="shared" ref="AG7:AG13" ca="1" si="7">IF(AF7="",0,AE7-AF7)</f>
        <v>29.590000000000003</v>
      </c>
      <c r="AH7" s="71"/>
      <c r="AI7" s="73">
        <v>365</v>
      </c>
      <c r="AJ7" s="74"/>
      <c r="AK7" s="75">
        <v>2E-3</v>
      </c>
      <c r="AL7" s="76">
        <v>1E-3</v>
      </c>
      <c r="AM7" s="77">
        <v>5.0000000000000001E-3</v>
      </c>
      <c r="AN7" s="1589" t="s">
        <v>3535</v>
      </c>
      <c r="AO7" s="50">
        <f t="shared" ref="AO7:AO13" ca="1" si="8">SUMIF(INDIRECT("'"&amp;AN7&amp;"'"&amp;"!A:A"),"总价",INDIRECT("'"&amp;AN7&amp;"'"&amp;"!B:B"))</f>
        <v>91593</v>
      </c>
      <c r="AP7" s="1590">
        <f t="shared" ref="AP7:AP13" si="9">IF(C7="住宅",K7*L7,0)</f>
        <v>0</v>
      </c>
      <c r="AQ7" s="50">
        <f t="shared" ref="AQ7:AQ13" si="10">ROUND($L$14*$N$14*S7/10000,0)</f>
        <v>5856</v>
      </c>
      <c r="AR7" s="50">
        <f t="shared" ref="AR7:AR13" si="11">ROUND($L$14*(1-$N$14)*S7/10000,0)</f>
        <v>308</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19046.350000000006</v>
      </c>
      <c r="L14" s="79">
        <f>L7</f>
        <v>5500</v>
      </c>
      <c r="M14" s="64">
        <f t="shared" si="0"/>
        <v>10475</v>
      </c>
      <c r="N14" s="80">
        <f>N7</f>
        <v>0.95</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0.93300000000000005</v>
      </c>
      <c r="H16" s="84">
        <f>ROUND(SUMPRODUCT(H6:H13,K6:K13)/SUMPRODUCT((H6:H13&gt;0)*(K6:K13)),3)</f>
        <v>4.7E-2</v>
      </c>
      <c r="I16" s="85"/>
      <c r="J16" s="85"/>
      <c r="K16" s="86">
        <f>SUM(K6:K15)</f>
        <v>226041.84</v>
      </c>
      <c r="L16" s="87">
        <f>ROUND(M16*10000/SUM(K6:K14),0)</f>
        <v>5877</v>
      </c>
      <c r="M16" s="87">
        <f>SUM(M6:M14)</f>
        <v>132842</v>
      </c>
      <c r="N16" s="88">
        <f>ROUND(SUMPRODUCT(M6:M14,N6:N14)/M16,3)</f>
        <v>0.95</v>
      </c>
      <c r="O16" s="87">
        <f>SUM(O6:O14)</f>
        <v>0</v>
      </c>
      <c r="P16" s="87">
        <f>SUM(P6:P14)</f>
        <v>0</v>
      </c>
      <c r="Q16" s="89">
        <f>ROUND(SUMPRODUCT(Q6:Q13,K6:K13)/SUMPRODUCT((Q6:Q13&gt;0)*(K6:K13)),2)</f>
        <v>0.11</v>
      </c>
      <c r="R16" s="974">
        <f ca="1">SUM(R6:R13)</f>
        <v>48565.52</v>
      </c>
      <c r="S16" s="90">
        <f>SUM(S6:S13)</f>
        <v>19046.349999999999</v>
      </c>
      <c r="T16" s="91">
        <f>IF(SUMIF(T6:T13,"&lt;9E307")=M14,SUMIF(T6:T13,"&lt;9E307"),"有误，请检查")</f>
        <v>10475</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3</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f>ROUND(B28*K16/10000,0)</f>
        <v>4521</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0.08</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0.03</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0.03</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3.2500000000000001E-2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303</v>
      </c>
      <c r="C53" s="2440" t="s">
        <v>1244</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8" t="s">
        <v>2275</v>
      </c>
      <c r="B1" s="3289"/>
      <c r="C1" s="3289"/>
      <c r="D1" s="3289"/>
      <c r="E1" s="3289"/>
      <c r="F1" s="3289"/>
      <c r="G1" s="328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N9" sqref="N9"/>
    </sheetView>
  </sheetViews>
  <sheetFormatPr defaultColWidth="9" defaultRowHeight="13.5"/>
  <cols>
    <col min="1" max="1" width="25" style="2301" customWidth="1"/>
    <col min="2" max="9" width="15.75" style="2301" customWidth="1"/>
    <col min="10" max="16384" width="9" style="2301"/>
  </cols>
  <sheetData>
    <row r="1" spans="1:11" ht="16.5">
      <c r="A1" s="2300" t="s">
        <v>663</v>
      </c>
      <c r="B1" s="2300">
        <f>SUM(B14:B23)</f>
        <v>226041.84</v>
      </c>
      <c r="C1" s="2462"/>
      <c r="D1" s="2462"/>
      <c r="E1" s="2462"/>
      <c r="F1" s="2462"/>
      <c r="G1" s="2463"/>
      <c r="H1" s="2463"/>
      <c r="I1" s="2463"/>
      <c r="J1" s="2463"/>
      <c r="K1" s="2463"/>
    </row>
    <row r="2" spans="1:11" ht="16.5">
      <c r="A2" s="2300" t="s">
        <v>651</v>
      </c>
      <c r="B2" s="2300">
        <f>SUM(C14:C23)</f>
        <v>0</v>
      </c>
      <c r="C2" s="2462"/>
      <c r="D2" s="2462"/>
      <c r="E2" s="2462"/>
      <c r="F2" s="2462"/>
      <c r="G2" s="2463"/>
      <c r="H2" s="2463"/>
      <c r="I2" s="2463"/>
      <c r="J2" s="2463"/>
      <c r="K2" s="2463"/>
    </row>
    <row r="3" spans="1:11" ht="16.5">
      <c r="A3" s="2300" t="s">
        <v>660</v>
      </c>
      <c r="B3" s="2302">
        <f>项目基本情况!D3</f>
        <v>45944</v>
      </c>
      <c r="C3" s="2462"/>
      <c r="D3" s="2462"/>
      <c r="E3" s="2462"/>
      <c r="F3" s="2462"/>
      <c r="G3" s="2463"/>
      <c r="H3" s="2463"/>
      <c r="I3" s="2463"/>
      <c r="J3" s="2463"/>
      <c r="K3" s="2463"/>
    </row>
    <row r="4" spans="1:11" ht="33">
      <c r="A4" s="2300" t="s">
        <v>659</v>
      </c>
      <c r="B4" s="2300" t="s">
        <v>658</v>
      </c>
      <c r="C4" s="2300" t="s">
        <v>657</v>
      </c>
      <c r="D4" s="2300" t="s">
        <v>656</v>
      </c>
      <c r="E4" s="2462"/>
      <c r="F4" s="2463"/>
      <c r="G4" s="2463"/>
      <c r="H4" s="2463"/>
      <c r="I4" s="2463"/>
      <c r="J4" s="2463"/>
      <c r="K4" s="2463"/>
    </row>
    <row r="5" spans="1:11" ht="16.5">
      <c r="A5" s="2300" t="s">
        <v>655</v>
      </c>
      <c r="B5" s="2300">
        <f ca="1">SUM(D14:D23)</f>
        <v>420441</v>
      </c>
      <c r="C5" s="2300">
        <f ca="1">IF(B5=D14,结果表!H102,ROUND(B5*10000/$B$1,0))</f>
        <v>18600</v>
      </c>
      <c r="D5" s="2300" t="e">
        <f ca="1">ROUND(B5*10000/$B$2,0)</f>
        <v>#DIV/0!</v>
      </c>
      <c r="E5" s="2462"/>
      <c r="F5" s="2463"/>
      <c r="G5" s="2463"/>
      <c r="H5" s="2463"/>
      <c r="I5" s="2463"/>
      <c r="J5" s="2463"/>
      <c r="K5" s="2463"/>
    </row>
    <row r="6" spans="1:11" ht="16.5">
      <c r="A6" s="2300" t="s">
        <v>654</v>
      </c>
      <c r="B6" s="2300">
        <f ca="1">SUM(G14:G23)</f>
        <v>420441</v>
      </c>
      <c r="C6" s="2300">
        <f ca="1">IF(B6=G14,结果表!H108,ROUND(B6*10000/$B$1,0))</f>
        <v>18600</v>
      </c>
      <c r="D6" s="2300" t="e">
        <f ca="1">ROUND(B6*10000/$B$2,0)</f>
        <v>#DIV/0!</v>
      </c>
      <c r="E6" s="2462"/>
      <c r="F6" s="2463"/>
      <c r="G6" s="2463"/>
      <c r="H6" s="2463"/>
      <c r="I6" s="2463"/>
      <c r="J6" s="2463"/>
      <c r="K6" s="2463"/>
    </row>
    <row r="7" spans="1:11" ht="16.5">
      <c r="A7" s="2300" t="s">
        <v>662</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653</v>
      </c>
      <c r="B9" s="1244"/>
      <c r="C9" s="2462"/>
      <c r="D9" s="2462"/>
      <c r="E9" s="2462"/>
      <c r="F9" s="2463"/>
      <c r="G9" s="2463"/>
      <c r="H9" s="2463"/>
      <c r="I9" s="2463"/>
      <c r="J9" s="2463"/>
      <c r="K9" s="2463"/>
    </row>
    <row r="10" spans="1:11" ht="16.5">
      <c r="A10" s="2300" t="s">
        <v>652</v>
      </c>
      <c r="B10" s="2300">
        <f>IF(E10="",0,ROUND(B1*(E10*365/G10)/10000,0))</f>
        <v>0</v>
      </c>
      <c r="C10" s="2300" t="s">
        <v>3343</v>
      </c>
      <c r="D10" s="2300" t="s">
        <v>3344</v>
      </c>
      <c r="E10" s="3137"/>
      <c r="F10" s="3141" t="s">
        <v>3345</v>
      </c>
      <c r="G10" s="3138"/>
      <c r="H10" s="2463"/>
      <c r="I10" s="2463"/>
      <c r="J10" s="2463"/>
      <c r="K10" s="2463"/>
    </row>
    <row r="11" spans="1:11" ht="16.5">
      <c r="A11" s="2300" t="s">
        <v>668</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667</v>
      </c>
      <c r="B13" s="2304" t="s">
        <v>664</v>
      </c>
      <c r="C13" s="2304" t="s">
        <v>666</v>
      </c>
      <c r="D13" s="2304" t="s">
        <v>665</v>
      </c>
      <c r="E13" s="2300" t="s">
        <v>657</v>
      </c>
      <c r="F13" s="2300" t="s">
        <v>656</v>
      </c>
      <c r="G13" s="2304" t="s">
        <v>650</v>
      </c>
      <c r="H13" s="2304" t="s">
        <v>661</v>
      </c>
      <c r="I13" s="2304" t="s">
        <v>649</v>
      </c>
      <c r="J13" s="2463"/>
      <c r="K13" s="2463"/>
    </row>
    <row r="14" spans="1:11" ht="16.5">
      <c r="A14" s="3559" t="s">
        <v>3380</v>
      </c>
      <c r="B14" s="3560">
        <f>'数据-汇总表'!F31</f>
        <v>85190.51999999999</v>
      </c>
      <c r="C14" s="3560"/>
      <c r="D14" s="3560">
        <f ca="1">结果表!H118</f>
        <v>309511</v>
      </c>
      <c r="E14" s="2306">
        <f ca="1">ROUND(D14*10000/B14,0)</f>
        <v>36332</v>
      </c>
      <c r="F14" s="2306" t="e">
        <f ca="1">ROUND(D14*10000/C14,0)</f>
        <v>#DIV/0!</v>
      </c>
      <c r="G14" s="2306">
        <f ca="1">D14</f>
        <v>309511</v>
      </c>
      <c r="H14" s="2306"/>
      <c r="I14" s="2306"/>
      <c r="J14" s="2463"/>
      <c r="K14" s="2463"/>
    </row>
    <row r="15" spans="1:11" ht="16.5">
      <c r="A15" s="3559" t="s">
        <v>3381</v>
      </c>
      <c r="B15" s="3559">
        <f>'数据-汇总表'!G31</f>
        <v>140851.32</v>
      </c>
      <c r="C15" s="3559"/>
      <c r="D15" s="3559">
        <f ca="1">'结果表-地下'!H118</f>
        <v>110930</v>
      </c>
      <c r="E15" s="2306">
        <f t="shared" ref="E15:E23" ca="1" si="0">ROUND(D15*10000/B15,0)</f>
        <v>7876</v>
      </c>
      <c r="F15" s="2306" t="e">
        <f t="shared" ref="F15:F23" ca="1" si="1">ROUND(D15*10000/C15,0)</f>
        <v>#DIV/0!</v>
      </c>
      <c r="G15" s="1244">
        <f ca="1">D15</f>
        <v>110930</v>
      </c>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12" sqref="K1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24" t="str">
        <f>项目基本情况!S2</f>
        <v>北京市房地产</v>
      </c>
      <c r="B2" s="3325"/>
      <c r="C2" s="3325"/>
      <c r="D2" s="3325"/>
      <c r="E2" s="3325"/>
      <c r="F2" s="3325"/>
      <c r="G2" s="3325"/>
      <c r="H2" s="3325"/>
      <c r="I2" s="3326"/>
    </row>
    <row r="3" spans="1:12" ht="12.75">
      <c r="A3" s="3328" t="s">
        <v>1262</v>
      </c>
      <c r="B3" s="3329"/>
      <c r="C3" s="3329"/>
      <c r="D3" s="3329"/>
      <c r="E3" s="3329"/>
      <c r="F3" s="3329"/>
      <c r="G3" s="3329"/>
      <c r="H3" s="3329"/>
      <c r="I3" s="3329"/>
    </row>
    <row r="4" spans="1:12" ht="14.25">
      <c r="A4" s="1624" t="s">
        <v>1263</v>
      </c>
      <c r="B4" s="1625" t="s">
        <v>1264</v>
      </c>
      <c r="C4" s="1626" t="s">
        <v>3689</v>
      </c>
      <c r="D4" s="1626" t="s">
        <v>3534</v>
      </c>
      <c r="E4" s="3330" t="s">
        <v>1265</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4" t="s">
        <v>1266</v>
      </c>
      <c r="B5" s="3291">
        <v>25</v>
      </c>
      <c r="C5" s="3307"/>
      <c r="D5" s="3327"/>
      <c r="E5" s="123" t="s">
        <v>1267</v>
      </c>
      <c r="F5" s="1627"/>
      <c r="G5" s="1627"/>
      <c r="H5" s="1627"/>
      <c r="I5" s="1281"/>
    </row>
    <row r="6" spans="1:12" ht="12.75">
      <c r="A6" s="3304"/>
      <c r="B6" s="3291"/>
      <c r="C6" s="3308"/>
      <c r="D6" s="3327"/>
      <c r="E6" s="123" t="s">
        <v>1268</v>
      </c>
      <c r="F6" s="1627"/>
      <c r="G6" s="1627"/>
      <c r="H6" s="1627"/>
      <c r="I6" s="1281"/>
    </row>
    <row r="7" spans="1:12" ht="12.75">
      <c r="A7" s="3304"/>
      <c r="B7" s="3291"/>
      <c r="C7" s="3309"/>
      <c r="D7" s="3327"/>
      <c r="E7" s="123" t="s">
        <v>1269</v>
      </c>
      <c r="F7" s="1627"/>
      <c r="G7" s="1627"/>
      <c r="H7" s="1627"/>
      <c r="I7" s="1281"/>
    </row>
    <row r="8" spans="1:12" ht="12.75">
      <c r="A8" s="3304" t="s">
        <v>1270</v>
      </c>
      <c r="B8" s="3291">
        <v>15</v>
      </c>
      <c r="C8" s="3307"/>
      <c r="D8" s="3327"/>
      <c r="E8" s="123" t="s">
        <v>1271</v>
      </c>
      <c r="F8" s="1627"/>
      <c r="G8" s="1627"/>
      <c r="H8" s="1627"/>
      <c r="I8" s="1281"/>
    </row>
    <row r="9" spans="1:12" ht="12.75">
      <c r="A9" s="3304"/>
      <c r="B9" s="3291"/>
      <c r="C9" s="3309"/>
      <c r="D9" s="3327"/>
      <c r="E9" s="123" t="s">
        <v>1272</v>
      </c>
      <c r="F9" s="1627"/>
      <c r="G9" s="1627"/>
      <c r="H9" s="1627"/>
      <c r="I9" s="1281"/>
    </row>
    <row r="10" spans="1:12" ht="12.75">
      <c r="A10" s="3304" t="s">
        <v>1273</v>
      </c>
      <c r="B10" s="3291">
        <v>15</v>
      </c>
      <c r="C10" s="3307"/>
      <c r="D10" s="3327"/>
      <c r="E10" s="123" t="s">
        <v>1274</v>
      </c>
      <c r="F10" s="1627"/>
      <c r="G10" s="1627"/>
      <c r="H10" s="1627"/>
      <c r="I10" s="1281"/>
    </row>
    <row r="11" spans="1:12" ht="12.75">
      <c r="A11" s="3304"/>
      <c r="B11" s="3291"/>
      <c r="C11" s="3309"/>
      <c r="D11" s="3327"/>
      <c r="E11" s="123" t="s">
        <v>1275</v>
      </c>
      <c r="F11" s="1627"/>
      <c r="G11" s="1627"/>
      <c r="H11" s="1627"/>
      <c r="I11" s="1281"/>
    </row>
    <row r="12" spans="1:12" ht="12.75">
      <c r="A12" s="3304" t="s">
        <v>1276</v>
      </c>
      <c r="B12" s="3291">
        <v>15</v>
      </c>
      <c r="C12" s="3307"/>
      <c r="D12" s="3327"/>
      <c r="E12" s="123" t="s">
        <v>1277</v>
      </c>
      <c r="F12" s="1627"/>
      <c r="G12" s="1627"/>
      <c r="H12" s="1627"/>
      <c r="I12" s="1281"/>
    </row>
    <row r="13" spans="1:12" ht="12.75">
      <c r="A13" s="3304"/>
      <c r="B13" s="3291"/>
      <c r="C13" s="3309"/>
      <c r="D13" s="3327"/>
      <c r="E13" s="123" t="s">
        <v>1278</v>
      </c>
      <c r="F13" s="1627"/>
      <c r="G13" s="1627"/>
      <c r="H13" s="1627"/>
      <c r="I13" s="1281"/>
    </row>
    <row r="14" spans="1:12" ht="12.75">
      <c r="A14" s="3304" t="s">
        <v>1279</v>
      </c>
      <c r="B14" s="3291">
        <v>30</v>
      </c>
      <c r="C14" s="3307">
        <v>7</v>
      </c>
      <c r="D14" s="3327">
        <v>3</v>
      </c>
      <c r="E14" s="123" t="s">
        <v>1280</v>
      </c>
      <c r="F14" s="1627"/>
      <c r="G14" s="1627"/>
      <c r="H14" s="1627"/>
      <c r="I14" s="1281"/>
    </row>
    <row r="15" spans="1:12" ht="12.75">
      <c r="A15" s="3304"/>
      <c r="B15" s="3291"/>
      <c r="C15" s="3308"/>
      <c r="D15" s="3327"/>
      <c r="E15" s="123" t="s">
        <v>1281</v>
      </c>
      <c r="F15" s="1627"/>
      <c r="G15" s="1627"/>
      <c r="H15" s="1627"/>
      <c r="I15" s="1281"/>
    </row>
    <row r="16" spans="1:12" ht="12.75">
      <c r="A16" s="3304"/>
      <c r="B16" s="3291"/>
      <c r="C16" s="3309"/>
      <c r="D16" s="3327"/>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314" t="s">
        <v>2129</v>
      </c>
      <c r="F18" s="3315"/>
      <c r="G18" s="3315"/>
      <c r="H18" s="3315"/>
      <c r="I18" s="3315"/>
      <c r="K18" s="294" t="s">
        <v>1287</v>
      </c>
      <c r="L18" s="294">
        <f>IF(C1="",'数据-汇总表'!E3,SUMIF(项目类型,C1,'数据-汇总表'!E17:E26)+SUMIF(项目类型,C1,'数据-汇总表'!I17:I26))</f>
        <v>226041.84</v>
      </c>
      <c r="M18" s="294">
        <f>IF(C1="",'数据-汇总表'!E3,SUMIF(项目类型,C1,'数据-汇总表'!E17:E26))</f>
        <v>226041.84</v>
      </c>
    </row>
    <row r="19" spans="1:36" ht="15">
      <c r="A19" s="1630" t="s">
        <v>1288</v>
      </c>
      <c r="B19" s="1631" t="s">
        <v>1289</v>
      </c>
      <c r="C19" s="126">
        <f ca="1">SUMIF(INDIRECT("'"&amp;C4&amp;"'"&amp;"!A:A"),结果表!B19,INDIRECT("'"&amp;C4&amp;"'"&amp;"!B:B"))</f>
        <v>352765</v>
      </c>
      <c r="D19" s="127">
        <f ca="1">SUMIF(INDIRECT("'"&amp;D4&amp;"'"&amp;"!A:A"),结果表!B19,INDIRECT("'"&amp;D4&amp;"'"&amp;"!B:B"))</f>
        <v>208585</v>
      </c>
      <c r="E19" s="1630" t="s">
        <v>1290</v>
      </c>
      <c r="F19" s="1631" t="s">
        <v>1289</v>
      </c>
      <c r="G19" s="128">
        <f ca="1">ROUND(C19*$C$18+D19*$D$18,0)</f>
        <v>309511</v>
      </c>
      <c r="H19" s="1632" t="s">
        <v>1291</v>
      </c>
      <c r="I19" s="121"/>
      <c r="K19" s="294" t="s">
        <v>1292</v>
      </c>
      <c r="L19" s="294">
        <f>IF(C1="",'数据-汇总表'!D3,SUMIF(项目类型,C1,'数据-汇总表'!D17:D26)+SUMIF(项目类型,C1,'数据-汇总表'!H17:H27))</f>
        <v>48565.52</v>
      </c>
      <c r="M19" s="294">
        <f>IF(C1="",'数据-汇总表'!D3,SUMIF(项目类型,C1,'数据-汇总表'!D17:D26))</f>
        <v>48565.52</v>
      </c>
    </row>
    <row r="20" spans="1:36" ht="15">
      <c r="A20" s="1633"/>
      <c r="B20" s="43" t="s">
        <v>1293</v>
      </c>
      <c r="C20" s="129">
        <f ca="1">SUMIF(INDIRECT("'"&amp;C4&amp;"'"&amp;"!A:A"),结果表!B20,INDIRECT("'"&amp;C4&amp;"'"&amp;"!B:B"))</f>
        <v>41409</v>
      </c>
      <c r="D20" s="130">
        <f ca="1">SUMIF(INDIRECT("'"&amp;D4&amp;"'"&amp;"!A:A"),结果表!B20,INDIRECT("'"&amp;D4&amp;"'"&amp;"!B:B"))</f>
        <v>24485</v>
      </c>
      <c r="E20" s="1633"/>
      <c r="F20" s="43" t="s">
        <v>1293</v>
      </c>
      <c r="G20" s="131">
        <f ca="1">ROUND(C20*$C$18+D20*$D$18,0)</f>
        <v>36332</v>
      </c>
      <c r="H20" s="760" t="s">
        <v>1294</v>
      </c>
      <c r="I20" s="121"/>
    </row>
    <row r="21" spans="1:36" ht="15" customHeight="1" thickBot="1">
      <c r="A21" s="449"/>
      <c r="B21" s="93" t="s">
        <v>1295</v>
      </c>
      <c r="C21" s="678">
        <f ca="1">ROUND(C19*10000/L19,0)</f>
        <v>72637</v>
      </c>
      <c r="D21" s="679">
        <f ca="1">ROUND(D19*10000/L19,0)</f>
        <v>42949</v>
      </c>
      <c r="E21" s="449"/>
      <c r="F21" s="93" t="s">
        <v>1295</v>
      </c>
      <c r="G21" s="132">
        <f ca="1">ROUND(G19*10000/L19,0)</f>
        <v>63731</v>
      </c>
      <c r="H21" s="1634" t="s">
        <v>1294</v>
      </c>
      <c r="I21" s="121"/>
    </row>
    <row r="22" spans="1:36" ht="15" thickBot="1">
      <c r="A22" s="1564" t="s">
        <v>1296</v>
      </c>
      <c r="B22" s="1635"/>
      <c r="C22" s="1636"/>
      <c r="D22" s="680">
        <f ca="1">IF(C19&lt;D19,D19/C19-1,C19/D19-1)</f>
        <v>0.69122899537358862</v>
      </c>
      <c r="E22" s="121"/>
      <c r="F22" s="121"/>
      <c r="G22" s="121"/>
      <c r="H22" s="121"/>
      <c r="I22" s="121"/>
    </row>
    <row r="23" spans="1:36" ht="13.5" thickBot="1">
      <c r="A23" s="646"/>
      <c r="B23" s="646"/>
      <c r="C23" s="646"/>
      <c r="D23" s="646"/>
      <c r="E23" s="121"/>
      <c r="F23" s="121"/>
      <c r="G23" s="121"/>
      <c r="H23" s="121"/>
      <c r="I23" s="121"/>
    </row>
    <row r="24" spans="1:36" ht="14.25">
      <c r="A24" s="3298" t="s">
        <v>1297</v>
      </c>
      <c r="B24" s="1631" t="s">
        <v>1289</v>
      </c>
      <c r="C24" s="128">
        <f>IF(B30=0,0,D30)</f>
        <v>0</v>
      </c>
      <c r="D24" s="1637"/>
      <c r="E24" s="121"/>
      <c r="F24" s="121"/>
      <c r="G24" s="121"/>
      <c r="H24" s="121"/>
      <c r="I24" s="121"/>
    </row>
    <row r="25" spans="1:36" ht="14.25">
      <c r="A25" s="329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309511</v>
      </c>
      <c r="D32" s="1641" t="s">
        <v>3690</v>
      </c>
      <c r="E32" s="121"/>
      <c r="F32" s="121"/>
      <c r="G32" s="121"/>
      <c r="H32" s="121"/>
      <c r="I32" s="121"/>
    </row>
    <row r="33" spans="1:15" ht="15">
      <c r="A33" s="740" t="s">
        <v>1304</v>
      </c>
      <c r="B33" s="123"/>
      <c r="C33" s="1642" t="s">
        <v>3692</v>
      </c>
      <c r="D33" s="1643" t="s">
        <v>3534</v>
      </c>
      <c r="E33" s="1644" t="s">
        <v>1305</v>
      </c>
      <c r="F33" s="1645" t="str">
        <f>IF(D32="楼面单价","取值（单价）","取值（总价）")</f>
        <v>取值（总价）</v>
      </c>
      <c r="G33" s="121"/>
      <c r="H33" s="121"/>
      <c r="I33" s="121"/>
    </row>
    <row r="34" spans="1:15" ht="15">
      <c r="A34" s="1646"/>
      <c r="B34" s="1647" t="s">
        <v>1306</v>
      </c>
      <c r="C34" s="140">
        <f ca="1">IF(C33="自定义",F34,C32-C35)</f>
        <v>62521</v>
      </c>
      <c r="D34" s="808">
        <f ca="1">IF(C33="自定义",ROUND(C34/C32,3),IF(C33="收益比率",SUMIF(INDIRECT("'"&amp;D33&amp;"'"&amp;"!b:b"),"土地收益比率",INDIRECT("'"&amp;D33&amp;"'"&amp;"!c:c")),SUMIF(INDIRECT("'"&amp;D33&amp;"'"&amp;"!b:b"),"土地成本比率",INDIRECT("'"&amp;D33&amp;"'"&amp;"!c:c"))))</f>
        <v>0.20199999999999996</v>
      </c>
      <c r="E34" s="1648" t="s">
        <v>1307</v>
      </c>
      <c r="F34" s="1243"/>
      <c r="G34" s="121"/>
      <c r="H34" s="121"/>
      <c r="I34" s="121"/>
    </row>
    <row r="35" spans="1:15" ht="15.75" thickBot="1">
      <c r="A35" s="1649"/>
      <c r="B35" s="1650" t="s">
        <v>1308</v>
      </c>
      <c r="C35" s="1090">
        <f ca="1">IF(C33="自定义",F35,ROUND(C32*D35,0))</f>
        <v>246990</v>
      </c>
      <c r="D35" s="1091">
        <f ca="1">IF(C33="自定义",ROUND(C35/C32,3),IF(C33="收益比率",SUMIF(INDIRECT("'"&amp;D33&amp;"'"&amp;"!b:b"),"建筑物收益比率",INDIRECT("'"&amp;D33&amp;"'"&amp;"!c:c")),SUMIF(INDIRECT("'"&amp;D33&amp;"'"&amp;"!b:b"),"建筑物成本比率",INDIRECT("'"&amp;D33&amp;"'"&amp;"!c:c"))))</f>
        <v>0.79800000000000004</v>
      </c>
      <c r="E35" s="1651" t="s">
        <v>1309</v>
      </c>
      <c r="F35" s="146"/>
      <c r="G35" s="121"/>
      <c r="H35" s="121"/>
      <c r="I35" s="121"/>
    </row>
    <row r="36" spans="1:15" ht="15.75" thickBot="1">
      <c r="A36" s="3318" t="s">
        <v>1310</v>
      </c>
      <c r="B36" s="1652" t="s">
        <v>1311</v>
      </c>
      <c r="C36" s="137"/>
      <c r="D36" s="1653"/>
      <c r="E36" s="1567"/>
      <c r="F36" s="1654"/>
      <c r="G36" s="121"/>
      <c r="H36" s="121"/>
      <c r="I36" s="121"/>
    </row>
    <row r="37" spans="1:15" ht="15.75" thickBot="1">
      <c r="A37" s="3319"/>
      <c r="B37" s="1555" t="s">
        <v>1312</v>
      </c>
      <c r="C37" s="139"/>
      <c r="D37" s="1071"/>
      <c r="E37" s="1071"/>
      <c r="F37" s="1654"/>
      <c r="G37" s="121"/>
      <c r="H37" s="121"/>
      <c r="I37" s="121"/>
    </row>
    <row r="38" spans="1:15" ht="15.75" thickBot="1">
      <c r="A38" s="332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95" t="s">
        <v>1324</v>
      </c>
      <c r="B45" s="3296"/>
      <c r="C45" s="3297"/>
      <c r="D45" s="147">
        <f ca="1">ROUND(H101*F45,0)</f>
        <v>309511</v>
      </c>
      <c r="E45" s="148" t="s">
        <v>1325</v>
      </c>
      <c r="F45" s="149">
        <v>1</v>
      </c>
      <c r="G45" s="150" t="s">
        <v>1326</v>
      </c>
      <c r="H45" s="121"/>
      <c r="I45" s="121"/>
      <c r="J45" s="3373" t="s">
        <v>1327</v>
      </c>
      <c r="K45" s="3373"/>
      <c r="L45" s="3373"/>
      <c r="M45" s="3373"/>
      <c r="N45" s="3373"/>
      <c r="O45" s="3373"/>
    </row>
    <row r="46" spans="1:15" ht="14.25" customHeight="1">
      <c r="A46" s="3292" t="s">
        <v>1328</v>
      </c>
      <c r="B46" s="3293"/>
      <c r="C46" s="3293"/>
      <c r="D46" s="3293"/>
      <c r="E46" s="3293"/>
      <c r="F46" s="3293"/>
      <c r="G46" s="3294"/>
      <c r="H46" s="1668"/>
      <c r="I46" s="151"/>
      <c r="J46" s="2310">
        <v>1</v>
      </c>
      <c r="K46" s="3354" t="s">
        <v>1329</v>
      </c>
      <c r="L46" s="3354"/>
      <c r="M46" s="3374"/>
      <c r="N46" s="3374"/>
      <c r="O46" s="3374"/>
    </row>
    <row r="47" spans="1:15" ht="12" customHeight="1">
      <c r="A47" s="152" t="s">
        <v>1330</v>
      </c>
      <c r="B47" s="153"/>
      <c r="C47" s="154"/>
      <c r="D47" s="1024" t="s">
        <v>1331</v>
      </c>
      <c r="E47" s="294" t="s">
        <v>1332</v>
      </c>
      <c r="F47" s="155" t="s">
        <v>1333</v>
      </c>
      <c r="G47" s="2333" t="s">
        <v>1334</v>
      </c>
      <c r="H47" s="2334"/>
      <c r="I47" s="151"/>
      <c r="J47" s="2310">
        <v>2</v>
      </c>
      <c r="K47" s="3354" t="s">
        <v>1335</v>
      </c>
      <c r="L47" s="3354"/>
      <c r="M47" s="3375">
        <f>'数据-取费表'!B2</f>
        <v>45944</v>
      </c>
      <c r="N47" s="3375"/>
      <c r="O47" s="3375"/>
    </row>
    <row r="48" spans="1:15" ht="25.5">
      <c r="A48" s="3323" t="s">
        <v>1336</v>
      </c>
      <c r="B48" s="3306"/>
      <c r="C48" s="330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54" t="s">
        <v>1338</v>
      </c>
      <c r="L48" s="3354"/>
      <c r="M48" s="3376">
        <f ca="1">H101</f>
        <v>309511</v>
      </c>
      <c r="N48" s="3376"/>
      <c r="O48" s="3376"/>
    </row>
    <row r="49" spans="1:35" ht="25.5" customHeight="1">
      <c r="A49" s="2152" t="s">
        <v>1339</v>
      </c>
      <c r="B49" s="3290" t="s">
        <v>1340</v>
      </c>
      <c r="C49" s="3290"/>
      <c r="D49" s="1478">
        <v>0</v>
      </c>
      <c r="E49" s="316" t="s">
        <v>1341</v>
      </c>
      <c r="F49" s="2233" t="s">
        <v>28</v>
      </c>
      <c r="G49" s="3360"/>
      <c r="H49" s="2134" t="s">
        <v>2132</v>
      </c>
      <c r="I49" s="2135"/>
      <c r="J49" s="2310">
        <v>4</v>
      </c>
      <c r="K49" s="3354" t="str">
        <f>IF(项目基本情况!E8="房地产抵押价值","房地产抵押价值","抵押担保权已注销时的房地产抵押价值")</f>
        <v>房地产抵押价值</v>
      </c>
      <c r="L49" s="3354"/>
      <c r="M49" s="3376">
        <f ca="1">IF(项目基本情况!E8="房地产抵押价值",H107,H109)</f>
        <v>309511</v>
      </c>
      <c r="N49" s="3376"/>
      <c r="O49" s="3376"/>
    </row>
    <row r="50" spans="1:35" ht="25.5" customHeight="1">
      <c r="A50" s="2338"/>
      <c r="B50" s="3290" t="s">
        <v>1342</v>
      </c>
      <c r="C50" s="3290"/>
      <c r="D50" s="2189"/>
      <c r="E50" s="323"/>
      <c r="F50" s="2233"/>
      <c r="G50" s="3361"/>
      <c r="H50" s="2136" t="s">
        <v>2133</v>
      </c>
      <c r="I50" s="2135"/>
      <c r="J50" s="3373" t="s">
        <v>1343</v>
      </c>
      <c r="K50" s="3373"/>
      <c r="L50" s="3373"/>
      <c r="M50" s="3373"/>
      <c r="N50" s="3373"/>
      <c r="O50" s="3373"/>
    </row>
    <row r="51" spans="1:35" ht="20.45" customHeight="1">
      <c r="A51" s="2339"/>
      <c r="B51" s="3290" t="s">
        <v>1344</v>
      </c>
      <c r="C51" s="3290"/>
      <c r="D51" s="1024"/>
      <c r="E51" s="319"/>
      <c r="F51" s="2233"/>
      <c r="G51" s="3362"/>
      <c r="H51" s="2136" t="s">
        <v>2134</v>
      </c>
      <c r="I51" s="2135"/>
      <c r="J51" s="2311" t="s">
        <v>1345</v>
      </c>
      <c r="K51" s="3354" t="s">
        <v>1346</v>
      </c>
      <c r="L51" s="3354"/>
      <c r="M51" s="2311" t="s">
        <v>1347</v>
      </c>
      <c r="N51" s="2311" t="s">
        <v>1348</v>
      </c>
      <c r="O51" s="2311" t="s">
        <v>1349</v>
      </c>
    </row>
    <row r="52" spans="1:35" ht="24" customHeight="1">
      <c r="A52" s="2153" t="s">
        <v>1350</v>
      </c>
      <c r="B52" s="3290" t="s">
        <v>1351</v>
      </c>
      <c r="C52" s="3290"/>
      <c r="D52" s="1024">
        <f ca="1">ROUND(D45*'数据-取费表'!B41/(1+'数据-取费表'!C42),0)</f>
        <v>16507</v>
      </c>
      <c r="E52" s="1256" t="s">
        <v>1352</v>
      </c>
      <c r="F52" s="2340">
        <f>'数据-取费表'!B41</f>
        <v>5.6000000000000001E-2</v>
      </c>
      <c r="G52" s="2341"/>
      <c r="H52" s="2331"/>
      <c r="I52" s="1669"/>
      <c r="J52" s="2310">
        <v>1</v>
      </c>
      <c r="K52" s="3355" t="s">
        <v>1353</v>
      </c>
      <c r="L52" s="3355"/>
      <c r="M52" s="2312" t="b">
        <f>D48</f>
        <v>0</v>
      </c>
      <c r="N52" s="2310" t="str">
        <f>E48</f>
        <v>销售额×税（费）率</v>
      </c>
      <c r="O52" s="2313">
        <f>F48</f>
        <v>5.6000000000000001E-2</v>
      </c>
    </row>
    <row r="53" spans="1:35" ht="12" customHeight="1">
      <c r="A53" s="2153" t="s">
        <v>1354</v>
      </c>
      <c r="B53" s="3316" t="s">
        <v>2280</v>
      </c>
      <c r="C53" s="3317"/>
      <c r="D53" s="1024">
        <f ca="1">ROUND(D45*'数据-取费表'!B41/(1+'数据-取费表'!C42),0)</f>
        <v>16507</v>
      </c>
      <c r="E53" s="1256" t="s">
        <v>1352</v>
      </c>
      <c r="F53" s="2340">
        <f>'数据-取费表'!B41</f>
        <v>5.6000000000000001E-2</v>
      </c>
      <c r="G53" s="2341"/>
      <c r="H53" s="2331"/>
      <c r="I53" s="1669"/>
      <c r="J53" s="2310">
        <v>2</v>
      </c>
      <c r="K53" s="3355" t="s">
        <v>1355</v>
      </c>
      <c r="L53" s="3355"/>
      <c r="M53" s="2312">
        <f t="shared" ref="M53:O54" ca="1" si="0">D55</f>
        <v>155</v>
      </c>
      <c r="N53" s="2310" t="str">
        <f t="shared" si="0"/>
        <v>销售额×税（费）率</v>
      </c>
      <c r="O53" s="2313" t="str">
        <f t="shared" si="0"/>
        <v>免征</v>
      </c>
    </row>
    <row r="54" spans="1:35" ht="12" customHeight="1">
      <c r="A54" s="2153" t="s">
        <v>1356</v>
      </c>
      <c r="B54" s="3316" t="s">
        <v>2281</v>
      </c>
      <c r="C54" s="3317"/>
      <c r="D54" s="1024">
        <f ca="1">C68</f>
        <v>16507</v>
      </c>
      <c r="E54" s="319" t="s">
        <v>1357</v>
      </c>
      <c r="F54" s="2340">
        <f>'数据-取费表'!B41</f>
        <v>5.6000000000000001E-2</v>
      </c>
      <c r="G54" s="2341"/>
      <c r="H54" s="2342"/>
      <c r="I54" s="1669"/>
      <c r="J54" s="2310">
        <v>3</v>
      </c>
      <c r="K54" s="3355" t="s">
        <v>1358</v>
      </c>
      <c r="L54" s="3355"/>
      <c r="M54" s="2312">
        <f t="shared" ca="1" si="0"/>
        <v>175183</v>
      </c>
      <c r="N54" s="2310" t="str">
        <f t="shared" si="0"/>
        <v>增值额×税（费）率</v>
      </c>
      <c r="O54" s="2314" t="str">
        <f t="shared" si="0"/>
        <v>免征</v>
      </c>
    </row>
    <row r="55" spans="1:35" ht="24" customHeight="1">
      <c r="A55" s="3305" t="s">
        <v>1359</v>
      </c>
      <c r="B55" s="3306"/>
      <c r="C55" s="3306"/>
      <c r="D55" s="12">
        <f ca="1">IF(H55="个人住宅",0,ROUND(D45*I55,0))</f>
        <v>155</v>
      </c>
      <c r="E55" s="1256" t="s">
        <v>1360</v>
      </c>
      <c r="F55" s="2340" t="str">
        <f>IF(H55="正常",I55,"免征")</f>
        <v>免征</v>
      </c>
      <c r="G55" s="2341"/>
      <c r="H55" s="2337"/>
      <c r="I55" s="157">
        <f>'数据-取费表'!B49</f>
        <v>5.0000000000000001E-4</v>
      </c>
      <c r="J55" s="2310">
        <f>IF(H59="非个人房产","",4)</f>
        <v>4</v>
      </c>
      <c r="K55" s="3355" t="str">
        <f>IF(H59="非个人房产","——","个人所得税")</f>
        <v>个人所得税</v>
      </c>
      <c r="L55" s="3355"/>
      <c r="M55" s="2315">
        <f ca="1">D59</f>
        <v>2948</v>
      </c>
      <c r="N55" s="1883" t="str">
        <f>E59</f>
        <v>差额计税</v>
      </c>
      <c r="O55" s="2316">
        <f>F59</f>
        <v>0.01</v>
      </c>
    </row>
    <row r="56" spans="1:35" ht="24.75">
      <c r="A56" s="3305" t="s">
        <v>1361</v>
      </c>
      <c r="B56" s="3306"/>
      <c r="C56" s="3306"/>
      <c r="D56" s="12">
        <f ca="1">IF(H56="个人住宅",D57,D58)</f>
        <v>175183</v>
      </c>
      <c r="E56" s="1256" t="s">
        <v>1362</v>
      </c>
      <c r="F56" s="2340" t="str">
        <f>IF(H56="正常",F58,"免征")</f>
        <v>免征</v>
      </c>
      <c r="G56" s="2343" t="s">
        <v>1363</v>
      </c>
      <c r="H56" s="2344"/>
      <c r="I56" s="1670"/>
      <c r="J56" s="2310" t="str">
        <f>IF(项目基本情况!K6="上海银行",IF(J55="",4,J55+1),"")</f>
        <v/>
      </c>
      <c r="K56" s="3378" t="str">
        <f>IF(项目基本情况!K6="上海银行","其他处置费用","")</f>
        <v/>
      </c>
      <c r="L56" s="3379"/>
      <c r="M56" s="2312" t="str">
        <f>IF(项目基本情况!K6="上海银行",M69,"")</f>
        <v/>
      </c>
      <c r="N56" s="3378" t="str">
        <f>IF(项目基本情况!K6="上海银行","包含处置中涉及的律师、诉讼、拍卖、评估等费用","")</f>
        <v/>
      </c>
      <c r="O56" s="3381"/>
    </row>
    <row r="57" spans="1:35" ht="12.75">
      <c r="A57" s="2153" t="s">
        <v>1339</v>
      </c>
      <c r="B57" s="3316" t="s">
        <v>1364</v>
      </c>
      <c r="C57" s="3317"/>
      <c r="D57" s="1478">
        <v>0</v>
      </c>
      <c r="E57" s="316" t="s">
        <v>1341</v>
      </c>
      <c r="F57" s="294"/>
      <c r="G57" s="2341"/>
      <c r="H57" s="2345"/>
      <c r="I57" s="1670"/>
      <c r="J57" s="3355">
        <f>IF(AND(J55="",J56=""),4,IF(项目基本情况!K6="上海银行",结果表!J56+1,结果表!J55+1))</f>
        <v>5</v>
      </c>
      <c r="K57" s="3355" t="s">
        <v>1365</v>
      </c>
      <c r="L57" s="2317" t="s">
        <v>1366</v>
      </c>
      <c r="M57" s="2318"/>
      <c r="N57" s="2319">
        <f ca="1">SUMIF(M52:M56,"&lt;9e307")</f>
        <v>178286</v>
      </c>
      <c r="O57" s="2320"/>
      <c r="P57" s="2465">
        <f ca="1">N57/M49</f>
        <v>0.57602476164013561</v>
      </c>
    </row>
    <row r="58" spans="1:35" ht="24.75">
      <c r="A58" s="2153" t="s">
        <v>1350</v>
      </c>
      <c r="B58" s="3316" t="s">
        <v>1367</v>
      </c>
      <c r="C58" s="3290"/>
      <c r="D58" s="12">
        <f ca="1">IF(H58="转让取得",C81,C97)</f>
        <v>175183</v>
      </c>
      <c r="E58" s="1256" t="s">
        <v>1362</v>
      </c>
      <c r="F58" s="294" t="s">
        <v>28</v>
      </c>
      <c r="G58" s="2341"/>
      <c r="H58" s="2344"/>
      <c r="I58" s="1670"/>
      <c r="J58" s="3355"/>
      <c r="K58" s="3355"/>
      <c r="L58" s="2317" t="s">
        <v>1368</v>
      </c>
      <c r="M58" s="2321"/>
      <c r="N58" s="2322" t="str">
        <f ca="1">NUMBERSTRING(INT(N57*10000),2)&amp;"元整"</f>
        <v>壹拾柒亿捌仟贰佰捌拾陆万元整</v>
      </c>
      <c r="O58" s="2323"/>
    </row>
    <row r="59" spans="1:35" ht="24.75" thickBot="1">
      <c r="A59" s="3358" t="s">
        <v>1369</v>
      </c>
      <c r="B59" s="3359"/>
      <c r="C59" s="3359"/>
      <c r="D59" s="2346">
        <f ca="1">IF(H59="非个人房产","——",IF(H59="个人住宅（满五唯一有凭证）",0,IF(H59="个人其他（无凭证）",ROUND(D45/(1+'数据-取费表'!C42)*F59,0),ROUND(C67*F59,0))))</f>
        <v>2948</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56">
        <f>J57+1</f>
        <v>6</v>
      </c>
      <c r="K59" s="3355" t="s">
        <v>1370</v>
      </c>
      <c r="L59" s="2310" t="s">
        <v>1366</v>
      </c>
      <c r="M59" s="2324"/>
      <c r="N59" s="2325">
        <f ca="1">M49-N57</f>
        <v>131225</v>
      </c>
      <c r="O59" s="2326"/>
    </row>
    <row r="60" spans="1:35" ht="12" customHeight="1">
      <c r="A60" s="1671"/>
      <c r="B60" s="646"/>
      <c r="C60" s="646"/>
      <c r="D60" s="646"/>
      <c r="E60" s="1466"/>
      <c r="F60" s="1670"/>
      <c r="G60" s="1670"/>
      <c r="H60" s="151"/>
      <c r="I60" s="121"/>
      <c r="J60" s="3357"/>
      <c r="K60" s="3355"/>
      <c r="L60" s="2317" t="s">
        <v>1368</v>
      </c>
      <c r="M60" s="2321"/>
      <c r="N60" s="2322" t="str">
        <f ca="1">NUMBERSTRING(INT(N59*10000),2)&amp;"元整"</f>
        <v>壹拾叁亿壹仟贰佰贰拾伍万元整</v>
      </c>
      <c r="O60" s="2323"/>
    </row>
    <row r="61" spans="1:35" ht="13.5" thickBot="1">
      <c r="A61" s="3303" t="s">
        <v>1371</v>
      </c>
      <c r="B61" s="3303"/>
      <c r="C61" s="3303"/>
      <c r="D61" s="3303"/>
      <c r="E61" s="3303"/>
      <c r="F61" s="1670"/>
      <c r="G61" s="1670"/>
      <c r="H61" s="151"/>
      <c r="I61" s="121"/>
      <c r="J61" s="2310">
        <f>J59+1</f>
        <v>7</v>
      </c>
      <c r="K61" s="3355" t="s">
        <v>1372</v>
      </c>
      <c r="L61" s="3355"/>
      <c r="M61" s="2327"/>
      <c r="N61" s="2328">
        <f ca="1">ROUND(N59*10000/'数据-汇总表'!E3,0)</f>
        <v>5805</v>
      </c>
      <c r="O61" s="2329"/>
    </row>
    <row r="62" spans="1:35" ht="12.75">
      <c r="A62" s="3321" t="s">
        <v>1373</v>
      </c>
      <c r="B62" s="3322"/>
      <c r="C62" s="1865"/>
      <c r="D62" s="1865" t="s">
        <v>1374</v>
      </c>
      <c r="E62" s="158" t="s">
        <v>1375</v>
      </c>
      <c r="F62" s="1670"/>
      <c r="G62" s="1670"/>
      <c r="H62" s="151"/>
      <c r="I62" s="121"/>
    </row>
    <row r="63" spans="1:35" ht="12.75">
      <c r="A63" s="165" t="s">
        <v>330</v>
      </c>
      <c r="B63" s="159" t="s">
        <v>1376</v>
      </c>
      <c r="C63" s="2350">
        <f ca="1">ROUND((C64+C65)/(1+'数据-取费表'!C42),0)</f>
        <v>294772</v>
      </c>
      <c r="D63" s="159"/>
      <c r="E63" s="160"/>
      <c r="F63" s="1670"/>
      <c r="G63" s="1670"/>
      <c r="H63" s="151"/>
      <c r="I63" s="121"/>
      <c r="J63" s="3380" t="s">
        <v>1377</v>
      </c>
      <c r="K63" s="1245" t="s">
        <v>1378</v>
      </c>
      <c r="L63" s="1245">
        <f ca="1">IF(M49&gt;10000,M49*0.5%,IF(AND(M49&gt;1000,M49&lt;=10000),M49*1%,IF(AND(M49&gt;100,M49&lt;=1000),M49*3%,IF(AND(M49&gt;10,M49&lt;=100),M49*5%,M49*8%))))</f>
        <v>1547.5550000000001</v>
      </c>
      <c r="M63" s="294">
        <f ca="1">ROUND(L63,1)</f>
        <v>1547.6</v>
      </c>
      <c r="N63" s="2330"/>
      <c r="Z63" s="1623"/>
      <c r="AI63" s="1561"/>
    </row>
    <row r="64" spans="1:35" ht="14.25" customHeight="1">
      <c r="A64" s="161" t="s">
        <v>325</v>
      </c>
      <c r="B64" s="162" t="s">
        <v>1379</v>
      </c>
      <c r="C64" s="2351">
        <f ca="1">D45</f>
        <v>309511</v>
      </c>
      <c r="D64" s="162" t="s">
        <v>26</v>
      </c>
      <c r="E64" s="164"/>
      <c r="F64" s="1670"/>
      <c r="G64" s="1670"/>
      <c r="H64" s="151"/>
      <c r="I64" s="121"/>
      <c r="J64" s="3380"/>
      <c r="K64" s="1245" t="s">
        <v>1380</v>
      </c>
      <c r="L64" s="1245">
        <f ca="1">IF(M49&gt;2000,M49*0.5%,IF(AND(M49&gt;1000,M49&lt;=2000),M49*0.6%,IF(AND(M49&gt;500,M49&lt;=1000),M49*0.7%,IF(AND(M49&gt;200,M49&lt;=500),M49*0.8%,IF(AND(M49&gt;100,M49&lt;=200),M49*0.9%,IF(AND(M49&gt;50,M49&lt;=100),M49*1%,IF(AND(M49&gt;20,M49&lt;=50),M49*1.5%,IF(AND(M49&gt;10,M49&lt;=20),M49*2%,IF(AND(M49&gt;1,M49&lt;=10),M49*2.5%)))))))))</f>
        <v>1547.5550000000001</v>
      </c>
      <c r="M64" s="294">
        <f t="shared" ref="M64:M65" ca="1" si="1">ROUND(L64,1)</f>
        <v>1547.6</v>
      </c>
      <c r="N64" s="2331" t="s">
        <v>1381</v>
      </c>
      <c r="Z64" s="1623"/>
      <c r="AI64" s="1561"/>
    </row>
    <row r="65" spans="1:35" ht="14.25" customHeight="1">
      <c r="A65" s="161" t="s">
        <v>326</v>
      </c>
      <c r="B65" s="162" t="s">
        <v>1382</v>
      </c>
      <c r="C65" s="2352"/>
      <c r="D65" s="162"/>
      <c r="E65" s="164"/>
      <c r="F65" s="1670"/>
      <c r="G65" s="1670"/>
      <c r="H65" s="151"/>
      <c r="I65" s="121"/>
      <c r="J65" s="3380"/>
      <c r="K65" s="1245" t="s">
        <v>1383</v>
      </c>
      <c r="L65" s="1245">
        <f ca="1">IF(M49&gt;1000,M49*0.1%,IF(AND(M49&gt;500,M49&lt;=1000),M49*0.5%,IF(AND(M49&gt;50,M49&lt;=500),M49*1%,IF(AND(M49&gt;1,M49&lt;=50),M49*1.5%))))</f>
        <v>309.51100000000002</v>
      </c>
      <c r="M65" s="294">
        <f t="shared" ca="1" si="1"/>
        <v>309.5</v>
      </c>
      <c r="N65" s="2331" t="s">
        <v>1381</v>
      </c>
      <c r="Z65" s="1623"/>
      <c r="AI65" s="1561"/>
    </row>
    <row r="66" spans="1:35" ht="14.25" customHeight="1">
      <c r="A66" s="165" t="s">
        <v>327</v>
      </c>
      <c r="B66" s="166" t="s">
        <v>1384</v>
      </c>
      <c r="C66" s="2353"/>
      <c r="D66" s="166" t="s">
        <v>26</v>
      </c>
      <c r="E66" s="1251" t="s">
        <v>669</v>
      </c>
      <c r="F66" s="1670"/>
      <c r="G66" s="1670"/>
      <c r="H66" s="151"/>
      <c r="I66" s="121"/>
      <c r="J66" s="3380"/>
      <c r="K66" s="1245" t="s">
        <v>1385</v>
      </c>
      <c r="L66" s="1245">
        <f ca="1">M49*0.5%</f>
        <v>1547.5550000000001</v>
      </c>
      <c r="M66" s="294">
        <f ca="1">IF(L66&gt;0.5,0.5,ROUND(L66,0))</f>
        <v>0.5</v>
      </c>
      <c r="N66" s="2331" t="s">
        <v>1386</v>
      </c>
      <c r="Z66" s="1623"/>
      <c r="AI66" s="1561"/>
    </row>
    <row r="67" spans="1:35" ht="14.25" customHeight="1">
      <c r="A67" s="165" t="s">
        <v>328</v>
      </c>
      <c r="B67" s="166" t="s">
        <v>1387</v>
      </c>
      <c r="C67" s="2354">
        <f ca="1">C63-C66</f>
        <v>294772</v>
      </c>
      <c r="D67" s="162" t="s">
        <v>26</v>
      </c>
      <c r="E67" s="164"/>
      <c r="F67" s="1670"/>
      <c r="G67" s="1670"/>
      <c r="H67" s="151"/>
      <c r="I67" s="121"/>
      <c r="J67" s="3380"/>
      <c r="K67" s="1245" t="s">
        <v>1388</v>
      </c>
      <c r="L67" s="1245">
        <f ca="1">IF(M49&gt;=10000,(8.25+(M49-10000)*0.01%),IF(AND(M49&gt;=8000,M49&lt;10000),(7.85+(M49-8000)*0.02%),IF(AND(M49&gt;=5000,M49&lt;8000),(6.65+(M49-5000)*0.04%),IF(AND(M49&gt;=2000,M49&lt;5000),(4.25+(PM49-2000)*0.08%),IF(AND(M49&gt;=1000,M49&lt;2000),(2.75+(M49-1000)*0.15%),IF(AND(M49&gt;=100,M49&lt;1000),(0.5+(M49-100)*0.25%),IF(AND(M49&gt;0,M49&lt;100),M49*0.5%)))))))</f>
        <v>38.201099999999997</v>
      </c>
      <c r="M67" s="294">
        <f ca="1">ROUND(L67*0.9,1)</f>
        <v>34.4</v>
      </c>
      <c r="N67" s="2330"/>
      <c r="Z67" s="1623"/>
      <c r="AI67" s="1561"/>
    </row>
    <row r="68" spans="1:35" ht="14.25" customHeight="1" thickBot="1">
      <c r="A68" s="168" t="s">
        <v>329</v>
      </c>
      <c r="B68" s="169" t="s">
        <v>1389</v>
      </c>
      <c r="C68" s="2355">
        <f ca="1">IF(C67&lt;=0,0,ROUND(C67*D68,0))</f>
        <v>16507</v>
      </c>
      <c r="D68" s="2356">
        <f>'数据-取费表'!B41</f>
        <v>5.6000000000000001E-2</v>
      </c>
      <c r="E68" s="170"/>
      <c r="F68" s="1670"/>
      <c r="G68" s="1670"/>
      <c r="H68" s="151"/>
      <c r="I68" s="121"/>
      <c r="J68" s="3380"/>
      <c r="K68" s="1245" t="s">
        <v>1390</v>
      </c>
      <c r="L68" s="1245">
        <f ca="1">IF(M49&gt;10000,M49*0.5%,IF(AND(M49&gt;5000,M49&lt;=10000),M49*1%,IF(AND(M49&gt;1000,M49&lt;=5000),M49*2%,IF(AND(M49&gt;200,M49&lt;=1000),M49*3%,M49*5%))))</f>
        <v>1547.5550000000001</v>
      </c>
      <c r="M68" s="294">
        <f ca="1">ROUND(L68,1)</f>
        <v>1547.6</v>
      </c>
      <c r="N68" s="2330"/>
      <c r="Z68" s="1623"/>
      <c r="AI68" s="1561"/>
    </row>
    <row r="69" spans="1:35" ht="16.5" customHeight="1">
      <c r="A69" s="1672"/>
      <c r="B69" s="1673"/>
      <c r="C69" s="1674"/>
      <c r="D69" s="1675"/>
      <c r="E69" s="1676"/>
      <c r="F69" s="1466"/>
      <c r="G69" s="1466"/>
      <c r="H69" s="1467"/>
      <c r="I69" s="646"/>
      <c r="J69" s="3380"/>
      <c r="K69" s="1245" t="s">
        <v>1391</v>
      </c>
      <c r="L69" s="1245"/>
      <c r="M69" s="294">
        <f ca="1">ROUND(SUM(M63:M68),0)</f>
        <v>4987</v>
      </c>
      <c r="N69" s="2332">
        <f ca="1">M69/M49</f>
        <v>1.6112512963998047E-2</v>
      </c>
      <c r="Z69" s="1623"/>
      <c r="AI69" s="1561"/>
    </row>
    <row r="70" spans="1:35" s="642" customFormat="1" ht="15" thickBot="1">
      <c r="A70" s="3342" t="s">
        <v>1392</v>
      </c>
      <c r="B70" s="3343"/>
      <c r="C70" s="3343"/>
      <c r="D70" s="3343"/>
      <c r="E70" s="3343"/>
      <c r="F70" s="3343"/>
      <c r="G70" s="3343"/>
      <c r="H70" s="334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1373</v>
      </c>
      <c r="B71" s="332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f ca="1">ROUND(D45/(1+'数据-取费表'!C42),0)</f>
        <v>294772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f ca="1">C74+C78</f>
        <v>1769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16" t="s">
        <v>1400</v>
      </c>
      <c r="F76" s="3290"/>
      <c r="G76" s="3290"/>
      <c r="H76" s="334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f ca="1">ROUND(D45*D78/(1+'数据-取费表'!C42),0)</f>
        <v>1769</v>
      </c>
      <c r="D78" s="2363">
        <f>'数据-取费表'!B43</f>
        <v>6.000000000000001E-3</v>
      </c>
      <c r="E78" s="3300" t="s">
        <v>1404</v>
      </c>
      <c r="F78" s="3301"/>
      <c r="G78" s="3301"/>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f ca="1">C72-C73</f>
        <v>293003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f ca="1">IF(C79&lt;=0,0,C79/C73)</f>
        <v>165.63199547767101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f ca="1">ROUND(IF(C79&lt;=0,0,IF(C80&gt;=200%,C79*60%-C73*35%,IF(C80&gt;=100%,C79*50%-C73*15%,IF(C80&gt;=50%,C79*40%-C73*5%,IF(C80&lt;50%,C79*30%,0))))),0)</f>
        <v>175183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2" t="s">
        <v>1408</v>
      </c>
      <c r="B83" s="3343"/>
      <c r="C83" s="3343"/>
      <c r="D83" s="3343"/>
      <c r="E83" s="3343"/>
      <c r="F83" s="3343"/>
      <c r="G83" s="3343"/>
      <c r="H83" s="334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1373</v>
      </c>
      <c r="B84" s="332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f ca="1">ROUND(D45/(1+'数据-取费表'!C42),0)</f>
        <v>294772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f ca="1">IF(H88="仅含出让金",C87+C90+C91+C92+C93+C94,C87+C91+C92+C93+C94)</f>
        <v>1769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82" t="s">
        <v>2127</v>
      </c>
      <c r="H90" s="3383"/>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00" t="s">
        <v>1417</v>
      </c>
      <c r="F91" s="3301"/>
      <c r="G91" s="330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00" t="s">
        <v>1420</v>
      </c>
      <c r="F92" s="3301"/>
      <c r="G92" s="3301"/>
      <c r="H92" s="3310"/>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f ca="1">ROUND(D45*D93/(1+'数据-取费表'!C42),0)</f>
        <v>1769</v>
      </c>
      <c r="D93" s="2363">
        <f>'数据-取费表'!B43</f>
        <v>6.000000000000001E-3</v>
      </c>
      <c r="E93" s="3300" t="s">
        <v>1404</v>
      </c>
      <c r="F93" s="3301"/>
      <c r="G93" s="3301"/>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11" t="s">
        <v>1424</v>
      </c>
      <c r="F94" s="3312"/>
      <c r="G94" s="3312"/>
      <c r="H94" s="331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f ca="1">ROUND(C85-C86,0)</f>
        <v>293003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f ca="1">IF(C95&lt;=0,0,C95/C86)</f>
        <v>165.63199547767101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f ca="1">ROUND(IF(C95&lt;=0,0,IF(C96&gt;=200%,C95*60%-C86*35%,IF(C96&gt;=100%,C95*50%-C86*15%,IF(C96&gt;=50%,C95*40%-C86*5%,IF(C96&lt;50%,C95*30%,0))))),0)</f>
        <v>175183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4" t="s">
        <v>1426</v>
      </c>
      <c r="B100" s="3285"/>
      <c r="C100" s="3285"/>
      <c r="D100" s="3302"/>
      <c r="E100" s="3285" t="s">
        <v>1427</v>
      </c>
      <c r="F100" s="3285"/>
      <c r="G100" s="3285"/>
      <c r="H100" s="3302"/>
      <c r="I100" s="121"/>
    </row>
    <row r="101" spans="1:35" ht="18.75" customHeight="1">
      <c r="A101" s="3363" t="s">
        <v>1428</v>
      </c>
      <c r="B101" s="3364"/>
      <c r="C101" s="2371" t="str">
        <f>C4</f>
        <v>比较法-办公</v>
      </c>
      <c r="D101" s="2372" t="str">
        <f>D4</f>
        <v>收益法</v>
      </c>
      <c r="E101" s="3377" t="s">
        <v>1429</v>
      </c>
      <c r="F101" s="3334"/>
      <c r="G101" s="1687" t="s">
        <v>1430</v>
      </c>
      <c r="H101" s="2381">
        <f ca="1">H118</f>
        <v>309511</v>
      </c>
      <c r="I101" s="121"/>
    </row>
    <row r="102" spans="1:35" ht="18.75" customHeight="1">
      <c r="A102" s="3336" t="s">
        <v>1431</v>
      </c>
      <c r="B102" s="2370" t="s">
        <v>1430</v>
      </c>
      <c r="C102" s="2371">
        <f ca="1">IF(D32="楼面单价",ROUND(C19,0),C19)</f>
        <v>352765</v>
      </c>
      <c r="D102" s="2372">
        <f ca="1">IF(D32="楼面单价",ROUND(D19,0),D19)</f>
        <v>208585</v>
      </c>
      <c r="E102" s="3377"/>
      <c r="F102" s="3334"/>
      <c r="G102" s="1687" t="s">
        <v>1432</v>
      </c>
      <c r="H102" s="2341">
        <f ca="1">I118</f>
        <v>13693</v>
      </c>
      <c r="I102" s="121"/>
    </row>
    <row r="103" spans="1:35" ht="42.75" customHeight="1">
      <c r="A103" s="3336"/>
      <c r="B103" s="2370" t="s">
        <v>1432</v>
      </c>
      <c r="C103" s="2373">
        <f ca="1">C20</f>
        <v>41409</v>
      </c>
      <c r="D103" s="2374">
        <f ca="1">D20</f>
        <v>24485</v>
      </c>
      <c r="E103" s="3371" t="s">
        <v>1433</v>
      </c>
      <c r="F103" s="3372"/>
      <c r="G103" s="1688" t="s">
        <v>1434</v>
      </c>
      <c r="H103" s="2381">
        <f>IF(D36="正常操作",H104+H105+H106,H105+H106)</f>
        <v>0</v>
      </c>
      <c r="I103" s="121"/>
    </row>
    <row r="104" spans="1:35" ht="18.75" customHeight="1">
      <c r="A104" s="3336" t="s">
        <v>1435</v>
      </c>
      <c r="B104" s="2375" t="s">
        <v>1430</v>
      </c>
      <c r="C104" s="2376">
        <f ca="1">H118</f>
        <v>309511</v>
      </c>
      <c r="D104" s="2377"/>
      <c r="E104" s="1555" t="s">
        <v>1436</v>
      </c>
      <c r="F104" s="1548"/>
      <c r="G104" s="1688" t="s">
        <v>1434</v>
      </c>
      <c r="H104" s="2382">
        <f>IF(D36="同一抵押权人同一抵押物续贷",C36&amp;"（续贷，未扣减，详见特别提示）",C36)</f>
        <v>0</v>
      </c>
      <c r="I104" s="121"/>
    </row>
    <row r="105" spans="1:35" ht="18.75" customHeight="1" thickBot="1">
      <c r="A105" s="3337"/>
      <c r="B105" s="2378" t="s">
        <v>1432</v>
      </c>
      <c r="C105" s="2379">
        <f ca="1">I118</f>
        <v>13693</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3" t="str">
        <f>IF(项目基本情况!E8="已注销","——","3.房地产抵押价值")</f>
        <v>3.房地产抵押价值</v>
      </c>
      <c r="F107" s="3334"/>
      <c r="G107" s="1687" t="s">
        <v>1430</v>
      </c>
      <c r="H107" s="2381">
        <f ca="1">IF(E107="——","——",H101-H103)</f>
        <v>309511</v>
      </c>
      <c r="I107" s="121"/>
    </row>
    <row r="108" spans="1:35" ht="18.75" customHeight="1">
      <c r="A108" s="121"/>
      <c r="B108" s="121"/>
      <c r="C108" s="121"/>
      <c r="D108" s="121"/>
      <c r="E108" s="3333"/>
      <c r="F108" s="3334"/>
      <c r="G108" s="1687" t="s">
        <v>1432</v>
      </c>
      <c r="H108" s="2341">
        <f ca="1">IF(H107=H101,H102,ROUND(H107*10000/'数据-汇总表'!E3,0))</f>
        <v>13693</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34"/>
      <c r="G109" s="1687" t="s">
        <v>1430</v>
      </c>
      <c r="H109" s="2384" t="str">
        <f>IF(E109="——","——",H101-H105-H106)</f>
        <v>——</v>
      </c>
      <c r="I109" s="121"/>
    </row>
    <row r="110" spans="1:35" ht="18.75" customHeight="1">
      <c r="A110" s="121"/>
      <c r="B110" s="121"/>
      <c r="C110" s="121"/>
      <c r="D110" s="121"/>
      <c r="E110" s="3333"/>
      <c r="F110" s="3334"/>
      <c r="G110" s="1687" t="s">
        <v>1432</v>
      </c>
      <c r="H110" s="2341" t="str">
        <f>IF(H109="——","——",ROUND(H109*10000/'数据-汇总表'!E3,0))</f>
        <v>——</v>
      </c>
      <c r="I110" s="121"/>
    </row>
    <row r="111" spans="1:35" ht="18.75" customHeight="1">
      <c r="A111" s="121"/>
      <c r="B111" s="121"/>
      <c r="C111" s="121"/>
      <c r="D111" s="121"/>
      <c r="E111" s="3365" t="str">
        <f>IF(项目基本情况!E9="抵押净值",IF(OR(项目基本情况!E8="已注销",项目基本情况!E8="房地产抵押价值"),"4.抵押净值","5.抵押净值"),"——")</f>
        <v>——</v>
      </c>
      <c r="F111" s="3335"/>
      <c r="G111" s="1687" t="s">
        <v>1430</v>
      </c>
      <c r="H111" s="2381" t="str">
        <f>IF(E111="——","——",N59)</f>
        <v>——</v>
      </c>
      <c r="I111" s="121"/>
    </row>
    <row r="112" spans="1:35" ht="18.75" customHeight="1" thickBot="1">
      <c r="A112" s="121"/>
      <c r="B112" s="121"/>
      <c r="C112" s="121"/>
      <c r="D112" s="121"/>
      <c r="E112" s="3366"/>
      <c r="F112" s="3367"/>
      <c r="G112" s="1690" t="s">
        <v>1432</v>
      </c>
      <c r="H112" s="2385" t="str">
        <f>IF(E111="——","——",N61)</f>
        <v>——</v>
      </c>
      <c r="I112" s="121"/>
    </row>
    <row r="113" spans="1:27" ht="18.75" customHeight="1">
      <c r="A113" s="121"/>
      <c r="B113" s="121"/>
      <c r="C113" s="121"/>
      <c r="D113" s="121"/>
      <c r="E113" s="3338" t="s">
        <v>1438</v>
      </c>
      <c r="F113" s="3338"/>
      <c r="G113" s="3338"/>
      <c r="H113" s="3338"/>
      <c r="I113" s="121"/>
    </row>
    <row r="114" spans="1:27" ht="3.75" customHeight="1">
      <c r="A114" s="646"/>
      <c r="B114" s="646"/>
      <c r="C114" s="646"/>
      <c r="D114" s="646"/>
      <c r="E114" s="1671"/>
      <c r="F114" s="1671"/>
      <c r="G114" s="1671"/>
      <c r="H114" s="1671"/>
      <c r="I114" s="646"/>
    </row>
    <row r="115" spans="1:27" ht="18.75" customHeight="1">
      <c r="A115" s="3348" t="s">
        <v>1440</v>
      </c>
      <c r="B115" s="3349"/>
      <c r="C115" s="3349"/>
      <c r="D115" s="3349"/>
      <c r="E115" s="3349"/>
      <c r="F115" s="3349"/>
      <c r="G115" s="3349"/>
      <c r="H115" s="3349"/>
      <c r="I115" s="3350"/>
    </row>
    <row r="116" spans="1:27" ht="27" customHeight="1">
      <c r="A116" s="3304" t="s">
        <v>1441</v>
      </c>
      <c r="B116" s="3339" t="s">
        <v>1442</v>
      </c>
      <c r="C116" s="3339" t="s">
        <v>1443</v>
      </c>
      <c r="D116" s="3352" t="s">
        <v>1444</v>
      </c>
      <c r="E116" s="3353"/>
      <c r="F116" s="3347" t="s">
        <v>1445</v>
      </c>
      <c r="G116" s="3347"/>
      <c r="H116" s="3304" t="s">
        <v>1446</v>
      </c>
      <c r="I116" s="3304"/>
    </row>
    <row r="117" spans="1:27" ht="18.75" customHeight="1">
      <c r="A117" s="3304"/>
      <c r="B117" s="3340"/>
      <c r="C117" s="3340"/>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226041.84</v>
      </c>
      <c r="C118" s="2150">
        <f>M19</f>
        <v>48565.52</v>
      </c>
      <c r="D118" s="2150">
        <f ca="1">ROUND(IF(D32="总价",C34,E118*B118/10000),0)</f>
        <v>62521</v>
      </c>
      <c r="E118" s="2150">
        <f ca="1">ROUND(IF(C33="自定义",IF(D32="楼面单价",C34,D118*10000/B118),I118-G118),0)</f>
        <v>2766</v>
      </c>
      <c r="F118" s="2150">
        <f ca="1">ROUND(IF(D32="总价",C35,G118*B118/10000),0)</f>
        <v>246990</v>
      </c>
      <c r="G118" s="2150">
        <f ca="1">ROUND(IF(D32="楼面单价",C35,F118*10000/B118),0)</f>
        <v>10927</v>
      </c>
      <c r="H118" s="2150">
        <f ca="1">ROUND(IF(D32="总价",C32,I118*B118/10000),0)</f>
        <v>309511</v>
      </c>
      <c r="I118" s="2150">
        <f ca="1">ROUND(IF(D32="楼面单价",C32,H118*10000/B118),0)</f>
        <v>13693</v>
      </c>
    </row>
    <row r="119" spans="1:27" ht="18.75" customHeight="1">
      <c r="A119" s="3304" t="s">
        <v>1450</v>
      </c>
      <c r="B119" s="3304"/>
      <c r="C119" s="3304"/>
      <c r="D119" s="3344" t="str">
        <f ca="1">NUMBERSTRING(INT(D118*10000),2)&amp;"元整"</f>
        <v>陆亿贰仟伍佰贰拾壹万元整</v>
      </c>
      <c r="E119" s="3346"/>
      <c r="F119" s="3344" t="str">
        <f ca="1">NUMBERSTRING(INT(F118*10000),2)&amp;"元整"</f>
        <v>贰拾肆亿陆仟玖佰玖拾万元整</v>
      </c>
      <c r="G119" s="3346"/>
      <c r="H119" s="3344" t="str">
        <f ca="1">NUMBERSTRING(INT(H118*10000),2)&amp;"元整"</f>
        <v>叁拾亿玖仟伍佰壹拾壹万元整</v>
      </c>
      <c r="I119" s="3346"/>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4" t="s">
        <v>1450</v>
      </c>
      <c r="B121" s="3345"/>
      <c r="C121" s="3346"/>
      <c r="D121" s="3344" t="str">
        <f>IF(D120=0,"零元整",NUMBERSTRING(INT(D120*10000),2)&amp;"元整")</f>
        <v>零元整</v>
      </c>
      <c r="E121" s="3345"/>
      <c r="F121" s="3345"/>
      <c r="G121" s="3345"/>
      <c r="H121" s="3345"/>
      <c r="I121" s="3346"/>
      <c r="AA121" s="684"/>
    </row>
    <row r="122" spans="1:27" ht="18.75" customHeight="1">
      <c r="A122" s="3335" t="str">
        <f>IF(项目基本情况!B9="房地产市场价值","",MID(E107,3,LEN(E107)-2))</f>
        <v>房地产抵押价值</v>
      </c>
      <c r="B122" s="3335"/>
      <c r="C122" s="3335"/>
      <c r="D122" s="3368">
        <f ca="1">H107</f>
        <v>309511</v>
      </c>
      <c r="E122" s="3369"/>
      <c r="F122" s="3369"/>
      <c r="G122" s="3369"/>
      <c r="H122" s="3369"/>
      <c r="I122" s="3370"/>
      <c r="AA122" s="684"/>
    </row>
    <row r="123" spans="1:27" ht="18.75" customHeight="1">
      <c r="A123" s="3304" t="s">
        <v>1450</v>
      </c>
      <c r="B123" s="3304"/>
      <c r="C123" s="3304"/>
      <c r="D123" s="3344" t="str">
        <f ca="1">NUMBERSTRING(INT(D122*10000),2)&amp;"元整"</f>
        <v>叁拾亿玖仟伍佰壹拾壹万元整</v>
      </c>
      <c r="E123" s="3345"/>
      <c r="F123" s="3345"/>
      <c r="G123" s="3345"/>
      <c r="H123" s="3345"/>
      <c r="I123" s="3346"/>
      <c r="AA123" s="684"/>
    </row>
    <row r="124" spans="1:27" ht="18.75" customHeight="1">
      <c r="A124" s="3335" t="str">
        <f>IF(项目基本情况!B9="房地产市场价值","",MID(E109,3,LEN(E109)-2))</f>
        <v/>
      </c>
      <c r="B124" s="3335"/>
      <c r="C124" s="3335"/>
      <c r="D124" s="3368" t="str">
        <f>H109</f>
        <v>——</v>
      </c>
      <c r="E124" s="3369"/>
      <c r="F124" s="3369"/>
      <c r="G124" s="3369"/>
      <c r="H124" s="3369"/>
      <c r="I124" s="3370"/>
      <c r="AA124" s="684"/>
    </row>
    <row r="125" spans="1:27" ht="18.75" customHeight="1">
      <c r="A125" s="3304" t="s">
        <v>1450</v>
      </c>
      <c r="B125" s="3304"/>
      <c r="C125" s="3304"/>
      <c r="D125" s="3344" t="e">
        <f>NUMBERSTRING(INT(D124*10000),2)&amp;"元整"</f>
        <v>#VALUE!</v>
      </c>
      <c r="E125" s="3345"/>
      <c r="F125" s="3345"/>
      <c r="G125" s="3345"/>
      <c r="H125" s="3345"/>
      <c r="I125" s="3346"/>
      <c r="AA125" s="684"/>
    </row>
    <row r="126" spans="1:27" ht="18.75" customHeight="1">
      <c r="A126" s="3335" t="str">
        <f>IF(项目基本情况!B9="房地产市场价值","",MID(E111,3,LEN(E111)-2))</f>
        <v/>
      </c>
      <c r="B126" s="3335"/>
      <c r="C126" s="3335"/>
      <c r="D126" s="3368" t="str">
        <f>H111</f>
        <v>——</v>
      </c>
      <c r="E126" s="3369"/>
      <c r="F126" s="3369"/>
      <c r="G126" s="3369"/>
      <c r="H126" s="3369"/>
      <c r="I126" s="3370"/>
      <c r="AA126" s="684"/>
    </row>
    <row r="127" spans="1:27" ht="18.75" customHeight="1">
      <c r="A127" s="3304" t="s">
        <v>1450</v>
      </c>
      <c r="B127" s="3304"/>
      <c r="C127" s="3304"/>
      <c r="D127" s="3344" t="e">
        <f>NUMBERSTRING(INT(D126*10000),2)&amp;"元整"</f>
        <v>#VALUE!</v>
      </c>
      <c r="E127" s="3345"/>
      <c r="F127" s="3345"/>
      <c r="G127" s="3345"/>
      <c r="H127" s="3345"/>
      <c r="I127" s="3346"/>
      <c r="AA127" s="684"/>
    </row>
    <row r="128" spans="1:27" ht="21.75" customHeight="1">
      <c r="A128" s="3351" t="s">
        <v>1451</v>
      </c>
      <c r="B128" s="3351"/>
      <c r="C128" s="3351"/>
      <c r="D128" s="3351"/>
      <c r="E128" s="3351"/>
      <c r="F128" s="3351"/>
      <c r="G128" s="3351"/>
      <c r="H128" s="3351"/>
      <c r="I128" s="335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M132"/>
  <sheetViews>
    <sheetView view="pageBreakPreview" topLeftCell="A10" zoomScale="85" zoomScaleNormal="70" zoomScaleSheetLayoutView="85" workbookViewId="0">
      <selection activeCell="K18" sqref="K1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t="s">
        <v>3512</v>
      </c>
      <c r="E1" s="3132" t="s">
        <v>3540</v>
      </c>
      <c r="F1" s="1735" t="s">
        <v>3541</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IF(E1="项目模式",IF(C2="——",ROUND(C50*D3/10000,0),ROUND(C50*D3/10000,0)-D2),IF(E1="单套模式",IF(C2="——",ROUND(C50*D3/10000,4),ROUND(C50*D3/10000,4)-D2)))</f>
        <v>352765</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41409</v>
      </c>
      <c r="C3" s="344" t="s">
        <v>1766</v>
      </c>
      <c r="D3" s="343">
        <f>IF(D1="",'数据-汇总表'!E3,SUMIF('数据-汇总表'!$C19:$C33,D1,'数据-汇总表'!$E19:$E33))</f>
        <v>85190.51999999999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06" t="s">
        <v>1773</v>
      </c>
      <c r="Q4" s="3407"/>
      <c r="R4" s="3412" t="s">
        <v>1769</v>
      </c>
      <c r="S4" s="3413"/>
      <c r="T4" s="3412" t="s">
        <v>1770</v>
      </c>
      <c r="U4" s="3413"/>
      <c r="V4" s="3418" t="s">
        <v>1771</v>
      </c>
      <c r="W4" s="3418"/>
      <c r="X4" s="1809"/>
      <c r="Y4" s="3412" t="s">
        <v>1773</v>
      </c>
      <c r="Z4" s="3413"/>
      <c r="AA4" s="3429" t="s">
        <v>1769</v>
      </c>
      <c r="AB4" s="3429" t="s">
        <v>1770</v>
      </c>
      <c r="AC4" s="3399" t="s">
        <v>1771</v>
      </c>
    </row>
    <row r="5" spans="1:29" ht="15">
      <c r="A5" s="348"/>
      <c r="B5" s="349"/>
      <c r="C5" s="3421" t="s">
        <v>1671</v>
      </c>
      <c r="D5" s="3422"/>
      <c r="E5" s="3432" t="str">
        <f>比较法选取案例!B2</f>
        <v>首特钢大厦2号楼</v>
      </c>
      <c r="F5" s="3433"/>
      <c r="G5" s="3421" t="str">
        <f>比较法选取案例!B3</f>
        <v>中关村西三旗(金隅)科技园T7研发设计楼地上1-5层</v>
      </c>
      <c r="H5" s="3422"/>
      <c r="I5" s="3421" t="str">
        <f>比较法选取案例!B8</f>
        <v>望京·华樾中心</v>
      </c>
      <c r="J5" s="3422"/>
      <c r="K5" s="537"/>
      <c r="L5" s="2487"/>
      <c r="M5" s="2488"/>
      <c r="N5" s="2488"/>
      <c r="O5" s="2488"/>
      <c r="P5" s="3408"/>
      <c r="Q5" s="3409"/>
      <c r="R5" s="3414"/>
      <c r="S5" s="3415"/>
      <c r="T5" s="3414"/>
      <c r="U5" s="3415"/>
      <c r="V5" s="3386"/>
      <c r="W5" s="3386"/>
      <c r="X5" s="1265"/>
      <c r="Y5" s="3414"/>
      <c r="Z5" s="3415"/>
      <c r="AA5" s="3430"/>
      <c r="AB5" s="3430"/>
      <c r="AC5" s="3400"/>
    </row>
    <row r="6" spans="1:29" ht="15.75" thickBot="1">
      <c r="A6" s="350"/>
      <c r="B6" s="351"/>
      <c r="C6" s="3419" t="s">
        <v>1675</v>
      </c>
      <c r="D6" s="3420"/>
      <c r="E6" s="3427" t="str">
        <f>比较法选取案例!C2</f>
        <v>石景山区新融中街1号院</v>
      </c>
      <c r="F6" s="3428"/>
      <c r="G6" s="3419" t="str">
        <f>比较法选取案例!C3</f>
        <v>海淀区西三旗建材城中路，地块四至南与东升科技园二期接壤，北到西三旗建材城路，东临昌平区东小口镇，西靠北新建材国家机关保障性住宅用地</v>
      </c>
      <c r="H6" s="3420"/>
      <c r="I6" s="3419" t="str">
        <f>比较法选取案例!A8</f>
        <v>北京朝阳区创远路28号院1号楼</v>
      </c>
      <c r="J6" s="3420"/>
      <c r="K6" s="537" t="s">
        <v>1676</v>
      </c>
      <c r="L6" s="2487"/>
      <c r="M6" s="2488"/>
      <c r="N6" s="2488"/>
      <c r="O6" s="2488"/>
      <c r="P6" s="3410"/>
      <c r="Q6" s="3411"/>
      <c r="R6" s="3414"/>
      <c r="S6" s="3415"/>
      <c r="T6" s="3416"/>
      <c r="U6" s="3417"/>
      <c r="V6" s="3386"/>
      <c r="W6" s="3386"/>
      <c r="X6" s="1265"/>
      <c r="Y6" s="3416"/>
      <c r="Z6" s="3417"/>
      <c r="AA6" s="3431"/>
      <c r="AB6" s="3431"/>
      <c r="AC6" s="3401"/>
    </row>
    <row r="7" spans="1:29" s="102" customFormat="1" ht="15.75" thickBot="1">
      <c r="A7" s="352" t="s">
        <v>1677</v>
      </c>
      <c r="B7" s="353"/>
      <c r="C7" s="354">
        <f>'数据-取费表'!B2</f>
        <v>45944</v>
      </c>
      <c r="D7" s="355">
        <v>100</v>
      </c>
      <c r="E7" s="356">
        <f>比较法选取案例!P2</f>
        <v>45139</v>
      </c>
      <c r="F7" s="357">
        <f>SUMIF(59:59,YEAR(E7)&amp;"-"&amp;MONTH(E7),60:60)</f>
        <v>100</v>
      </c>
      <c r="G7" s="356">
        <f>比较法选取案例!P3</f>
        <v>45041</v>
      </c>
      <c r="H7" s="355">
        <f>SUMIF(59:59,YEAR(G7)&amp;"-"&amp;MONTH(G7),60:60)</f>
        <v>100</v>
      </c>
      <c r="I7" s="356" t="str">
        <f>比较法选取案例!I8</f>
        <v>2023-06-27</v>
      </c>
      <c r="J7" s="355">
        <f>SUMIF(59:59,YEAR(I7)&amp;"-"&amp;MONTH(I7),60:60)</f>
        <v>100</v>
      </c>
      <c r="K7" s="38"/>
      <c r="L7" s="2489"/>
      <c r="M7" s="2440"/>
      <c r="N7" s="2440"/>
      <c r="O7" s="2440"/>
      <c r="P7" s="3423" t="s">
        <v>1678</v>
      </c>
      <c r="Q7" s="3426"/>
      <c r="R7" s="664" t="s">
        <v>14</v>
      </c>
      <c r="S7" s="665">
        <f t="shared" ref="S7:S15" si="0">F7</f>
        <v>100</v>
      </c>
      <c r="T7" s="664" t="s">
        <v>14</v>
      </c>
      <c r="U7" s="665">
        <f t="shared" ref="U7:U15" si="1">H7</f>
        <v>100</v>
      </c>
      <c r="V7" s="664" t="s">
        <v>14</v>
      </c>
      <c r="W7" s="665">
        <f t="shared" ref="W7:W15" si="2">J7</f>
        <v>100</v>
      </c>
      <c r="X7" s="666"/>
      <c r="Y7" s="3425" t="s">
        <v>1678</v>
      </c>
      <c r="Z7" s="3424"/>
      <c r="AA7" s="50">
        <f>D7/F7</f>
        <v>1</v>
      </c>
      <c r="AB7" s="50">
        <f>D7/H7</f>
        <v>1</v>
      </c>
      <c r="AC7" s="802">
        <f>D7/J7</f>
        <v>1</v>
      </c>
    </row>
    <row r="8" spans="1:29" s="102" customFormat="1" ht="15.75" thickBot="1">
      <c r="A8" s="352" t="s">
        <v>1679</v>
      </c>
      <c r="B8" s="353"/>
      <c r="C8" s="358" t="s">
        <v>3645</v>
      </c>
      <c r="D8" s="355">
        <v>100</v>
      </c>
      <c r="E8" s="358" t="s">
        <v>3645</v>
      </c>
      <c r="F8" s="357">
        <f>SUMIF(62:62,E8,63:63)-SUMIF(62:62,C8,63:63)+100</f>
        <v>100</v>
      </c>
      <c r="G8" s="358" t="s">
        <v>3645</v>
      </c>
      <c r="H8" s="355">
        <f>SUMIF(62:62,G8,63:63)-SUMIF(62:62,C8,63:63)+100</f>
        <v>100</v>
      </c>
      <c r="I8" s="358" t="s">
        <v>3645</v>
      </c>
      <c r="J8" s="355">
        <f>SUMIF(62:62,I8,63:63)-SUMIF(62:62,C8,63:63)+100</f>
        <v>100</v>
      </c>
      <c r="K8" s="38"/>
      <c r="L8" s="2489"/>
      <c r="M8" s="2440"/>
      <c r="N8" s="2440"/>
      <c r="O8" s="2440"/>
      <c r="P8" s="3423" t="s">
        <v>1681</v>
      </c>
      <c r="Q8" s="3424"/>
      <c r="R8" s="664" t="s">
        <v>14</v>
      </c>
      <c r="S8" s="665">
        <f t="shared" si="0"/>
        <v>100</v>
      </c>
      <c r="T8" s="664" t="s">
        <v>14</v>
      </c>
      <c r="U8" s="665">
        <f t="shared" si="1"/>
        <v>100</v>
      </c>
      <c r="V8" s="664" t="s">
        <v>14</v>
      </c>
      <c r="W8" s="665">
        <f t="shared" si="2"/>
        <v>100</v>
      </c>
      <c r="X8" s="666"/>
      <c r="Y8" s="3425" t="s">
        <v>1681</v>
      </c>
      <c r="Z8" s="3424"/>
      <c r="AA8" s="50">
        <f t="shared" ref="AA8:AA47" si="3">D8/F8</f>
        <v>1</v>
      </c>
      <c r="AB8" s="50">
        <f t="shared" ref="AB8:AB47" si="4">D8/H8</f>
        <v>1</v>
      </c>
      <c r="AC8" s="802">
        <f t="shared" ref="AC8:AC47" si="5">D8/J8</f>
        <v>1</v>
      </c>
    </row>
    <row r="9" spans="1:29" s="102" customFormat="1" ht="15">
      <c r="A9" s="359" t="s">
        <v>1682</v>
      </c>
      <c r="B9" s="60" t="s">
        <v>1683</v>
      </c>
      <c r="C9" s="3188" t="s">
        <v>3647</v>
      </c>
      <c r="D9" s="59">
        <v>100</v>
      </c>
      <c r="E9" s="362" t="s">
        <v>3646</v>
      </c>
      <c r="F9" s="59">
        <f>SUMIF(64:64,E9,65:65)-SUMIF(64:64,C9,65:65)+100</f>
        <v>100</v>
      </c>
      <c r="G9" s="361" t="s">
        <v>3646</v>
      </c>
      <c r="H9" s="59">
        <f>SUMIF(64:64,G9,65:65)-SUMIF(64:64,C9,65:65)+100</f>
        <v>100</v>
      </c>
      <c r="I9" s="361" t="s">
        <v>21</v>
      </c>
      <c r="J9" s="59">
        <f>SUMIF(64:64,I9,65:65)-SUMIF(64:64,C9,65:65)+100</f>
        <v>110</v>
      </c>
      <c r="K9" s="38"/>
      <c r="L9" s="2489"/>
      <c r="M9" s="2440"/>
      <c r="N9" s="2440"/>
      <c r="O9" s="2440"/>
      <c r="P9" s="3384" t="s">
        <v>1684</v>
      </c>
      <c r="Q9" s="530" t="str">
        <f t="shared" ref="Q9:Q15" si="6">B9</f>
        <v>用途</v>
      </c>
      <c r="R9" s="664" t="s">
        <v>14</v>
      </c>
      <c r="S9" s="665">
        <f t="shared" si="0"/>
        <v>100</v>
      </c>
      <c r="T9" s="664" t="s">
        <v>14</v>
      </c>
      <c r="U9" s="665">
        <f t="shared" si="1"/>
        <v>100</v>
      </c>
      <c r="V9" s="664" t="s">
        <v>14</v>
      </c>
      <c r="W9" s="665">
        <f t="shared" si="2"/>
        <v>110</v>
      </c>
      <c r="X9" s="666"/>
      <c r="Y9" s="3291" t="s">
        <v>1685</v>
      </c>
      <c r="Z9" s="50" t="str">
        <f t="shared" ref="Z9:Z15" si="7">Q9</f>
        <v>用途</v>
      </c>
      <c r="AA9" s="50">
        <f t="shared" si="3"/>
        <v>1</v>
      </c>
      <c r="AB9" s="50">
        <f t="shared" si="4"/>
        <v>1</v>
      </c>
      <c r="AC9" s="802">
        <f t="shared" si="5"/>
        <v>0.90909090909090906</v>
      </c>
    </row>
    <row r="10" spans="1:29" s="366" customFormat="1" ht="27">
      <c r="A10" s="363"/>
      <c r="B10" s="364" t="s">
        <v>1686</v>
      </c>
      <c r="C10" s="3133" t="s">
        <v>3648</v>
      </c>
      <c r="D10" s="119">
        <v>100</v>
      </c>
      <c r="E10" s="3133" t="s">
        <v>3648</v>
      </c>
      <c r="F10" s="119">
        <f>SUMIF(66:66,E10,67:67)-SUMIF(66:66,C10,67:67)+100</f>
        <v>100</v>
      </c>
      <c r="G10" s="3134" t="s">
        <v>3649</v>
      </c>
      <c r="H10" s="119">
        <f>SUMIF(66:66,G10,67:67)-SUMIF(66:66,C10,67:67)+100</f>
        <v>97</v>
      </c>
      <c r="I10" s="3133" t="s">
        <v>3650</v>
      </c>
      <c r="J10" s="119">
        <f>SUMIF(66:66,I10,67:67)-SUMIF(66:66,C10,67:67)+100</f>
        <v>103</v>
      </c>
      <c r="K10" s="38"/>
      <c r="L10" s="2490"/>
      <c r="M10" s="2491"/>
      <c r="N10" s="2491"/>
      <c r="O10" s="2491"/>
      <c r="P10" s="3384"/>
      <c r="Q10" s="530" t="str">
        <f t="shared" si="6"/>
        <v>土地使用年限（年）</v>
      </c>
      <c r="R10" s="664" t="s">
        <v>14</v>
      </c>
      <c r="S10" s="665">
        <f t="shared" si="0"/>
        <v>100</v>
      </c>
      <c r="T10" s="664" t="s">
        <v>14</v>
      </c>
      <c r="U10" s="665">
        <f t="shared" si="1"/>
        <v>97</v>
      </c>
      <c r="V10" s="664" t="s">
        <v>14</v>
      </c>
      <c r="W10" s="665">
        <f t="shared" si="2"/>
        <v>103</v>
      </c>
      <c r="X10" s="666"/>
      <c r="Y10" s="3291"/>
      <c r="Z10" s="50" t="str">
        <f t="shared" si="7"/>
        <v>土地使用年限（年）</v>
      </c>
      <c r="AA10" s="50">
        <f t="shared" si="3"/>
        <v>1</v>
      </c>
      <c r="AB10" s="50">
        <f t="shared" si="4"/>
        <v>1.0309278350515463</v>
      </c>
      <c r="AC10" s="802">
        <f t="shared" si="5"/>
        <v>0.970873786407767</v>
      </c>
    </row>
    <row r="11" spans="1:29" ht="15" hidden="1">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4"/>
      <c r="Q11" s="530" t="str">
        <f t="shared" si="6"/>
        <v>容积率</v>
      </c>
      <c r="R11" s="664" t="s">
        <v>14</v>
      </c>
      <c r="S11" s="665">
        <f t="shared" si="0"/>
        <v>100</v>
      </c>
      <c r="T11" s="664" t="s">
        <v>14</v>
      </c>
      <c r="U11" s="665">
        <f t="shared" si="1"/>
        <v>100</v>
      </c>
      <c r="V11" s="664" t="s">
        <v>14</v>
      </c>
      <c r="W11" s="665">
        <f t="shared" si="2"/>
        <v>100</v>
      </c>
      <c r="X11" s="666"/>
      <c r="Y11" s="3291"/>
      <c r="Z11" s="50" t="str">
        <f t="shared" si="7"/>
        <v>容积率</v>
      </c>
      <c r="AA11" s="50">
        <f t="shared" si="3"/>
        <v>1</v>
      </c>
      <c r="AB11" s="50">
        <f t="shared" si="4"/>
        <v>1</v>
      </c>
      <c r="AC11" s="802">
        <f t="shared" si="5"/>
        <v>1</v>
      </c>
    </row>
    <row r="12" spans="1:29" s="102" customFormat="1" ht="15">
      <c r="A12" s="370"/>
      <c r="B12" s="3576" t="s">
        <v>3696</v>
      </c>
      <c r="C12" s="371">
        <v>2022</v>
      </c>
      <c r="D12" s="372">
        <v>100</v>
      </c>
      <c r="E12" s="371">
        <v>2015</v>
      </c>
      <c r="F12" s="119">
        <f>SUMIF(71:71,E12,72:72)-SUMIF(71:71,C12,72:72)+100</f>
        <v>100</v>
      </c>
      <c r="G12" s="1810">
        <v>2023</v>
      </c>
      <c r="H12" s="119">
        <f>SUMIF(71:71,G12,72:72)-SUMIF(71:71,C12,72:72)+100</f>
        <v>100</v>
      </c>
      <c r="I12" s="371">
        <v>2021</v>
      </c>
      <c r="J12" s="119">
        <f>SUMIF(71:71,I12,72:72)-SUMIF(71:71,C12,72:72)+100</f>
        <v>100</v>
      </c>
      <c r="K12" s="539"/>
      <c r="L12" s="2489"/>
      <c r="M12" s="2440"/>
      <c r="N12" s="2440"/>
      <c r="O12" s="2440"/>
      <c r="P12" s="3384"/>
      <c r="Q12" s="530" t="str">
        <f t="shared" si="6"/>
        <v>建成年代</v>
      </c>
      <c r="R12" s="664" t="s">
        <v>14</v>
      </c>
      <c r="S12" s="665">
        <f t="shared" si="0"/>
        <v>100</v>
      </c>
      <c r="T12" s="664" t="s">
        <v>14</v>
      </c>
      <c r="U12" s="665">
        <f t="shared" si="1"/>
        <v>100</v>
      </c>
      <c r="V12" s="664" t="s">
        <v>14</v>
      </c>
      <c r="W12" s="665">
        <f t="shared" si="2"/>
        <v>100</v>
      </c>
      <c r="X12" s="666"/>
      <c r="Y12" s="3291"/>
      <c r="Z12" s="50" t="str">
        <f t="shared" si="7"/>
        <v>建成年代</v>
      </c>
      <c r="AA12" s="50">
        <f>D12/F12</f>
        <v>1</v>
      </c>
      <c r="AB12" s="50">
        <f>D12/H12</f>
        <v>1</v>
      </c>
      <c r="AC12" s="802">
        <f>D12/J12</f>
        <v>1</v>
      </c>
    </row>
    <row r="13" spans="1:29" ht="28.5">
      <c r="A13" s="367"/>
      <c r="B13" s="3576" t="s">
        <v>3698</v>
      </c>
      <c r="C13" s="373">
        <f>50-(2025-2015)</f>
        <v>40</v>
      </c>
      <c r="D13" s="374">
        <v>100</v>
      </c>
      <c r="E13" s="368">
        <f>E12-2+50-2025</f>
        <v>38</v>
      </c>
      <c r="F13" s="119">
        <f>SUMIF(73:73,E13,74:74)-SUMIF(73:73,C13,74:74)+100</f>
        <v>100</v>
      </c>
      <c r="G13" s="3190" t="s">
        <v>3652</v>
      </c>
      <c r="H13" s="374">
        <f>SUMIF(73:73,G13,74:74)-SUMIF(73:73,C13,74:74)+100</f>
        <v>100</v>
      </c>
      <c r="I13" s="3577">
        <f>50-(2025-2018)</f>
        <v>43</v>
      </c>
      <c r="J13" s="374">
        <f>SUMIF(73:73,I13,74:74)-SUMIF(73:73,C13,74:74)+100</f>
        <v>100</v>
      </c>
      <c r="K13" s="539"/>
      <c r="L13" s="2493"/>
      <c r="M13" s="2488"/>
      <c r="N13" s="2488"/>
      <c r="O13" s="2488"/>
      <c r="P13" s="3384"/>
      <c r="Q13" s="530" t="str">
        <f t="shared" si="6"/>
        <v>土地剩余年期</v>
      </c>
      <c r="R13" s="664" t="s">
        <v>14</v>
      </c>
      <c r="S13" s="665">
        <f t="shared" si="0"/>
        <v>100</v>
      </c>
      <c r="T13" s="664" t="s">
        <v>14</v>
      </c>
      <c r="U13" s="665">
        <f t="shared" si="1"/>
        <v>100</v>
      </c>
      <c r="V13" s="664" t="s">
        <v>14</v>
      </c>
      <c r="W13" s="665">
        <f t="shared" si="2"/>
        <v>100</v>
      </c>
      <c r="X13" s="666"/>
      <c r="Y13" s="3291"/>
      <c r="Z13" s="50" t="str">
        <f t="shared" si="7"/>
        <v>土地剩余年期</v>
      </c>
      <c r="AA13" s="50">
        <f t="shared" si="3"/>
        <v>1</v>
      </c>
      <c r="AB13" s="50">
        <f t="shared" si="4"/>
        <v>1</v>
      </c>
      <c r="AC13" s="802">
        <f t="shared" si="5"/>
        <v>1</v>
      </c>
    </row>
    <row r="14" spans="1:29" ht="41.25" thickBot="1">
      <c r="A14" s="375"/>
      <c r="B14" s="1749">
        <v>111</v>
      </c>
      <c r="C14" s="376"/>
      <c r="D14" s="377">
        <v>100</v>
      </c>
      <c r="E14" s="3189" t="s">
        <v>3651</v>
      </c>
      <c r="F14" s="377">
        <f>SUMIF(75:75,E14,76:76)-SUMIF(75:75,C14,76:76)+100</f>
        <v>100</v>
      </c>
      <c r="G14" s="3191" t="s">
        <v>3653</v>
      </c>
      <c r="H14" s="377">
        <f>SUMIF(75:75,G14,76:76)-SUMIF(75:75,C14,76:76)+100</f>
        <v>100</v>
      </c>
      <c r="I14" s="3577" t="s">
        <v>3697</v>
      </c>
      <c r="J14" s="377">
        <f>SUMIF(75:75,I14,76:76)-SUMIF(75:75,C14,76:76)+100</f>
        <v>100</v>
      </c>
      <c r="K14" s="539"/>
      <c r="L14" s="2493"/>
      <c r="M14" s="2488"/>
      <c r="N14" s="2488"/>
      <c r="O14" s="2488"/>
      <c r="P14" s="3384"/>
      <c r="Q14" s="530">
        <f t="shared" si="6"/>
        <v>111</v>
      </c>
      <c r="R14" s="664" t="s">
        <v>14</v>
      </c>
      <c r="S14" s="665">
        <f t="shared" si="0"/>
        <v>100</v>
      </c>
      <c r="T14" s="664" t="s">
        <v>14</v>
      </c>
      <c r="U14" s="665">
        <f t="shared" si="1"/>
        <v>100</v>
      </c>
      <c r="V14" s="664" t="s">
        <v>14</v>
      </c>
      <c r="W14" s="665">
        <f t="shared" si="2"/>
        <v>100</v>
      </c>
      <c r="X14" s="666"/>
      <c r="Y14" s="3291"/>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97</v>
      </c>
      <c r="K15" s="540">
        <v>3</v>
      </c>
      <c r="L15" s="2493"/>
      <c r="M15" s="2488"/>
      <c r="N15" s="2488"/>
      <c r="O15" s="2488"/>
      <c r="P15" s="3390" t="s">
        <v>1689</v>
      </c>
      <c r="Q15" s="1263" t="str">
        <f t="shared" si="6"/>
        <v>办公集聚程度</v>
      </c>
      <c r="R15" s="667" t="s">
        <v>14</v>
      </c>
      <c r="S15" s="668">
        <f t="shared" si="0"/>
        <v>100</v>
      </c>
      <c r="T15" s="667" t="s">
        <v>14</v>
      </c>
      <c r="U15" s="668">
        <f t="shared" si="1"/>
        <v>100</v>
      </c>
      <c r="V15" s="667" t="s">
        <v>14</v>
      </c>
      <c r="W15" s="668">
        <f t="shared" si="2"/>
        <v>97</v>
      </c>
      <c r="X15" s="1265"/>
      <c r="Y15" s="3392" t="s">
        <v>1689</v>
      </c>
      <c r="Z15" s="1264" t="str">
        <f t="shared" si="7"/>
        <v>办公集聚程度</v>
      </c>
      <c r="AA15" s="1264">
        <f t="shared" si="3"/>
        <v>1</v>
      </c>
      <c r="AB15" s="1264">
        <f t="shared" si="4"/>
        <v>1</v>
      </c>
      <c r="AC15" s="1812">
        <f t="shared" si="5"/>
        <v>1.0309278350515463</v>
      </c>
    </row>
    <row r="16" spans="1:29" ht="15">
      <c r="A16" s="367"/>
      <c r="B16" s="555"/>
      <c r="C16" s="1758" t="s">
        <v>3528</v>
      </c>
      <c r="D16" s="387"/>
      <c r="E16" s="1758" t="s">
        <v>3528</v>
      </c>
      <c r="F16" s="387"/>
      <c r="G16" s="1758" t="s">
        <v>3528</v>
      </c>
      <c r="H16" s="389"/>
      <c r="I16" s="386" t="s">
        <v>3529</v>
      </c>
      <c r="J16" s="387"/>
      <c r="K16" s="541"/>
      <c r="L16" s="2493"/>
      <c r="M16" s="2488"/>
      <c r="N16" s="2488"/>
      <c r="O16" s="2488"/>
      <c r="P16" s="3391"/>
      <c r="Q16" s="1263"/>
      <c r="R16" s="667"/>
      <c r="S16" s="668"/>
      <c r="T16" s="667"/>
      <c r="U16" s="668"/>
      <c r="V16" s="667"/>
      <c r="W16" s="668"/>
      <c r="X16" s="1265"/>
      <c r="Y16" s="3393"/>
      <c r="Z16" s="1264"/>
      <c r="AA16" s="1264">
        <v>1</v>
      </c>
      <c r="AB16" s="1264">
        <v>1</v>
      </c>
      <c r="AC16" s="1812">
        <v>1</v>
      </c>
    </row>
    <row r="17" spans="1:29" ht="15">
      <c r="A17" s="367"/>
      <c r="B17" s="556" t="s">
        <v>1257</v>
      </c>
      <c r="C17" s="1813">
        <f>估价对象房地状况!C6</f>
        <v>0</v>
      </c>
      <c r="D17" s="389">
        <v>100</v>
      </c>
      <c r="E17" s="393"/>
      <c r="F17" s="389">
        <f>SUMIF(79:79,E18,80:80)-SUMIF(79:79,C18,80:80)+100</f>
        <v>100</v>
      </c>
      <c r="G17" s="391"/>
      <c r="H17" s="394">
        <f>SUMIF(79:79,G18,80:80)-SUMIF(79:79,C18,80:80)+100</f>
        <v>98</v>
      </c>
      <c r="I17" s="391"/>
      <c r="J17" s="394">
        <f>SUMIF(79:79,I18,80:80)-SUMIF(79:79,C18,80:80)+100</f>
        <v>98</v>
      </c>
      <c r="K17" s="540">
        <v>2</v>
      </c>
      <c r="L17" s="2493"/>
      <c r="M17" s="2488"/>
      <c r="N17" s="2488"/>
      <c r="O17" s="2488"/>
      <c r="P17" s="3391"/>
      <c r="Q17" s="1263" t="str">
        <f>B17</f>
        <v>交通便捷度</v>
      </c>
      <c r="R17" s="667" t="s">
        <v>14</v>
      </c>
      <c r="S17" s="668">
        <f>F17</f>
        <v>100</v>
      </c>
      <c r="T17" s="667" t="s">
        <v>14</v>
      </c>
      <c r="U17" s="668">
        <f>H17</f>
        <v>98</v>
      </c>
      <c r="V17" s="667" t="s">
        <v>14</v>
      </c>
      <c r="W17" s="668">
        <f>J17</f>
        <v>98</v>
      </c>
      <c r="X17" s="1265"/>
      <c r="Y17" s="3393"/>
      <c r="Z17" s="1264" t="str">
        <f>Q17</f>
        <v>交通便捷度</v>
      </c>
      <c r="AA17" s="1264">
        <f t="shared" si="3"/>
        <v>1</v>
      </c>
      <c r="AB17" s="1264">
        <f t="shared" si="4"/>
        <v>1.0204081632653061</v>
      </c>
      <c r="AC17" s="1812">
        <f t="shared" si="5"/>
        <v>1.0204081632653061</v>
      </c>
    </row>
    <row r="18" spans="1:29" ht="15">
      <c r="A18" s="367"/>
      <c r="B18" s="401"/>
      <c r="C18" s="1758" t="s">
        <v>3528</v>
      </c>
      <c r="D18" s="389"/>
      <c r="E18" s="1758" t="s">
        <v>3528</v>
      </c>
      <c r="F18" s="389"/>
      <c r="G18" s="1758" t="s">
        <v>3529</v>
      </c>
      <c r="H18" s="387"/>
      <c r="I18" s="1758" t="s">
        <v>3529</v>
      </c>
      <c r="J18" s="387"/>
      <c r="K18" s="541"/>
      <c r="L18" s="2493"/>
      <c r="M18" s="2488"/>
      <c r="N18" s="2488"/>
      <c r="O18" s="2488"/>
      <c r="P18" s="3391"/>
      <c r="Q18" s="1263"/>
      <c r="R18" s="667"/>
      <c r="S18" s="668"/>
      <c r="T18" s="667"/>
      <c r="U18" s="668"/>
      <c r="V18" s="667"/>
      <c r="W18" s="668"/>
      <c r="X18" s="1265"/>
      <c r="Y18" s="3393"/>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91"/>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812">
        <f t="shared" si="5"/>
        <v>1</v>
      </c>
    </row>
    <row r="20" spans="1:29" ht="15">
      <c r="A20" s="367"/>
      <c r="B20" s="401"/>
      <c r="C20" s="1758" t="s">
        <v>3528</v>
      </c>
      <c r="D20" s="387"/>
      <c r="E20" s="1758" t="s">
        <v>3528</v>
      </c>
      <c r="F20" s="387"/>
      <c r="G20" s="1758" t="s">
        <v>3528</v>
      </c>
      <c r="H20" s="387"/>
      <c r="I20" s="1758" t="s">
        <v>3528</v>
      </c>
      <c r="J20" s="387"/>
      <c r="K20" s="541"/>
      <c r="L20" s="2493"/>
      <c r="M20" s="2488"/>
      <c r="N20" s="2488"/>
      <c r="O20" s="2488"/>
      <c r="P20" s="3391"/>
      <c r="Q20" s="1263"/>
      <c r="R20" s="667"/>
      <c r="S20" s="668"/>
      <c r="T20" s="667"/>
      <c r="U20" s="668"/>
      <c r="V20" s="667"/>
      <c r="W20" s="668"/>
      <c r="X20" s="1265"/>
      <c r="Y20" s="3393"/>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91"/>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812">
        <f t="shared" ref="AC21" si="10">D21/J21</f>
        <v>1</v>
      </c>
    </row>
    <row r="22" spans="1:29" ht="15">
      <c r="A22" s="367"/>
      <c r="B22" s="557"/>
      <c r="C22" s="1814" t="s">
        <v>3639</v>
      </c>
      <c r="D22" s="387"/>
      <c r="E22" s="1814" t="s">
        <v>3639</v>
      </c>
      <c r="F22" s="387"/>
      <c r="G22" s="1814" t="s">
        <v>3639</v>
      </c>
      <c r="H22" s="387"/>
      <c r="I22" s="1814" t="s">
        <v>3639</v>
      </c>
      <c r="J22" s="387"/>
      <c r="K22" s="1064"/>
      <c r="L22" s="2493"/>
      <c r="M22" s="2488"/>
      <c r="N22" s="2488"/>
      <c r="O22" s="2488"/>
      <c r="P22" s="3391"/>
      <c r="Q22" s="1263"/>
      <c r="R22" s="667"/>
      <c r="S22" s="668"/>
      <c r="T22" s="667"/>
      <c r="U22" s="668"/>
      <c r="V22" s="667"/>
      <c r="W22" s="668"/>
      <c r="X22" s="1265"/>
      <c r="Y22" s="3393"/>
      <c r="Z22" s="1264"/>
      <c r="AA22" s="1264">
        <v>1</v>
      </c>
      <c r="AB22" s="1264">
        <v>1</v>
      </c>
      <c r="AC22" s="1812">
        <v>1</v>
      </c>
    </row>
    <row r="23" spans="1:29" ht="15">
      <c r="A23" s="367"/>
      <c r="B23" s="556" t="s">
        <v>1812</v>
      </c>
      <c r="C23" s="1813">
        <f>估价对象房地状况!C9</f>
        <v>0</v>
      </c>
      <c r="D23" s="389">
        <v>100</v>
      </c>
      <c r="E23" s="393"/>
      <c r="F23" s="389">
        <f>SUMIF(85:85,E24,86:86)-SUMIF(85:85,C24,86:86)+100</f>
        <v>102</v>
      </c>
      <c r="G23" s="391"/>
      <c r="H23" s="389">
        <f>SUMIF(85:85,G24,86:86)-SUMIF(85:85,C24,86:86)+100</f>
        <v>100</v>
      </c>
      <c r="I23" s="391"/>
      <c r="J23" s="389">
        <f>SUMIF(85:85,I24,86:86)-SUMIF(85:85,C24,86:86)+100</f>
        <v>100</v>
      </c>
      <c r="K23" s="540">
        <v>2</v>
      </c>
      <c r="L23" s="2493"/>
      <c r="M23" s="2488"/>
      <c r="N23" s="2488"/>
      <c r="O23" s="2488"/>
      <c r="P23" s="3391"/>
      <c r="Q23" s="1263" t="str">
        <f>B23</f>
        <v>环境质量</v>
      </c>
      <c r="R23" s="667" t="s">
        <v>14</v>
      </c>
      <c r="S23" s="668">
        <f>F23</f>
        <v>102</v>
      </c>
      <c r="T23" s="667" t="s">
        <v>14</v>
      </c>
      <c r="U23" s="668">
        <f>H23</f>
        <v>100</v>
      </c>
      <c r="V23" s="667" t="s">
        <v>14</v>
      </c>
      <c r="W23" s="668">
        <f>J23</f>
        <v>100</v>
      </c>
      <c r="X23" s="1265"/>
      <c r="Y23" s="3393"/>
      <c r="Z23" s="1264" t="str">
        <f>Q23</f>
        <v>环境质量</v>
      </c>
      <c r="AA23" s="1264">
        <f t="shared" si="3"/>
        <v>0.98039215686274506</v>
      </c>
      <c r="AB23" s="1264">
        <f t="shared" si="4"/>
        <v>1</v>
      </c>
      <c r="AC23" s="1812">
        <f t="shared" si="5"/>
        <v>1</v>
      </c>
    </row>
    <row r="24" spans="1:29" ht="15.75" thickBot="1">
      <c r="A24" s="367"/>
      <c r="B24" s="557"/>
      <c r="C24" s="1758" t="s">
        <v>3529</v>
      </c>
      <c r="D24" s="387"/>
      <c r="E24" s="1758" t="s">
        <v>3528</v>
      </c>
      <c r="F24" s="387"/>
      <c r="G24" s="1758" t="s">
        <v>3529</v>
      </c>
      <c r="H24" s="387"/>
      <c r="I24" s="1758" t="s">
        <v>3529</v>
      </c>
      <c r="J24" s="387"/>
      <c r="K24" s="541"/>
      <c r="L24" s="2493"/>
      <c r="M24" s="2488"/>
      <c r="N24" s="2488"/>
      <c r="O24" s="2488"/>
      <c r="P24" s="3391"/>
      <c r="Q24" s="1263"/>
      <c r="R24" s="667"/>
      <c r="S24" s="668"/>
      <c r="T24" s="667"/>
      <c r="U24" s="668"/>
      <c r="V24" s="667"/>
      <c r="W24" s="668"/>
      <c r="X24" s="1265"/>
      <c r="Y24" s="3393"/>
      <c r="Z24" s="1264"/>
      <c r="AA24" s="1264">
        <v>1</v>
      </c>
      <c r="AB24" s="1264">
        <v>1</v>
      </c>
      <c r="AC24" s="1812">
        <v>1</v>
      </c>
    </row>
    <row r="25" spans="1:29" ht="27" hidden="1">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1"/>
      <c r="Q25" s="1263" t="str">
        <f>B25</f>
        <v>毗邻道路的类型与等级</v>
      </c>
      <c r="R25" s="667" t="s">
        <v>14</v>
      </c>
      <c r="S25" s="668">
        <f>F25</f>
        <v>100</v>
      </c>
      <c r="T25" s="667" t="s">
        <v>14</v>
      </c>
      <c r="U25" s="668">
        <f>H25</f>
        <v>100</v>
      </c>
      <c r="V25" s="667" t="s">
        <v>14</v>
      </c>
      <c r="W25" s="668">
        <f>J25</f>
        <v>100</v>
      </c>
      <c r="X25" s="1265"/>
      <c r="Y25" s="3393"/>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391"/>
      <c r="Q26" s="1263"/>
      <c r="R26" s="667"/>
      <c r="S26" s="668"/>
      <c r="T26" s="667"/>
      <c r="U26" s="668"/>
      <c r="V26" s="667"/>
      <c r="W26" s="668"/>
      <c r="X26" s="1265"/>
      <c r="Y26" s="3393"/>
      <c r="Z26" s="1264"/>
      <c r="AA26" s="1264">
        <v>1</v>
      </c>
      <c r="AB26" s="1264">
        <v>1</v>
      </c>
      <c r="AC26" s="1812">
        <v>1</v>
      </c>
    </row>
    <row r="27" spans="1:29" ht="15" hidden="1">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1"/>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2">
        <f t="shared" si="5"/>
        <v>1</v>
      </c>
    </row>
    <row r="28" spans="1:29" s="102" customFormat="1" ht="15" hidden="1">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1"/>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1"/>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1"/>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1"/>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2">
        <f t="shared" si="5"/>
        <v>1</v>
      </c>
    </row>
    <row r="33" spans="1:29" ht="15">
      <c r="A33" s="379" t="s">
        <v>1692</v>
      </c>
      <c r="B33" s="60" t="s">
        <v>1815</v>
      </c>
      <c r="C33" s="1764" t="s">
        <v>3631</v>
      </c>
      <c r="D33" s="405">
        <v>100</v>
      </c>
      <c r="E33" s="1764" t="s">
        <v>3631</v>
      </c>
      <c r="F33" s="400">
        <f>SUMIF(101:101,E33,102:102)-SUMIF(101:101,C33,102:102)+100</f>
        <v>100</v>
      </c>
      <c r="G33" s="1764" t="s">
        <v>3632</v>
      </c>
      <c r="H33" s="374">
        <f>SUMIF(101:101,G33,102:102)-SUMIF(101:101,C33,102:102)+100</f>
        <v>98</v>
      </c>
      <c r="I33" s="1764" t="s">
        <v>3631</v>
      </c>
      <c r="J33" s="405">
        <f>SUMIF(101:101,I33,102:102)-SUMIF(101:101,C33,102:102)+100</f>
        <v>100</v>
      </c>
      <c r="K33" s="538">
        <v>2</v>
      </c>
      <c r="L33" s="2493"/>
      <c r="M33" s="2488"/>
      <c r="N33" s="2488"/>
      <c r="O33" s="2488"/>
      <c r="P33" s="3394" t="s">
        <v>1694</v>
      </c>
      <c r="Q33" s="1263" t="str">
        <f t="shared" si="11"/>
        <v>建筑类型</v>
      </c>
      <c r="R33" s="667" t="s">
        <v>14</v>
      </c>
      <c r="S33" s="668">
        <f t="shared" si="12"/>
        <v>100</v>
      </c>
      <c r="T33" s="667" t="s">
        <v>14</v>
      </c>
      <c r="U33" s="668">
        <f t="shared" si="13"/>
        <v>98</v>
      </c>
      <c r="V33" s="667" t="s">
        <v>14</v>
      </c>
      <c r="W33" s="668">
        <f t="shared" si="14"/>
        <v>100</v>
      </c>
      <c r="X33" s="1265"/>
      <c r="Y33" s="3397" t="s">
        <v>1694</v>
      </c>
      <c r="Z33" s="1264" t="str">
        <f t="shared" si="15"/>
        <v>建筑类型</v>
      </c>
      <c r="AA33" s="1264">
        <f t="shared" si="3"/>
        <v>1</v>
      </c>
      <c r="AB33" s="1264">
        <f t="shared" si="4"/>
        <v>1.0204081632653061</v>
      </c>
      <c r="AC33" s="1812">
        <f t="shared" si="5"/>
        <v>1</v>
      </c>
    </row>
    <row r="34" spans="1:29" s="408" customFormat="1" ht="15">
      <c r="A34" s="406"/>
      <c r="B34" s="364" t="s">
        <v>1695</v>
      </c>
      <c r="C34" s="407">
        <f>'[3]数据-汇总表'!E19</f>
        <v>55858.959999999977</v>
      </c>
      <c r="D34" s="119">
        <v>100</v>
      </c>
      <c r="E34" s="369">
        <f>比较法选取案例!I2</f>
        <v>20714.13</v>
      </c>
      <c r="F34" s="364">
        <f>LOOKUP(E34,104:104,105:105)-LOOKUP(C34,104:104,105:105)+100</f>
        <v>102</v>
      </c>
      <c r="G34" s="368">
        <f>比较法选取案例!I3</f>
        <v>8905</v>
      </c>
      <c r="H34" s="119">
        <f>LOOKUP(G34,104:104,105:105)-LOOKUP(C34,104:104,105:105)+100</f>
        <v>104</v>
      </c>
      <c r="I34" s="368">
        <v>10575.42</v>
      </c>
      <c r="J34" s="119">
        <f>LOOKUP(I34,104:104,105:105)-LOOKUP(C34,104:104,105:105)+100</f>
        <v>102</v>
      </c>
      <c r="K34" s="539"/>
      <c r="L34" s="2492"/>
      <c r="M34" s="2494"/>
      <c r="N34" s="2494"/>
      <c r="O34" s="2494"/>
      <c r="P34" s="3395"/>
      <c r="Q34" s="531" t="str">
        <f t="shared" si="11"/>
        <v>项目建筑规模</v>
      </c>
      <c r="R34" s="669" t="s">
        <v>14</v>
      </c>
      <c r="S34" s="670">
        <f t="shared" si="12"/>
        <v>102</v>
      </c>
      <c r="T34" s="669" t="s">
        <v>14</v>
      </c>
      <c r="U34" s="670">
        <f t="shared" si="13"/>
        <v>104</v>
      </c>
      <c r="V34" s="669" t="s">
        <v>14</v>
      </c>
      <c r="W34" s="670">
        <f t="shared" si="14"/>
        <v>102</v>
      </c>
      <c r="X34" s="671"/>
      <c r="Y34" s="3397"/>
      <c r="Z34" s="672" t="str">
        <f t="shared" si="15"/>
        <v>项目建筑规模</v>
      </c>
      <c r="AA34" s="1264">
        <f t="shared" si="3"/>
        <v>0.98039215686274506</v>
      </c>
      <c r="AB34" s="1264">
        <f t="shared" si="4"/>
        <v>0.96153846153846156</v>
      </c>
      <c r="AC34" s="1812">
        <f t="shared" si="5"/>
        <v>0.98039215686274506</v>
      </c>
    </row>
    <row r="35" spans="1:29" ht="15">
      <c r="A35" s="409"/>
      <c r="B35" s="364" t="s">
        <v>1696</v>
      </c>
      <c r="C35" s="399" t="s">
        <v>3455</v>
      </c>
      <c r="D35" s="374">
        <v>100</v>
      </c>
      <c r="E35" s="399" t="s">
        <v>3455</v>
      </c>
      <c r="F35" s="400">
        <f>SUMIF(106:106,E35,107:107)-SUMIF(106:106,C35,107:107)+100</f>
        <v>100</v>
      </c>
      <c r="G35" s="399" t="s">
        <v>3455</v>
      </c>
      <c r="H35" s="374">
        <f>SUMIF(106:106,G35,107:107)-SUMIF(106:106,C35,107:107)+100</f>
        <v>100</v>
      </c>
      <c r="I35" s="399" t="s">
        <v>3455</v>
      </c>
      <c r="J35" s="374">
        <f>SUMIF(106:106,I35,107:107)-SUMIF(106:106,C35,107:107)+100</f>
        <v>100</v>
      </c>
      <c r="K35" s="538">
        <v>2</v>
      </c>
      <c r="L35" s="2493"/>
      <c r="M35" s="2488"/>
      <c r="N35" s="2488"/>
      <c r="O35" s="2488"/>
      <c r="P35" s="3395"/>
      <c r="Q35" s="1263" t="str">
        <f t="shared" si="11"/>
        <v>建筑结构</v>
      </c>
      <c r="R35" s="667" t="s">
        <v>14</v>
      </c>
      <c r="S35" s="668">
        <f t="shared" si="12"/>
        <v>100</v>
      </c>
      <c r="T35" s="667" t="s">
        <v>14</v>
      </c>
      <c r="U35" s="668">
        <f t="shared" si="13"/>
        <v>100</v>
      </c>
      <c r="V35" s="667" t="s">
        <v>14</v>
      </c>
      <c r="W35" s="668">
        <f t="shared" si="14"/>
        <v>100</v>
      </c>
      <c r="X35" s="1265"/>
      <c r="Y35" s="3397"/>
      <c r="Z35" s="1264" t="str">
        <f t="shared" si="15"/>
        <v>建筑结构</v>
      </c>
      <c r="AA35" s="1264">
        <f t="shared" si="3"/>
        <v>1</v>
      </c>
      <c r="AB35" s="1264">
        <f t="shared" si="4"/>
        <v>1</v>
      </c>
      <c r="AC35" s="1812">
        <f t="shared" si="5"/>
        <v>1</v>
      </c>
    </row>
    <row r="36" spans="1:29" ht="15">
      <c r="A36" s="409"/>
      <c r="B36" s="364" t="s">
        <v>1783</v>
      </c>
      <c r="C36" s="399" t="s">
        <v>3633</v>
      </c>
      <c r="D36" s="374">
        <v>100</v>
      </c>
      <c r="E36" s="399" t="s">
        <v>3633</v>
      </c>
      <c r="F36" s="400">
        <f>SUMIF(108:108,E36,109:109)-SUMIF(108:108,C36,109:109)+100</f>
        <v>100</v>
      </c>
      <c r="G36" s="399" t="s">
        <v>3633</v>
      </c>
      <c r="H36" s="374">
        <f>SUMIF(108:108,G36,109:109)-SUMIF(108:108,C36,109:109)+100</f>
        <v>100</v>
      </c>
      <c r="I36" s="399" t="s">
        <v>3633</v>
      </c>
      <c r="J36" s="374">
        <f>SUMIF(108:108,I36,109:109)-SUMIF(108:108,C36,109:109)+100</f>
        <v>100</v>
      </c>
      <c r="K36" s="538">
        <v>1</v>
      </c>
      <c r="L36" s="2493"/>
      <c r="M36" s="2488"/>
      <c r="N36" s="2488"/>
      <c r="O36" s="2488"/>
      <c r="P36" s="3395"/>
      <c r="Q36" s="1263" t="str">
        <f t="shared" si="11"/>
        <v>公共部分装修</v>
      </c>
      <c r="R36" s="667" t="s">
        <v>14</v>
      </c>
      <c r="S36" s="668">
        <f t="shared" si="12"/>
        <v>100</v>
      </c>
      <c r="T36" s="667" t="s">
        <v>14</v>
      </c>
      <c r="U36" s="668">
        <f t="shared" si="13"/>
        <v>100</v>
      </c>
      <c r="V36" s="667" t="s">
        <v>14</v>
      </c>
      <c r="W36" s="668">
        <f t="shared" si="14"/>
        <v>100</v>
      </c>
      <c r="X36" s="1265"/>
      <c r="Y36" s="3397"/>
      <c r="Z36" s="1264" t="str">
        <f t="shared" si="15"/>
        <v>公共部分装修</v>
      </c>
      <c r="AA36" s="1264">
        <f t="shared" si="3"/>
        <v>1</v>
      </c>
      <c r="AB36" s="1264">
        <f t="shared" si="4"/>
        <v>1</v>
      </c>
      <c r="AC36" s="1812">
        <f t="shared" si="5"/>
        <v>1</v>
      </c>
    </row>
    <row r="37" spans="1:29" ht="15">
      <c r="A37" s="409"/>
      <c r="B37" s="364" t="s">
        <v>1784</v>
      </c>
      <c r="C37" s="411">
        <f>'数据-取费表'!N6</f>
        <v>0.95</v>
      </c>
      <c r="D37" s="374">
        <v>100</v>
      </c>
      <c r="E37" s="411">
        <f>ROUND(1-(1-0)*(2025-E12)/60,2)</f>
        <v>0.83</v>
      </c>
      <c r="F37" s="400">
        <f>LOOKUP(E37,111:111,112:112)-LOOKUP(C37,111:111,112:112)+100</f>
        <v>99</v>
      </c>
      <c r="G37" s="411">
        <f>ROUND(1-(1-0)*(2025-G12)/60,2)</f>
        <v>0.97</v>
      </c>
      <c r="H37" s="400">
        <f>LOOKUP(G37,111:111,112:112)-LOOKUP(C37,111:111,112:112)+100</f>
        <v>100</v>
      </c>
      <c r="I37" s="411">
        <f>ROUND(1-(1-0)*(2025-I12)/60,2)</f>
        <v>0.93</v>
      </c>
      <c r="J37" s="374">
        <f>LOOKUP(I37,111:111,112:112)-LOOKUP(C37,111:111,112:112)+100</f>
        <v>100</v>
      </c>
      <c r="K37" s="538">
        <v>1</v>
      </c>
      <c r="L37" s="2493"/>
      <c r="M37" s="2488"/>
      <c r="N37" s="2488"/>
      <c r="O37" s="2488"/>
      <c r="P37" s="3395"/>
      <c r="Q37" s="1263" t="str">
        <f t="shared" si="11"/>
        <v>成新度</v>
      </c>
      <c r="R37" s="667" t="s">
        <v>14</v>
      </c>
      <c r="S37" s="668">
        <f t="shared" si="12"/>
        <v>99</v>
      </c>
      <c r="T37" s="667" t="s">
        <v>14</v>
      </c>
      <c r="U37" s="668">
        <f t="shared" si="13"/>
        <v>100</v>
      </c>
      <c r="V37" s="667" t="s">
        <v>14</v>
      </c>
      <c r="W37" s="668">
        <f t="shared" si="14"/>
        <v>100</v>
      </c>
      <c r="X37" s="1265"/>
      <c r="Y37" s="3397"/>
      <c r="Z37" s="1264" t="str">
        <f t="shared" si="15"/>
        <v>成新度</v>
      </c>
      <c r="AA37" s="1264">
        <f t="shared" si="3"/>
        <v>1.0101010101010102</v>
      </c>
      <c r="AB37" s="1264">
        <f t="shared" si="4"/>
        <v>1</v>
      </c>
      <c r="AC37" s="1812">
        <f t="shared" si="5"/>
        <v>1</v>
      </c>
    </row>
    <row r="38" spans="1:29" s="102" customFormat="1" ht="15">
      <c r="A38" s="410"/>
      <c r="B38" s="364" t="s">
        <v>1816</v>
      </c>
      <c r="C38" s="399" t="s">
        <v>3613</v>
      </c>
      <c r="D38" s="119">
        <v>100</v>
      </c>
      <c r="E38" s="399" t="s">
        <v>3613</v>
      </c>
      <c r="F38" s="400">
        <f>SUMIF(113:113,E38,114:114)-SUMIF(113:113,C38,114:114)+100</f>
        <v>100</v>
      </c>
      <c r="G38" s="399" t="s">
        <v>3613</v>
      </c>
      <c r="H38" s="374">
        <f>SUMIF(113:113,G38,114:114)-SUMIF(113:113,C38,114:114)+100</f>
        <v>100</v>
      </c>
      <c r="I38" s="399" t="s">
        <v>3613</v>
      </c>
      <c r="J38" s="374">
        <f>SUMIF(113:113,I38,114:114)-SUMIF(113:113,C38,114:114)+100</f>
        <v>100</v>
      </c>
      <c r="K38" s="538">
        <v>1</v>
      </c>
      <c r="L38" s="2489"/>
      <c r="M38" s="2440"/>
      <c r="N38" s="2440"/>
      <c r="O38" s="2440"/>
      <c r="P38" s="3395"/>
      <c r="Q38" s="530" t="str">
        <f t="shared" si="11"/>
        <v>写字楼等级</v>
      </c>
      <c r="R38" s="664" t="s">
        <v>14</v>
      </c>
      <c r="S38" s="665">
        <f t="shared" si="12"/>
        <v>100</v>
      </c>
      <c r="T38" s="664" t="s">
        <v>14</v>
      </c>
      <c r="U38" s="665">
        <f t="shared" si="13"/>
        <v>100</v>
      </c>
      <c r="V38" s="664" t="s">
        <v>14</v>
      </c>
      <c r="W38" s="665">
        <f t="shared" si="14"/>
        <v>100</v>
      </c>
      <c r="X38" s="666"/>
      <c r="Y38" s="3397"/>
      <c r="Z38" s="50" t="str">
        <f t="shared" si="15"/>
        <v>写字楼等级</v>
      </c>
      <c r="AA38" s="50">
        <f t="shared" si="3"/>
        <v>1</v>
      </c>
      <c r="AB38" s="50">
        <f t="shared" si="4"/>
        <v>1</v>
      </c>
      <c r="AC38" s="802">
        <f t="shared" si="5"/>
        <v>1</v>
      </c>
    </row>
    <row r="39" spans="1:29" ht="15">
      <c r="A39" s="409"/>
      <c r="B39" s="364" t="s">
        <v>1817</v>
      </c>
      <c r="C39" s="399" t="s">
        <v>3637</v>
      </c>
      <c r="D39" s="374">
        <v>100</v>
      </c>
      <c r="E39" s="399" t="s">
        <v>3637</v>
      </c>
      <c r="F39" s="400">
        <f>SUMIF(115:115,E39,116:116)-SUMIF(115:115,C39,116:116)+100</f>
        <v>100</v>
      </c>
      <c r="G39" s="399" t="s">
        <v>3637</v>
      </c>
      <c r="H39" s="374">
        <f>SUMIF(115:115,G39,116:116)-SUMIF(115:115,C39,116:116)+100</f>
        <v>100</v>
      </c>
      <c r="I39" s="399" t="s">
        <v>3637</v>
      </c>
      <c r="J39" s="374">
        <f>SUMIF(115:115,I39,116:116)-SUMIF(115:115,C39,116:116)+100</f>
        <v>100</v>
      </c>
      <c r="K39" s="538">
        <v>1</v>
      </c>
      <c r="L39" s="2493"/>
      <c r="M39" s="2488"/>
      <c r="N39" s="2488"/>
      <c r="O39" s="2488"/>
      <c r="P39" s="3395" t="s">
        <v>1694</v>
      </c>
      <c r="Q39" s="1263" t="str">
        <f t="shared" si="11"/>
        <v>物业管理</v>
      </c>
      <c r="R39" s="667" t="s">
        <v>14</v>
      </c>
      <c r="S39" s="668">
        <f t="shared" si="12"/>
        <v>100</v>
      </c>
      <c r="T39" s="667" t="s">
        <v>14</v>
      </c>
      <c r="U39" s="668">
        <f t="shared" si="13"/>
        <v>100</v>
      </c>
      <c r="V39" s="667" t="s">
        <v>14</v>
      </c>
      <c r="W39" s="668">
        <f t="shared" si="14"/>
        <v>100</v>
      </c>
      <c r="X39" s="1265"/>
      <c r="Y39" s="3397" t="s">
        <v>1694</v>
      </c>
      <c r="Z39" s="1264" t="str">
        <f t="shared" si="15"/>
        <v>物业管理</v>
      </c>
      <c r="AA39" s="1264">
        <f t="shared" si="3"/>
        <v>1</v>
      </c>
      <c r="AB39" s="1264">
        <f t="shared" si="4"/>
        <v>1</v>
      </c>
      <c r="AC39" s="1812">
        <f t="shared" si="5"/>
        <v>1</v>
      </c>
    </row>
    <row r="40" spans="1:29" ht="15">
      <c r="A40" s="409"/>
      <c r="B40" s="364" t="s">
        <v>1785</v>
      </c>
      <c r="C40" s="399" t="s">
        <v>3640</v>
      </c>
      <c r="D40" s="374">
        <v>100</v>
      </c>
      <c r="E40" s="399" t="s">
        <v>3640</v>
      </c>
      <c r="F40" s="400">
        <f>SUMIF(117:117,E40,118:118)-SUMIF(117:117,C40,118:118)+100</f>
        <v>100</v>
      </c>
      <c r="G40" s="399" t="s">
        <v>3640</v>
      </c>
      <c r="H40" s="374">
        <f>SUMIF(117:117,G40,118:118)-SUMIF(117:117,C40,118:118)+100</f>
        <v>100</v>
      </c>
      <c r="I40" s="399" t="s">
        <v>3640</v>
      </c>
      <c r="J40" s="374">
        <f>SUMIF(117:117,I40,118:118)-SUMIF(117:117,C40,118:118)+100</f>
        <v>100</v>
      </c>
      <c r="K40" s="538">
        <v>1</v>
      </c>
      <c r="L40" s="2493"/>
      <c r="M40" s="2488"/>
      <c r="N40" s="2488"/>
      <c r="O40" s="2488"/>
      <c r="P40" s="3395"/>
      <c r="Q40" s="1263" t="str">
        <f t="shared" si="11"/>
        <v>市政基础设施</v>
      </c>
      <c r="R40" s="667" t="s">
        <v>14</v>
      </c>
      <c r="S40" s="668">
        <f t="shared" si="12"/>
        <v>100</v>
      </c>
      <c r="T40" s="667" t="s">
        <v>14</v>
      </c>
      <c r="U40" s="668">
        <f t="shared" si="13"/>
        <v>100</v>
      </c>
      <c r="V40" s="667" t="s">
        <v>14</v>
      </c>
      <c r="W40" s="668">
        <f t="shared" si="14"/>
        <v>100</v>
      </c>
      <c r="X40" s="1265"/>
      <c r="Y40" s="3397"/>
      <c r="Z40" s="1264" t="str">
        <f t="shared" si="15"/>
        <v>市政基础设施</v>
      </c>
      <c r="AA40" s="1264">
        <f t="shared" si="3"/>
        <v>1</v>
      </c>
      <c r="AB40" s="1264">
        <f t="shared" si="4"/>
        <v>1</v>
      </c>
      <c r="AC40" s="1812">
        <f t="shared" si="5"/>
        <v>1</v>
      </c>
    </row>
    <row r="41" spans="1:29" ht="15">
      <c r="A41" s="409"/>
      <c r="B41" s="364" t="s">
        <v>1787</v>
      </c>
      <c r="C41" s="542" t="s">
        <v>3642</v>
      </c>
      <c r="D41" s="374">
        <v>100</v>
      </c>
      <c r="E41" s="542" t="s">
        <v>3642</v>
      </c>
      <c r="F41" s="400">
        <f>SUMIF(119:119,E41,120:120)-SUMIF(119:119,C41,120:120)+100</f>
        <v>100</v>
      </c>
      <c r="G41" s="542" t="s">
        <v>3642</v>
      </c>
      <c r="H41" s="374">
        <f>SUMIF(119:119,G41,120:120)-SUMIF(119:119,C41,120:120)+100</f>
        <v>100</v>
      </c>
      <c r="I41" s="542" t="s">
        <v>3642</v>
      </c>
      <c r="J41" s="374">
        <f>SUMIF(119:119,I41,120:120)-SUMIF(119:119,C41,120:120)+100</f>
        <v>100</v>
      </c>
      <c r="K41" s="538">
        <v>1</v>
      </c>
      <c r="L41" s="2493"/>
      <c r="M41" s="2488"/>
      <c r="N41" s="2488"/>
      <c r="O41" s="2488"/>
      <c r="P41" s="3395"/>
      <c r="Q41" s="1263" t="str">
        <f t="shared" si="11"/>
        <v>层高</v>
      </c>
      <c r="R41" s="667" t="s">
        <v>14</v>
      </c>
      <c r="S41" s="668">
        <f t="shared" si="12"/>
        <v>100</v>
      </c>
      <c r="T41" s="667" t="s">
        <v>14</v>
      </c>
      <c r="U41" s="668">
        <f t="shared" si="13"/>
        <v>100</v>
      </c>
      <c r="V41" s="667" t="s">
        <v>14</v>
      </c>
      <c r="W41" s="668">
        <f t="shared" si="14"/>
        <v>100</v>
      </c>
      <c r="X41" s="1265"/>
      <c r="Y41" s="3397"/>
      <c r="Z41" s="1264" t="str">
        <f t="shared" si="15"/>
        <v>层高</v>
      </c>
      <c r="AA41" s="1264">
        <f t="shared" si="3"/>
        <v>1</v>
      </c>
      <c r="AB41" s="1264">
        <f t="shared" si="4"/>
        <v>1</v>
      </c>
      <c r="AC41" s="1812">
        <f t="shared" si="5"/>
        <v>1</v>
      </c>
    </row>
    <row r="42" spans="1:29" s="408" customFormat="1" ht="15" hidden="1">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5"/>
      <c r="Q42" s="531" t="str">
        <f t="shared" si="11"/>
        <v>单套建筑面积</v>
      </c>
      <c r="R42" s="669" t="s">
        <v>14</v>
      </c>
      <c r="S42" s="670">
        <f t="shared" si="12"/>
        <v>100</v>
      </c>
      <c r="T42" s="669" t="s">
        <v>14</v>
      </c>
      <c r="U42" s="670">
        <f t="shared" si="13"/>
        <v>100</v>
      </c>
      <c r="V42" s="669" t="s">
        <v>14</v>
      </c>
      <c r="W42" s="670">
        <f t="shared" si="14"/>
        <v>100</v>
      </c>
      <c r="X42" s="671"/>
      <c r="Y42" s="3397"/>
      <c r="Z42" s="672" t="str">
        <f t="shared" si="15"/>
        <v>单套建筑面积</v>
      </c>
      <c r="AA42" s="1264">
        <f t="shared" si="3"/>
        <v>1</v>
      </c>
      <c r="AB42" s="1264">
        <f t="shared" si="4"/>
        <v>1</v>
      </c>
      <c r="AC42" s="1812">
        <f t="shared" si="5"/>
        <v>1</v>
      </c>
    </row>
    <row r="43" spans="1:29" ht="15">
      <c r="A43" s="409"/>
      <c r="B43" s="364" t="s">
        <v>1790</v>
      </c>
      <c r="C43" s="399" t="s">
        <v>3636</v>
      </c>
      <c r="D43" s="374">
        <v>100</v>
      </c>
      <c r="E43" s="399" t="s">
        <v>3636</v>
      </c>
      <c r="F43" s="400">
        <f>SUMIF(123:123,E43,124:124)-SUMIF(123:123,C43,124:124)+100</f>
        <v>100</v>
      </c>
      <c r="G43" s="399" t="s">
        <v>3636</v>
      </c>
      <c r="H43" s="374">
        <f>SUMIF(123:123,G43,124:124)-SUMIF(123:123,C43,124:124)+100</f>
        <v>100</v>
      </c>
      <c r="I43" s="399" t="s">
        <v>3636</v>
      </c>
      <c r="J43" s="374">
        <f>SUMIF(123:123,I43,124:124)-SUMIF(123:123,C43,124:124)+100</f>
        <v>100</v>
      </c>
      <c r="K43" s="538">
        <v>2</v>
      </c>
      <c r="L43" s="2493"/>
      <c r="M43" s="2488"/>
      <c r="N43" s="2488"/>
      <c r="O43" s="2488"/>
      <c r="P43" s="3395"/>
      <c r="Q43" s="1263" t="str">
        <f t="shared" si="11"/>
        <v>内部装修</v>
      </c>
      <c r="R43" s="667" t="s">
        <v>14</v>
      </c>
      <c r="S43" s="668">
        <f t="shared" si="12"/>
        <v>100</v>
      </c>
      <c r="T43" s="667" t="s">
        <v>14</v>
      </c>
      <c r="U43" s="668">
        <f t="shared" si="13"/>
        <v>100</v>
      </c>
      <c r="V43" s="667" t="s">
        <v>14</v>
      </c>
      <c r="W43" s="668">
        <f t="shared" si="14"/>
        <v>100</v>
      </c>
      <c r="X43" s="1265"/>
      <c r="Y43" s="3397"/>
      <c r="Z43" s="1264" t="str">
        <f t="shared" si="15"/>
        <v>内部装修</v>
      </c>
      <c r="AA43" s="1264">
        <f t="shared" si="3"/>
        <v>1</v>
      </c>
      <c r="AB43" s="1264">
        <f t="shared" si="4"/>
        <v>1</v>
      </c>
      <c r="AC43" s="1812">
        <f t="shared" si="5"/>
        <v>1</v>
      </c>
    </row>
    <row r="44" spans="1:29" ht="15">
      <c r="A44" s="409"/>
      <c r="B44" s="364" t="s">
        <v>1705</v>
      </c>
      <c r="C44" s="399" t="s">
        <v>3528</v>
      </c>
      <c r="D44" s="374">
        <v>100</v>
      </c>
      <c r="E44" s="399" t="s">
        <v>3528</v>
      </c>
      <c r="F44" s="400">
        <f>SUMIF(125:125,E44,126:126)-SUMIF(125:125,C44,126:126)+100</f>
        <v>100</v>
      </c>
      <c r="G44" s="399" t="s">
        <v>3528</v>
      </c>
      <c r="H44" s="374">
        <f>SUMIF(125:125,G44,126:126)-SUMIF(125:125,C44,126:126)+100</f>
        <v>100</v>
      </c>
      <c r="I44" s="399" t="s">
        <v>3528</v>
      </c>
      <c r="J44" s="374">
        <f>SUMIF(125:125,I44,126:126)-SUMIF(125:125,C44,126:126)+100</f>
        <v>100</v>
      </c>
      <c r="K44" s="538">
        <v>1</v>
      </c>
      <c r="L44" s="2493"/>
      <c r="M44" s="2488"/>
      <c r="N44" s="2488"/>
      <c r="O44" s="2488"/>
      <c r="P44" s="3395"/>
      <c r="Q44" s="1263" t="str">
        <f t="shared" si="11"/>
        <v>内部装修维护情况</v>
      </c>
      <c r="R44" s="667" t="s">
        <v>14</v>
      </c>
      <c r="S44" s="668">
        <f t="shared" si="12"/>
        <v>100</v>
      </c>
      <c r="T44" s="667" t="s">
        <v>14</v>
      </c>
      <c r="U44" s="668">
        <f t="shared" si="13"/>
        <v>100</v>
      </c>
      <c r="V44" s="667" t="s">
        <v>14</v>
      </c>
      <c r="W44" s="668">
        <f t="shared" si="14"/>
        <v>100</v>
      </c>
      <c r="X44" s="1265"/>
      <c r="Y44" s="3397"/>
      <c r="Z44" s="1264" t="str">
        <f t="shared" si="15"/>
        <v>内部装修维护情况</v>
      </c>
      <c r="AA44" s="1264">
        <f t="shared" si="3"/>
        <v>1</v>
      </c>
      <c r="AB44" s="1264">
        <f t="shared" si="4"/>
        <v>1</v>
      </c>
      <c r="AC44" s="1812">
        <f t="shared" si="5"/>
        <v>1</v>
      </c>
    </row>
    <row r="45" spans="1:29" s="102" customFormat="1" ht="15">
      <c r="A45" s="410"/>
      <c r="B45" s="3187" t="s">
        <v>3654</v>
      </c>
      <c r="C45" s="371" t="s">
        <v>3643</v>
      </c>
      <c r="D45" s="119">
        <v>100</v>
      </c>
      <c r="E45" s="371" t="s">
        <v>3643</v>
      </c>
      <c r="F45" s="364">
        <f>SUMIF(127:127,E45,128:128)-SUMIF(127:127,C45,128:128)+100</f>
        <v>100</v>
      </c>
      <c r="G45" s="371" t="s">
        <v>3643</v>
      </c>
      <c r="H45" s="119">
        <f>SUMIF(127:127,G45,128:128)-SUMIF(127:127,C45,128:128)+100</f>
        <v>100</v>
      </c>
      <c r="I45" s="371" t="s">
        <v>3643</v>
      </c>
      <c r="J45" s="119">
        <f>SUMIF(127:127,I45,128:128)-SUMIF(127:127,C45,128:128)+100</f>
        <v>100</v>
      </c>
      <c r="K45" s="539"/>
      <c r="L45" s="2489"/>
      <c r="M45" s="2440"/>
      <c r="N45" s="2440"/>
      <c r="O45" s="2440"/>
      <c r="P45" s="3395"/>
      <c r="Q45" s="530" t="str">
        <f t="shared" si="11"/>
        <v>地下占比</v>
      </c>
      <c r="R45" s="664" t="s">
        <v>14</v>
      </c>
      <c r="S45" s="665">
        <f t="shared" si="12"/>
        <v>100</v>
      </c>
      <c r="T45" s="664" t="s">
        <v>14</v>
      </c>
      <c r="U45" s="665">
        <f t="shared" si="13"/>
        <v>100</v>
      </c>
      <c r="V45" s="664" t="s">
        <v>14</v>
      </c>
      <c r="W45" s="665">
        <f t="shared" si="14"/>
        <v>100</v>
      </c>
      <c r="X45" s="666"/>
      <c r="Y45" s="3397"/>
      <c r="Z45" s="50" t="str">
        <f t="shared" si="15"/>
        <v>地下占比</v>
      </c>
      <c r="AA45" s="50">
        <f t="shared" si="3"/>
        <v>1</v>
      </c>
      <c r="AB45" s="50">
        <f t="shared" si="4"/>
        <v>1</v>
      </c>
      <c r="AC45" s="802">
        <f t="shared" si="5"/>
        <v>1</v>
      </c>
    </row>
    <row r="46" spans="1:29" ht="15">
      <c r="A46" s="409"/>
      <c r="B46" s="1066">
        <v>111</v>
      </c>
      <c r="C46" s="371">
        <v>0</v>
      </c>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6"/>
      <c r="Q47" s="1263">
        <f t="shared" si="11"/>
        <v>111</v>
      </c>
      <c r="R47" s="667" t="s">
        <v>14</v>
      </c>
      <c r="S47" s="668">
        <f t="shared" si="12"/>
        <v>100</v>
      </c>
      <c r="T47" s="667" t="s">
        <v>14</v>
      </c>
      <c r="U47" s="668">
        <f t="shared" si="13"/>
        <v>100</v>
      </c>
      <c r="V47" s="667" t="s">
        <v>14</v>
      </c>
      <c r="W47" s="668">
        <f t="shared" si="14"/>
        <v>100</v>
      </c>
      <c r="X47" s="1265"/>
      <c r="Y47" s="3398"/>
      <c r="Z47" s="1264">
        <f t="shared" si="15"/>
        <v>111</v>
      </c>
      <c r="AA47" s="1264">
        <f t="shared" si="3"/>
        <v>1</v>
      </c>
      <c r="AB47" s="1264">
        <f t="shared" si="4"/>
        <v>1</v>
      </c>
      <c r="AC47" s="1812">
        <f t="shared" si="5"/>
        <v>1</v>
      </c>
    </row>
    <row r="48" spans="1:29" ht="15">
      <c r="A48" s="416" t="s">
        <v>1706</v>
      </c>
      <c r="B48" s="417"/>
      <c r="C48" s="1081" t="s">
        <v>0</v>
      </c>
      <c r="D48" s="418"/>
      <c r="E48" s="419">
        <f>比较法选取案例!M2</f>
        <v>45000</v>
      </c>
      <c r="F48" s="420"/>
      <c r="G48" s="421">
        <f>比较法选取案例!M3</f>
        <v>38000</v>
      </c>
      <c r="H48" s="422"/>
      <c r="I48" s="419">
        <f>比较法选取案例!M9</f>
        <v>45388</v>
      </c>
      <c r="J48" s="422"/>
      <c r="K48" s="674"/>
      <c r="L48" s="2495"/>
      <c r="M48" s="2488"/>
      <c r="N48" s="2488"/>
      <c r="O48" s="2488"/>
      <c r="P48" s="3384" t="str">
        <f>A48</f>
        <v>成交单价（元/平方米）</v>
      </c>
      <c r="Q48" s="3385"/>
      <c r="R48" s="3386">
        <f>E48</f>
        <v>45000</v>
      </c>
      <c r="S48" s="3386"/>
      <c r="T48" s="3386">
        <f>G48</f>
        <v>38000</v>
      </c>
      <c r="U48" s="3386"/>
      <c r="V48" s="3386">
        <f>I48</f>
        <v>45388</v>
      </c>
      <c r="W48" s="3386"/>
      <c r="X48" s="385"/>
      <c r="Y48" s="673"/>
      <c r="Z48" s="385"/>
      <c r="AA48" s="385"/>
      <c r="AB48" s="385"/>
      <c r="AC48" s="555"/>
    </row>
    <row r="49" spans="1:39" ht="15.75" thickBot="1">
      <c r="A49" s="423" t="s">
        <v>1791</v>
      </c>
      <c r="B49" s="424"/>
      <c r="C49" s="1082">
        <f>R50</f>
        <v>41409</v>
      </c>
      <c r="D49" s="2141" t="s">
        <v>2136</v>
      </c>
      <c r="E49" s="1083">
        <f>R49</f>
        <v>43689</v>
      </c>
      <c r="F49" s="2142"/>
      <c r="G49" s="1082">
        <f>T49</f>
        <v>39222</v>
      </c>
      <c r="H49" s="2142"/>
      <c r="I49" s="1083">
        <f>V49</f>
        <v>41316</v>
      </c>
      <c r="J49" s="2142"/>
      <c r="K49" s="2144">
        <f>F49+H49+J49</f>
        <v>0</v>
      </c>
      <c r="L49" s="2495"/>
      <c r="M49" s="2488"/>
      <c r="N49" s="2488"/>
      <c r="O49" s="2488"/>
      <c r="P49" s="3384" t="str">
        <f>A49</f>
        <v>比较价值（元/平方米）</v>
      </c>
      <c r="Q49" s="3385"/>
      <c r="R49" s="3386">
        <f>IF(F1="售价",ROUND(PRODUCT(R48,AA7:AA47),0),ROUND(PRODUCT(R48,AA7:AA47),1))</f>
        <v>43689</v>
      </c>
      <c r="S49" s="3386"/>
      <c r="T49" s="3386">
        <f>IF(F1="售价",ROUND(PRODUCT(T48,AB7:AB47),0),ROUND(PRODUCT(T48,AB7:AB47),1))</f>
        <v>39222</v>
      </c>
      <c r="U49" s="3386"/>
      <c r="V49" s="3386">
        <f>IF(F1="售价",ROUND(PRODUCT(V48,AC7:AC47),0),ROUND(PRODUCT(V48,AC7:AC47),1))</f>
        <v>41316</v>
      </c>
      <c r="W49" s="3386"/>
      <c r="X49" s="385"/>
      <c r="Y49" s="385"/>
      <c r="Z49" s="385"/>
      <c r="AA49" s="385"/>
      <c r="AB49" s="385"/>
      <c r="AC49" s="555"/>
    </row>
    <row r="50" spans="1:39" ht="15.75" thickBot="1">
      <c r="A50" s="427" t="s">
        <v>1792</v>
      </c>
      <c r="B50" s="428"/>
      <c r="C50" s="351">
        <f>R50</f>
        <v>41409</v>
      </c>
      <c r="D50" s="351"/>
      <c r="E50" s="351"/>
      <c r="F50" s="351"/>
      <c r="G50" s="351"/>
      <c r="H50" s="351"/>
      <c r="I50" s="351"/>
      <c r="J50" s="429"/>
      <c r="K50" s="675"/>
      <c r="L50" s="2495"/>
      <c r="M50" s="2488"/>
      <c r="N50" s="2488"/>
      <c r="O50" s="2488"/>
      <c r="P50" s="3387" t="str">
        <f>A50</f>
        <v>估价对象XX用房的比较价值（楼面单价，元/平方米）</v>
      </c>
      <c r="Q50" s="3388"/>
      <c r="R50" s="3389">
        <f>IF(F1="售价",ROUND(IF(D49="简单平均",AVERAGE(R49:V49),R49*F49+T49*H49+V49*J49),0),ROUND(IF(D49="简单平均",AVERAGE(R49:V49),R49*F49+T49*H49+V49*J49),1))</f>
        <v>41409</v>
      </c>
      <c r="S50" s="3389"/>
      <c r="T50" s="3389"/>
      <c r="U50" s="3389"/>
      <c r="V50" s="3389"/>
      <c r="W50" s="3389"/>
      <c r="X50" s="1798"/>
      <c r="Y50" s="1798"/>
      <c r="Z50" s="1798"/>
      <c r="AA50" s="1798"/>
      <c r="AB50" s="1798"/>
      <c r="AC50" s="1799"/>
    </row>
    <row r="51" spans="1:3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3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39" ht="13.5" customHeight="1">
      <c r="A53" s="2488"/>
      <c r="B53" s="2488"/>
      <c r="C53" s="432" t="s">
        <v>1793</v>
      </c>
      <c r="D53" s="433"/>
      <c r="E53" s="434">
        <f>IF(E48&lt;E49,E49/E48-1,E48/E49-1)</f>
        <v>3.0007553388724961E-2</v>
      </c>
      <c r="F53" s="435" t="str">
        <f>IF(OR(E53&gt;=0.3,E53&lt;=-0.3),"超过30%","")</f>
        <v/>
      </c>
      <c r="G53" s="434">
        <f>IF(G48&lt;G49,G49/G48-1,G48/G49-1)</f>
        <v>3.2157894736842163E-2</v>
      </c>
      <c r="H53" s="435" t="str">
        <f>IF(OR(G53&gt;=0.3,G53&lt;=-0.3),"超过30%","")</f>
        <v/>
      </c>
      <c r="I53" s="434">
        <f>IF(I48&lt;I49,I49/I48-1,I48/I49-1)</f>
        <v>9.8557459579823758E-2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39" ht="13.5" customHeight="1">
      <c r="A54" s="2488"/>
      <c r="B54" s="2488"/>
      <c r="C54" s="432" t="s">
        <v>1794</v>
      </c>
      <c r="D54" s="436"/>
      <c r="E54" s="434">
        <f>IF(E49&lt;G49,G49/E49-1,E49/G49-1)</f>
        <v>0.11389016368364691</v>
      </c>
      <c r="F54" s="435" t="str">
        <f>IF(OR(E54&gt;=0.2,E54&lt;=-0.2),"超过20%","")</f>
        <v/>
      </c>
      <c r="G54" s="434">
        <f>IF(G49&lt;I49,I49/G49-1,G49/I49-1)</f>
        <v>5.3388404466880868E-2</v>
      </c>
      <c r="H54" s="435" t="str">
        <f>IF(OR(G54&gt;=0.2,G54&lt;=-0.2),"超过20%","")</f>
        <v/>
      </c>
      <c r="I54" s="434">
        <f>IF(I49&lt;E49,E49/I49-1,I49/E49-1)</f>
        <v>5.7435376125472004E-2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39" s="437" customFormat="1" ht="13.5" customHeight="1">
      <c r="A55" s="2498"/>
      <c r="B55" s="2498"/>
      <c r="C55" s="432" t="s">
        <v>1795</v>
      </c>
      <c r="D55" s="436"/>
      <c r="E55" s="434">
        <f>IF(E48&lt;G48,G48/E48-1,E48/G48-1)</f>
        <v>0.18421052631578938</v>
      </c>
      <c r="F55" s="435" t="str">
        <f>IF(OR(E55&gt;=0.3,E55&lt;=-0.3),"超过30%","")</f>
        <v/>
      </c>
      <c r="G55" s="434">
        <f>IF(G48&lt;I48,I48/G48-1,G48/I48-1)</f>
        <v>0.19442105263157905</v>
      </c>
      <c r="H55" s="435" t="str">
        <f>IF(OR(G55&gt;=0.3,G55&lt;=-0.3),"超过30%","")</f>
        <v/>
      </c>
      <c r="I55" s="434">
        <f>IF(I48&lt;E48,E48/I48-1,I48/E48-1)</f>
        <v>8.6222222222223088E-3</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3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3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3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39" s="442" customFormat="1" ht="15">
      <c r="A59" s="440" t="s">
        <v>1677</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3192">
        <f t="shared" ref="P59" si="17">EDATE(O59,-1)</f>
        <v>45536</v>
      </c>
      <c r="Q59" s="3192">
        <f t="shared" ref="Q59" si="18">EDATE(P59,-1)</f>
        <v>45505</v>
      </c>
      <c r="R59" s="3192">
        <f t="shared" ref="R59" si="19">EDATE(Q59,-1)</f>
        <v>45474</v>
      </c>
      <c r="S59" s="3192">
        <f t="shared" ref="S59" si="20">EDATE(R59,-1)</f>
        <v>45444</v>
      </c>
      <c r="T59" s="3192">
        <f t="shared" ref="T59" si="21">EDATE(S59,-1)</f>
        <v>45413</v>
      </c>
      <c r="U59" s="3192">
        <f t="shared" ref="U59" si="22">EDATE(T59,-1)</f>
        <v>45383</v>
      </c>
      <c r="V59" s="3192">
        <f t="shared" ref="V59" si="23">EDATE(U59,-1)</f>
        <v>45352</v>
      </c>
      <c r="W59" s="3192">
        <f t="shared" ref="W59" si="24">EDATE(V59,-1)</f>
        <v>45323</v>
      </c>
      <c r="X59" s="3192">
        <f t="shared" ref="X59" si="25">EDATE(W59,-1)</f>
        <v>45292</v>
      </c>
      <c r="Y59" s="3192">
        <f t="shared" ref="Y59" si="26">EDATE(X59,-1)</f>
        <v>45261</v>
      </c>
      <c r="Z59" s="3192">
        <f t="shared" ref="Z59" si="27">EDATE(Y59,-1)</f>
        <v>45231</v>
      </c>
      <c r="AA59" s="3192">
        <f t="shared" ref="AA59" si="28">EDATE(Z59,-1)</f>
        <v>45200</v>
      </c>
      <c r="AB59" s="3192">
        <f t="shared" ref="AB59" si="29">EDATE(AA59,-1)</f>
        <v>45170</v>
      </c>
      <c r="AC59" s="3192">
        <f t="shared" ref="AC59" si="30">EDATE(AB59,-1)</f>
        <v>45139</v>
      </c>
      <c r="AD59" s="3192">
        <f t="shared" ref="AD59" si="31">EDATE(AC59,-1)</f>
        <v>45108</v>
      </c>
      <c r="AE59" s="3192">
        <f t="shared" ref="AE59" si="32">EDATE(AD59,-1)</f>
        <v>45078</v>
      </c>
      <c r="AF59" s="3192">
        <f t="shared" ref="AF59" si="33">EDATE(AE59,-1)</f>
        <v>45047</v>
      </c>
      <c r="AG59" s="3192">
        <f t="shared" ref="AG59" si="34">EDATE(AF59,-1)</f>
        <v>45017</v>
      </c>
      <c r="AH59" s="3192">
        <f t="shared" ref="AH59" si="35">EDATE(AG59,-1)</f>
        <v>44986</v>
      </c>
      <c r="AI59" s="3192">
        <f t="shared" ref="AI59" si="36">EDATE(AH59,-1)</f>
        <v>44958</v>
      </c>
      <c r="AJ59" s="3192">
        <f t="shared" ref="AJ59" si="37">EDATE(AI59,-1)</f>
        <v>44927</v>
      </c>
      <c r="AK59" s="3192">
        <f t="shared" ref="AK59" si="38">EDATE(AJ59,-1)</f>
        <v>44896</v>
      </c>
      <c r="AL59" s="3192">
        <f t="shared" ref="AL59" si="39">EDATE(AK59,-1)</f>
        <v>44866</v>
      </c>
      <c r="AM59" s="3192">
        <f t="shared" ref="AM59" si="40">EDATE(AL59,-1)</f>
        <v>44835</v>
      </c>
    </row>
    <row r="60" spans="1:39"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row>
    <row r="61" spans="1:3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3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3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39">
      <c r="A64" s="379" t="s">
        <v>1717</v>
      </c>
      <c r="B64" s="460" t="s">
        <v>1683</v>
      </c>
      <c r="C64" s="461" t="str">
        <f>C9</f>
        <v>研发</v>
      </c>
      <c r="D64" s="3184" t="s">
        <v>21</v>
      </c>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110</v>
      </c>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t="s">
        <v>3622</v>
      </c>
      <c r="D66" s="513" t="s">
        <v>3623</v>
      </c>
      <c r="E66" s="513" t="s">
        <v>3624</v>
      </c>
      <c r="F66" s="513" t="s">
        <v>3625</v>
      </c>
      <c r="G66" s="513" t="s">
        <v>3626</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f t="shared" ref="C67:F67" si="41">D67-3</f>
        <v>88</v>
      </c>
      <c r="D67" s="467">
        <f t="shared" si="41"/>
        <v>91</v>
      </c>
      <c r="E67" s="467">
        <f t="shared" si="41"/>
        <v>94</v>
      </c>
      <c r="F67" s="467">
        <f t="shared" si="41"/>
        <v>97</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42">D69&amp;"（含）"&amp;"-"&amp;E69</f>
        <v>3（含）-</v>
      </c>
      <c r="E68" s="478" t="str">
        <f t="shared" si="42"/>
        <v>（含）-</v>
      </c>
      <c r="F68" s="478" t="str">
        <f t="shared" si="42"/>
        <v>（含）-</v>
      </c>
      <c r="G68" s="478" t="str">
        <f t="shared" si="42"/>
        <v>（含）-</v>
      </c>
      <c r="H68" s="478" t="str">
        <f t="shared" si="42"/>
        <v>（含）-</v>
      </c>
      <c r="I68" s="478" t="str">
        <f t="shared" si="42"/>
        <v>（含）-</v>
      </c>
      <c r="J68" s="478" t="str">
        <f t="shared" si="42"/>
        <v>（含）-</v>
      </c>
      <c r="K68" s="478" t="str">
        <f t="shared" si="42"/>
        <v>（含）-</v>
      </c>
      <c r="L68" s="478" t="str">
        <f t="shared" si="42"/>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43">C70-$K11</f>
        <v>100</v>
      </c>
      <c r="E70" s="475">
        <f t="shared" si="43"/>
        <v>100</v>
      </c>
      <c r="F70" s="475">
        <f t="shared" si="43"/>
        <v>100</v>
      </c>
      <c r="G70" s="475">
        <f t="shared" si="43"/>
        <v>100</v>
      </c>
      <c r="H70" s="475">
        <f t="shared" si="43"/>
        <v>100</v>
      </c>
      <c r="I70" s="475">
        <f t="shared" si="43"/>
        <v>100</v>
      </c>
      <c r="J70" s="475">
        <f t="shared" si="43"/>
        <v>100</v>
      </c>
      <c r="K70" s="475">
        <f t="shared" si="43"/>
        <v>100</v>
      </c>
      <c r="L70" s="475">
        <f t="shared" si="43"/>
        <v>100</v>
      </c>
      <c r="M70" s="476">
        <f t="shared" si="43"/>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建成年代</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t="str">
        <f>B13</f>
        <v>土地剩余年期</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t="s">
        <v>3627</v>
      </c>
      <c r="D87" s="3185" t="s">
        <v>3628</v>
      </c>
      <c r="E87" s="3185" t="s">
        <v>3629</v>
      </c>
      <c r="F87" s="3185" t="s">
        <v>3630</v>
      </c>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44">C88-$K25</f>
        <v>100</v>
      </c>
      <c r="E88" s="475">
        <f t="shared" si="44"/>
        <v>100</v>
      </c>
      <c r="F88" s="475">
        <f t="shared" si="44"/>
        <v>100</v>
      </c>
      <c r="G88" s="475">
        <f t="shared" si="44"/>
        <v>100</v>
      </c>
      <c r="H88" s="475">
        <f t="shared" si="44"/>
        <v>100</v>
      </c>
      <c r="I88" s="475">
        <f t="shared" si="44"/>
        <v>100</v>
      </c>
      <c r="J88" s="475">
        <f t="shared" si="44"/>
        <v>100</v>
      </c>
      <c r="K88" s="475">
        <f t="shared" si="44"/>
        <v>100</v>
      </c>
      <c r="L88" s="475">
        <f t="shared" si="44"/>
        <v>100</v>
      </c>
      <c r="M88" s="475">
        <f t="shared" si="44"/>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45">D90-$K27</f>
        <v>100</v>
      </c>
      <c r="F90" s="475">
        <f t="shared" si="45"/>
        <v>100</v>
      </c>
      <c r="G90" s="475">
        <f t="shared" si="45"/>
        <v>100</v>
      </c>
      <c r="H90" s="475">
        <f t="shared" si="45"/>
        <v>100</v>
      </c>
      <c r="I90" s="475">
        <f t="shared" si="45"/>
        <v>100</v>
      </c>
      <c r="J90" s="475">
        <f t="shared" si="45"/>
        <v>100</v>
      </c>
      <c r="K90" s="475">
        <f t="shared" si="45"/>
        <v>100</v>
      </c>
      <c r="L90" s="475">
        <f t="shared" si="45"/>
        <v>100</v>
      </c>
      <c r="M90" s="475">
        <f t="shared" si="45"/>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46">C92-$K28</f>
        <v>100</v>
      </c>
      <c r="E92" s="475">
        <f t="shared" si="46"/>
        <v>100</v>
      </c>
      <c r="F92" s="475">
        <f t="shared" si="46"/>
        <v>100</v>
      </c>
      <c r="G92" s="475">
        <f t="shared" si="46"/>
        <v>100</v>
      </c>
      <c r="H92" s="475">
        <f t="shared" si="46"/>
        <v>100</v>
      </c>
      <c r="I92" s="475">
        <f t="shared" si="46"/>
        <v>100</v>
      </c>
      <c r="J92" s="475">
        <f t="shared" si="46"/>
        <v>100</v>
      </c>
      <c r="K92" s="475">
        <f t="shared" si="46"/>
        <v>100</v>
      </c>
      <c r="L92" s="475">
        <f t="shared" si="46"/>
        <v>100</v>
      </c>
      <c r="M92" s="475">
        <f t="shared" si="46"/>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3184" t="s">
        <v>3631</v>
      </c>
      <c r="D101" s="3184" t="s">
        <v>3632</v>
      </c>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47">C102-$K33</f>
        <v>98</v>
      </c>
      <c r="E102" s="475">
        <f t="shared" si="47"/>
        <v>96</v>
      </c>
      <c r="F102" s="475">
        <f t="shared" si="47"/>
        <v>94</v>
      </c>
      <c r="G102" s="475">
        <f t="shared" si="47"/>
        <v>92</v>
      </c>
      <c r="H102" s="475">
        <f t="shared" si="47"/>
        <v>90</v>
      </c>
      <c r="I102" s="475">
        <f t="shared" si="47"/>
        <v>88</v>
      </c>
      <c r="J102" s="475">
        <f t="shared" si="47"/>
        <v>86</v>
      </c>
      <c r="K102" s="475">
        <f t="shared" si="47"/>
        <v>84</v>
      </c>
      <c r="L102" s="475">
        <f t="shared" si="47"/>
        <v>82</v>
      </c>
      <c r="M102" s="476">
        <f t="shared" si="47"/>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1735</v>
      </c>
      <c r="C103" s="509" t="str">
        <f>C104&amp;"(含)"&amp;"-"&amp;D104</f>
        <v>0(含)-5000</v>
      </c>
      <c r="D103" s="509" t="str">
        <f t="shared" ref="D103:L103" si="48">D104&amp;"(含)"&amp;"-"&amp;E104</f>
        <v>5000(含)-10000</v>
      </c>
      <c r="E103" s="509" t="str">
        <f t="shared" si="48"/>
        <v>10000(含)-30000</v>
      </c>
      <c r="F103" s="509" t="str">
        <f t="shared" si="48"/>
        <v>30000(含)-80000</v>
      </c>
      <c r="G103" s="509" t="str">
        <f t="shared" si="48"/>
        <v>80000(含)-150000</v>
      </c>
      <c r="H103" s="509" t="str">
        <f t="shared" si="48"/>
        <v>150000(含)-</v>
      </c>
      <c r="I103" s="509" t="str">
        <f t="shared" si="48"/>
        <v>(含)-</v>
      </c>
      <c r="J103" s="509" t="str">
        <f t="shared" si="48"/>
        <v>(含)-</v>
      </c>
      <c r="K103" s="509" t="str">
        <f t="shared" si="48"/>
        <v>(含)-</v>
      </c>
      <c r="L103" s="509" t="str">
        <f t="shared" si="48"/>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5000</v>
      </c>
      <c r="E104" s="6">
        <v>10000</v>
      </c>
      <c r="F104" s="6">
        <v>30000</v>
      </c>
      <c r="G104" s="6">
        <v>80000</v>
      </c>
      <c r="H104" s="6">
        <v>150000</v>
      </c>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C105-2</f>
        <v>98</v>
      </c>
      <c r="E105" s="467">
        <f t="shared" ref="E105:H105" si="49">D105-2</f>
        <v>96</v>
      </c>
      <c r="F105" s="467">
        <f t="shared" si="49"/>
        <v>94</v>
      </c>
      <c r="G105" s="467">
        <f t="shared" si="49"/>
        <v>92</v>
      </c>
      <c r="H105" s="467">
        <f t="shared" si="49"/>
        <v>90</v>
      </c>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3185" t="s">
        <v>3455</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50">C107-$K35</f>
        <v>98</v>
      </c>
      <c r="E107" s="475">
        <f t="shared" si="50"/>
        <v>96</v>
      </c>
      <c r="F107" s="475">
        <f t="shared" si="50"/>
        <v>94</v>
      </c>
      <c r="G107" s="475">
        <f t="shared" si="50"/>
        <v>92</v>
      </c>
      <c r="H107" s="475">
        <f t="shared" si="50"/>
        <v>90</v>
      </c>
      <c r="I107" s="475">
        <f t="shared" si="50"/>
        <v>88</v>
      </c>
      <c r="J107" s="475">
        <f t="shared" si="50"/>
        <v>86</v>
      </c>
      <c r="K107" s="475">
        <f t="shared" si="50"/>
        <v>84</v>
      </c>
      <c r="L107" s="475">
        <f t="shared" si="50"/>
        <v>82</v>
      </c>
      <c r="M107" s="476">
        <f t="shared" si="50"/>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3185" t="s">
        <v>3633</v>
      </c>
      <c r="D108" s="3185" t="s">
        <v>3634</v>
      </c>
      <c r="E108" s="3185" t="s">
        <v>3635</v>
      </c>
      <c r="F108" s="3186" t="s">
        <v>3636</v>
      </c>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51">C109-$K36</f>
        <v>99</v>
      </c>
      <c r="E109" s="475">
        <f t="shared" si="51"/>
        <v>98</v>
      </c>
      <c r="F109" s="475">
        <f t="shared" si="51"/>
        <v>97</v>
      </c>
      <c r="G109" s="475">
        <f t="shared" si="51"/>
        <v>96</v>
      </c>
      <c r="H109" s="475">
        <f t="shared" si="51"/>
        <v>95</v>
      </c>
      <c r="I109" s="475">
        <f t="shared" si="51"/>
        <v>94</v>
      </c>
      <c r="J109" s="475">
        <f t="shared" si="51"/>
        <v>93</v>
      </c>
      <c r="K109" s="475">
        <f t="shared" si="51"/>
        <v>92</v>
      </c>
      <c r="L109" s="475">
        <f t="shared" si="51"/>
        <v>91</v>
      </c>
      <c r="M109" s="476">
        <f t="shared" si="51"/>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52">D112+$K37</f>
        <v>102</v>
      </c>
      <c r="F112" s="475">
        <f t="shared" si="52"/>
        <v>103</v>
      </c>
      <c r="G112" s="475">
        <f t="shared" si="52"/>
        <v>104</v>
      </c>
      <c r="H112" s="475">
        <f t="shared" si="52"/>
        <v>105</v>
      </c>
      <c r="I112" s="475">
        <f t="shared" si="52"/>
        <v>106</v>
      </c>
      <c r="J112" s="475">
        <f t="shared" si="52"/>
        <v>107</v>
      </c>
      <c r="K112" s="475">
        <f t="shared" si="52"/>
        <v>108</v>
      </c>
      <c r="L112" s="475">
        <f t="shared" si="52"/>
        <v>109</v>
      </c>
      <c r="M112" s="475">
        <f t="shared" si="52"/>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3185" t="s">
        <v>3699</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99</v>
      </c>
      <c r="E114" s="475">
        <f t="shared" ref="E114:M114" si="53">D114-$K38</f>
        <v>98</v>
      </c>
      <c r="F114" s="475">
        <f t="shared" si="53"/>
        <v>97</v>
      </c>
      <c r="G114" s="475">
        <f t="shared" si="53"/>
        <v>96</v>
      </c>
      <c r="H114" s="475">
        <f t="shared" si="53"/>
        <v>95</v>
      </c>
      <c r="I114" s="475">
        <f t="shared" si="53"/>
        <v>94</v>
      </c>
      <c r="J114" s="475">
        <f t="shared" si="53"/>
        <v>93</v>
      </c>
      <c r="K114" s="475">
        <f t="shared" si="53"/>
        <v>92</v>
      </c>
      <c r="L114" s="475">
        <f t="shared" si="53"/>
        <v>91</v>
      </c>
      <c r="M114" s="475">
        <f t="shared" si="53"/>
        <v>90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3185" t="s">
        <v>3637</v>
      </c>
      <c r="D115" s="3185" t="s">
        <v>3638</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54">C116-$K39</f>
        <v>99</v>
      </c>
      <c r="E116" s="475">
        <f t="shared" si="54"/>
        <v>98</v>
      </c>
      <c r="F116" s="475">
        <f t="shared" si="54"/>
        <v>97</v>
      </c>
      <c r="G116" s="475">
        <f t="shared" si="54"/>
        <v>96</v>
      </c>
      <c r="H116" s="475">
        <f t="shared" si="54"/>
        <v>95</v>
      </c>
      <c r="I116" s="475">
        <f t="shared" si="54"/>
        <v>94</v>
      </c>
      <c r="J116" s="475">
        <f t="shared" si="54"/>
        <v>93</v>
      </c>
      <c r="K116" s="475">
        <f t="shared" si="54"/>
        <v>92</v>
      </c>
      <c r="L116" s="475">
        <f t="shared" si="54"/>
        <v>91</v>
      </c>
      <c r="M116" s="476">
        <f t="shared" si="54"/>
        <v>90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3185" t="s">
        <v>3639</v>
      </c>
      <c r="D117" s="3185" t="s">
        <v>3640</v>
      </c>
      <c r="E117" s="3185" t="s">
        <v>3641</v>
      </c>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3186" t="s">
        <v>3642</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99</v>
      </c>
      <c r="E120" s="475">
        <f t="shared" ref="E120:M120" si="55">D120-$K41</f>
        <v>98</v>
      </c>
      <c r="F120" s="475">
        <f t="shared" si="55"/>
        <v>97</v>
      </c>
      <c r="G120" s="475">
        <f t="shared" si="55"/>
        <v>96</v>
      </c>
      <c r="H120" s="475">
        <f t="shared" si="55"/>
        <v>95</v>
      </c>
      <c r="I120" s="475">
        <f t="shared" si="55"/>
        <v>94</v>
      </c>
      <c r="J120" s="475">
        <f t="shared" si="55"/>
        <v>93</v>
      </c>
      <c r="K120" s="475">
        <f t="shared" si="55"/>
        <v>92</v>
      </c>
      <c r="L120" s="475">
        <f t="shared" si="55"/>
        <v>91</v>
      </c>
      <c r="M120" s="475">
        <f t="shared" si="55"/>
        <v>90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3185" t="s">
        <v>3633</v>
      </c>
      <c r="D123" s="3185" t="s">
        <v>3634</v>
      </c>
      <c r="E123" s="3185" t="s">
        <v>3635</v>
      </c>
      <c r="F123" s="3186" t="s">
        <v>3636</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56">C124-$K43</f>
        <v>98</v>
      </c>
      <c r="E124" s="475">
        <f t="shared" si="56"/>
        <v>96</v>
      </c>
      <c r="F124" s="475">
        <f t="shared" si="56"/>
        <v>94</v>
      </c>
      <c r="G124" s="475">
        <f t="shared" si="56"/>
        <v>92</v>
      </c>
      <c r="H124" s="475">
        <f t="shared" si="56"/>
        <v>90</v>
      </c>
      <c r="I124" s="475">
        <f t="shared" si="56"/>
        <v>88</v>
      </c>
      <c r="J124" s="475">
        <f t="shared" si="56"/>
        <v>86</v>
      </c>
      <c r="K124" s="475">
        <f t="shared" si="56"/>
        <v>84</v>
      </c>
      <c r="L124" s="475">
        <f t="shared" si="56"/>
        <v>82</v>
      </c>
      <c r="M124" s="476">
        <f t="shared" si="56"/>
        <v>80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28.5" thickTop="1">
      <c r="A127" s="406"/>
      <c r="B127" s="469" t="str">
        <f>B45</f>
        <v>地下占比</v>
      </c>
      <c r="C127" s="485" t="s">
        <v>3643</v>
      </c>
      <c r="D127" s="485" t="s">
        <v>3644</v>
      </c>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v>100</v>
      </c>
      <c r="D128" s="467">
        <v>100</v>
      </c>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t="s">
        <v>3512</v>
      </c>
      <c r="D1" s="1271" t="s">
        <v>43</v>
      </c>
      <c r="E1" s="1272" t="s">
        <v>676</v>
      </c>
      <c r="F1" s="999">
        <f ca="1">J53</f>
        <v>39.81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f ca="1">C40+J29+L46</f>
        <v>208585</v>
      </c>
      <c r="C2" s="1289" t="s">
        <v>803</v>
      </c>
      <c r="D2" s="1289"/>
      <c r="E2" s="1295"/>
      <c r="F2" s="1296"/>
      <c r="G2" s="2479"/>
      <c r="H2" s="2469"/>
      <c r="I2" s="2469"/>
      <c r="J2" s="2469"/>
      <c r="K2" s="2470"/>
      <c r="L2" s="2469"/>
      <c r="M2" s="2469"/>
    </row>
    <row r="3" spans="1:37" ht="18" customHeight="1" thickBot="1">
      <c r="A3" s="1297" t="s">
        <v>804</v>
      </c>
      <c r="B3" s="1298">
        <f ca="1">IF(ISERROR(B2*10000/F43),0,ROUND(B2*10000/F43,0))</f>
        <v>24485</v>
      </c>
      <c r="C3" s="1289" t="s">
        <v>805</v>
      </c>
      <c r="D3" s="1289"/>
      <c r="E3" s="1295"/>
      <c r="F3" s="1296"/>
      <c r="G3" s="2479"/>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10025</v>
      </c>
      <c r="D5" s="1273" t="s">
        <v>691</v>
      </c>
      <c r="E5" s="1008"/>
      <c r="F5" s="1009"/>
      <c r="G5" s="1292"/>
      <c r="H5" s="291">
        <v>1</v>
      </c>
      <c r="I5" s="292" t="s">
        <v>690</v>
      </c>
      <c r="J5" s="1007">
        <f ca="1">J6+J10+J12</f>
        <v>13433</v>
      </c>
      <c r="K5" s="1273" t="s">
        <v>691</v>
      </c>
      <c r="L5" s="1008"/>
      <c r="M5" s="1009"/>
    </row>
    <row r="6" spans="1:37" ht="18" customHeight="1">
      <c r="A6" s="1006" t="s">
        <v>398</v>
      </c>
      <c r="B6" s="3436" t="s">
        <v>692</v>
      </c>
      <c r="C6" s="1011">
        <f ca="1">ROUND(F6*F8*F7*(1-F9)/10000,0)</f>
        <v>10012</v>
      </c>
      <c r="D6" s="147" t="s">
        <v>2107</v>
      </c>
      <c r="E6" s="294" t="s">
        <v>694</v>
      </c>
      <c r="F6" s="295">
        <f ca="1">INDIRECT("'数据-取费表'!u"&amp;$G$1)</f>
        <v>3.22</v>
      </c>
      <c r="G6" s="1292"/>
      <c r="H6" s="1006" t="s">
        <v>398</v>
      </c>
      <c r="I6" s="3436" t="s">
        <v>692</v>
      </c>
      <c r="J6" s="293">
        <f ca="1">ROUND(M6*M8*M7*(1-M9)/10000,0)</f>
        <v>13433</v>
      </c>
      <c r="K6" s="147" t="s">
        <v>2106</v>
      </c>
      <c r="L6" s="294" t="s">
        <v>694</v>
      </c>
      <c r="M6" s="295">
        <f ca="1">INDIRECT("'数据-取费表'!z"&amp;$G$1)</f>
        <v>4.8</v>
      </c>
    </row>
    <row r="7" spans="1:37" ht="18" customHeight="1">
      <c r="A7" s="1010"/>
      <c r="B7" s="3437"/>
      <c r="C7" s="1012"/>
      <c r="D7" s="299"/>
      <c r="E7" s="1013" t="s">
        <v>695</v>
      </c>
      <c r="F7" s="295">
        <f ca="1">IF(INDIRECT("'数据-取费表'!ah"&amp;$G$1)="",INDIRECT("'数据-取费表'!k"&amp;$G$1),INDIRECT("'数据-取费表'!ah"&amp;$G$1))</f>
        <v>85190.51999999999</v>
      </c>
      <c r="G7" s="1292"/>
      <c r="H7" s="296"/>
      <c r="I7" s="3437"/>
      <c r="J7" s="298"/>
      <c r="K7" s="299"/>
      <c r="L7" s="294" t="s">
        <v>695</v>
      </c>
      <c r="M7" s="295">
        <f ca="1">F7</f>
        <v>85190.51999999999</v>
      </c>
    </row>
    <row r="8" spans="1:37" ht="18" customHeight="1">
      <c r="A8" s="296"/>
      <c r="B8" s="3437"/>
      <c r="C8" s="298"/>
      <c r="D8" s="299"/>
      <c r="E8" s="294" t="s">
        <v>696</v>
      </c>
      <c r="F8" s="295">
        <f ca="1">INDIRECT("'数据-取费表'!ai"&amp;$G$1)</f>
        <v>365</v>
      </c>
      <c r="G8" s="1292"/>
      <c r="H8" s="296"/>
      <c r="I8" s="3437"/>
      <c r="J8" s="298"/>
      <c r="K8" s="299"/>
      <c r="L8" s="294" t="s">
        <v>696</v>
      </c>
      <c r="M8" s="295">
        <f ca="1">INDIRECT("'数据-取费表'!ai"&amp;$G$1)</f>
        <v>365</v>
      </c>
    </row>
    <row r="9" spans="1:37" ht="18" customHeight="1">
      <c r="A9" s="296"/>
      <c r="B9" s="3438"/>
      <c r="C9" s="298"/>
      <c r="D9" s="299"/>
      <c r="E9" s="294" t="s">
        <v>697</v>
      </c>
      <c r="F9" s="304">
        <f ca="1">INDIRECT("'数据-取费表'!w"&amp;$G$1)</f>
        <v>0</v>
      </c>
      <c r="G9" s="1292"/>
      <c r="H9" s="296"/>
      <c r="I9" s="3438"/>
      <c r="J9" s="298"/>
      <c r="K9" s="299"/>
      <c r="L9" s="305" t="s">
        <v>697</v>
      </c>
      <c r="M9" s="306">
        <f ca="1">INDIRECT("'数据-取费表'!ab"&amp;$G$1)</f>
        <v>0.1</v>
      </c>
    </row>
    <row r="10" spans="1:37" ht="18" customHeight="1">
      <c r="A10" s="1006" t="s">
        <v>402</v>
      </c>
      <c r="B10" s="1274" t="s">
        <v>698</v>
      </c>
      <c r="C10" s="308">
        <f ca="1">ROUND(IF(F10="押一",C6/12*F11,IF(F10="押二",C6/12*2*F11,IF(F10="押三",C6/12*3*F11,C11*F11))),0)</f>
        <v>13</v>
      </c>
      <c r="D10" s="150" t="s">
        <v>2115</v>
      </c>
      <c r="E10" s="305" t="s">
        <v>699</v>
      </c>
      <c r="F10" s="1053" t="s">
        <v>3513</v>
      </c>
      <c r="G10" s="1292"/>
      <c r="H10" s="1006" t="s">
        <v>402</v>
      </c>
      <c r="I10" s="1274" t="s">
        <v>698</v>
      </c>
      <c r="J10" s="293">
        <f ca="1">ROUND(IF(M10="押一",J6/12*M11,IF(M10="押二",J6/12*2*M11,IF(M10="押三",J6/12*3*M11,J11*M11))),0)</f>
        <v>0</v>
      </c>
      <c r="K10" s="150" t="s">
        <v>2114</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90764</v>
      </c>
      <c r="D13" s="1018" t="s">
        <v>703</v>
      </c>
      <c r="E13" s="1018" t="s">
        <v>704</v>
      </c>
      <c r="F13" s="1019">
        <f ca="1">INDIRECT("'数据-取费表'!y"&amp;$G$1)</f>
        <v>0.95</v>
      </c>
      <c r="G13" s="1292"/>
      <c r="H13" s="1016">
        <v>2</v>
      </c>
      <c r="I13" s="1017" t="s">
        <v>702</v>
      </c>
      <c r="J13" s="1005">
        <f ca="1">ROUND(J14*J15,0)</f>
        <v>85987</v>
      </c>
      <c r="K13" s="1024" t="s">
        <v>703</v>
      </c>
      <c r="L13" s="1299"/>
      <c r="M13" s="1300"/>
    </row>
    <row r="14" spans="1:37" ht="18" customHeight="1">
      <c r="A14" s="928" t="s">
        <v>397</v>
      </c>
      <c r="B14" s="294" t="s">
        <v>705</v>
      </c>
      <c r="C14" s="310">
        <f ca="1">INDIRECT("'数据-取费表'!m"&amp;$G$1)+INDIRECT("'数据-取费表'!t"&amp;$G$1)</f>
        <v>59685</v>
      </c>
      <c r="D14" s="1257" t="s">
        <v>706</v>
      </c>
      <c r="E14" s="1255"/>
      <c r="F14" s="311"/>
      <c r="G14" s="1292"/>
      <c r="H14" s="928" t="s">
        <v>398</v>
      </c>
      <c r="I14" s="294" t="s">
        <v>707</v>
      </c>
      <c r="J14" s="21">
        <f ca="1">C29</f>
        <v>95541</v>
      </c>
      <c r="K14" s="12"/>
      <c r="L14" s="759"/>
      <c r="M14" s="760"/>
    </row>
    <row r="15" spans="1:37" s="1304" customFormat="1" ht="18" customHeight="1" thickBot="1">
      <c r="A15" s="928" t="s">
        <v>399</v>
      </c>
      <c r="B15" s="294" t="s">
        <v>708</v>
      </c>
      <c r="C15" s="21">
        <f ca="1">ROUND(C14*F15,0)</f>
        <v>4775</v>
      </c>
      <c r="D15" s="312" t="s">
        <v>709</v>
      </c>
      <c r="E15" s="312" t="s">
        <v>710</v>
      </c>
      <c r="F15" s="313">
        <f>'数据-取费表'!B33</f>
        <v>0.08</v>
      </c>
      <c r="G15" s="1303"/>
      <c r="H15" s="1026" t="s">
        <v>402</v>
      </c>
      <c r="I15" s="1027" t="s">
        <v>704</v>
      </c>
      <c r="J15" s="1036">
        <f ca="1">INDIRECT("'数据-取费表'!ad"&amp;$G$1)</f>
        <v>0.9</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2669</v>
      </c>
      <c r="K16" s="1024" t="s">
        <v>713</v>
      </c>
      <c r="L16" s="1025"/>
      <c r="M16" s="1009"/>
    </row>
    <row r="17" spans="1:37" s="1304" customFormat="1" ht="18" customHeight="1">
      <c r="A17" s="928" t="s">
        <v>679</v>
      </c>
      <c r="B17" s="294" t="s">
        <v>714</v>
      </c>
      <c r="C17" s="21">
        <f ca="1">ROUND(F17*(F43+INDIRECT("'数据-取费表'!S"&amp;$G$1))/10000,0)</f>
        <v>1861</v>
      </c>
      <c r="D17" s="294" t="s">
        <v>715</v>
      </c>
      <c r="E17" s="294" t="s">
        <v>716</v>
      </c>
      <c r="F17" s="23">
        <f>'数据-取费表'!B35</f>
        <v>200</v>
      </c>
      <c r="G17" s="1303"/>
      <c r="H17" s="928" t="s">
        <v>398</v>
      </c>
      <c r="I17" s="294" t="s">
        <v>717</v>
      </c>
      <c r="J17" s="2140">
        <f ca="1">ROUND(IF(AND(项目基本情况!B11="自然人",项目基本情况!B10="北京市"),J6*M17/(1+'数据-取费表'!C42),J18+J19+J20),2)</f>
        <v>2257.63</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1194</v>
      </c>
      <c r="D18" s="294" t="s">
        <v>709</v>
      </c>
      <c r="E18" s="294" t="s">
        <v>710</v>
      </c>
      <c r="F18" s="314">
        <f>'数据-取费表'!B36</f>
        <v>0.02</v>
      </c>
      <c r="G18" s="1303"/>
      <c r="H18" s="928" t="s">
        <v>397</v>
      </c>
      <c r="I18" s="294" t="s">
        <v>721</v>
      </c>
      <c r="J18" s="21">
        <f ca="1">ROUND(J6*M18/(1+'数据-取费表'!C42),2)</f>
        <v>716.43</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67515</v>
      </c>
      <c r="D19" s="123" t="s">
        <v>724</v>
      </c>
      <c r="E19" s="1269"/>
      <c r="F19" s="23"/>
      <c r="G19" s="1292"/>
      <c r="H19" s="928" t="s">
        <v>399</v>
      </c>
      <c r="I19" s="294" t="s">
        <v>725</v>
      </c>
      <c r="J19" s="21">
        <f ca="1">IF(K19="按租金收入计税",ROUND(J6*M19/(1+'数据-取费表'!C42),2),ROUND(C29*M19*0.7,2))</f>
        <v>1535.2</v>
      </c>
      <c r="K19" s="1278" t="s">
        <v>3323</v>
      </c>
      <c r="L19" s="294" t="s">
        <v>710</v>
      </c>
      <c r="M19" s="314">
        <f>IF(K19="按租金收入计税",'数据-取费表'!B51,'数据-取费表'!B50)</f>
        <v>0.12</v>
      </c>
    </row>
    <row r="20" spans="1:37" s="1304" customFormat="1" ht="18" customHeight="1">
      <c r="A20" s="928" t="s">
        <v>402</v>
      </c>
      <c r="B20" s="294" t="s">
        <v>726</v>
      </c>
      <c r="C20" s="21">
        <f ca="1">ROUND(C19*F20,0)</f>
        <v>2025</v>
      </c>
      <c r="D20" s="315" t="s">
        <v>727</v>
      </c>
      <c r="E20" s="294" t="s">
        <v>710</v>
      </c>
      <c r="F20" s="314">
        <f>'数据-取费表'!B37</f>
        <v>0.03</v>
      </c>
      <c r="G20" s="1303"/>
      <c r="H20" s="928" t="s">
        <v>678</v>
      </c>
      <c r="I20" s="147" t="s">
        <v>728</v>
      </c>
      <c r="J20" s="22">
        <f ca="1">ROUND(M20*M21/10000,2)</f>
        <v>6</v>
      </c>
      <c r="K20" s="316" t="s">
        <v>729</v>
      </c>
      <c r="L20" s="294" t="s">
        <v>730</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0.03</v>
      </c>
      <c r="G21" s="1303"/>
      <c r="H21" s="318"/>
      <c r="I21" s="303"/>
      <c r="J21" s="26"/>
      <c r="K21" s="319"/>
      <c r="L21" s="294" t="s">
        <v>734</v>
      </c>
      <c r="M21" s="295">
        <f ca="1">INDIRECT("'数据-取费表'!r"&amp;$G$1)</f>
        <v>19987.5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191.08</v>
      </c>
      <c r="K22" s="1256" t="s">
        <v>737</v>
      </c>
      <c r="L22" s="294" t="s">
        <v>710</v>
      </c>
      <c r="M22" s="320">
        <f ca="1">INDIRECT("'数据-取费表'!Ak"&amp;$G$1)</f>
        <v>2E-3</v>
      </c>
    </row>
    <row r="23" spans="1:37" s="1304" customFormat="1" ht="18" customHeight="1">
      <c r="A23" s="928" t="s">
        <v>397</v>
      </c>
      <c r="B23" s="294" t="s">
        <v>738</v>
      </c>
      <c r="C23" s="21">
        <f ca="1">IF('数据-取费表'!B22&lt;=1,ROUND(C19*F24*F23/2,0)+ROUND(C20*F24*F23/2,0),ROUND(C19*(POWER((1+F24),F23/2)-1),0)+ROUND(C20*(POWER((1+F24),F23/2)-1),0))</f>
        <v>3418</v>
      </c>
      <c r="D23" s="138" t="str">
        <f>IF(F23&lt;=1,"(建造成本+管理费用)×利率×(建设周期÷2)","(建造成本+管理费用)×((1+利率)^(建设周期÷2)-1)")</f>
        <v>(建造成本+管理费用)×((1+利率)^(建设周期÷2)-1)</v>
      </c>
      <c r="E23" s="294" t="s">
        <v>739</v>
      </c>
      <c r="F23" s="317">
        <f>'数据-取费表'!B20</f>
        <v>3</v>
      </c>
      <c r="G23" s="1303"/>
      <c r="H23" s="928" t="s">
        <v>437</v>
      </c>
      <c r="I23" s="294" t="s">
        <v>740</v>
      </c>
      <c r="J23" s="21">
        <f ca="1">ROUND(J13*M23,2)</f>
        <v>85.99</v>
      </c>
      <c r="K23" s="1256" t="s">
        <v>741</v>
      </c>
      <c r="L23" s="294" t="s">
        <v>742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1.5E-3</v>
      </c>
      <c r="D24" s="138" t="str">
        <f>IF(F23&lt;=1,"销售费用×利率×(建设周期÷2)","销售费用×((1+利率)^(建设周期÷2)-1)")</f>
        <v>销售费用×((1+利率)^(建设周期÷2)-1)</v>
      </c>
      <c r="E24" s="294" t="s">
        <v>745</v>
      </c>
      <c r="F24" s="322">
        <f ca="1">'数据-取费表'!B40</f>
        <v>3.2500000000000001E-2</v>
      </c>
      <c r="G24" s="1303"/>
      <c r="H24" s="1026" t="s">
        <v>682</v>
      </c>
      <c r="I24" s="1027" t="s">
        <v>726</v>
      </c>
      <c r="J24" s="1028">
        <f ca="1">ROUND(J5*M24,2)</f>
        <v>134.33000000000001</v>
      </c>
      <c r="K24" s="1029" t="s">
        <v>746</v>
      </c>
      <c r="L24" s="1027" t="s">
        <v>742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10764</v>
      </c>
      <c r="K25" s="1032" t="s">
        <v>751</v>
      </c>
      <c r="L25" s="1033"/>
      <c r="M25" s="1034"/>
    </row>
    <row r="26" spans="1:37">
      <c r="A26" s="928" t="s">
        <v>397</v>
      </c>
      <c r="B26" s="294" t="s">
        <v>752</v>
      </c>
      <c r="C26" s="21">
        <f ca="1">ROUND((C19+C20)*F26,0)</f>
        <v>13908</v>
      </c>
      <c r="D26" s="315" t="s">
        <v>753</v>
      </c>
      <c r="E26" s="305" t="s">
        <v>754</v>
      </c>
      <c r="F26" s="304">
        <f ca="1">INDIRECT("'数据-取费表'!q"&amp;$G$1)</f>
        <v>0.2</v>
      </c>
      <c r="G26" s="1292"/>
      <c r="H26" s="291" t="s">
        <v>395</v>
      </c>
      <c r="I26" s="292" t="s">
        <v>755</v>
      </c>
      <c r="J26" s="293">
        <f ca="1">IF(J5&lt;&gt;0,ROUND(J25*(1-((1+M28)/(1+M26))^M27)/(M26-M28),0),0)</f>
        <v>218052</v>
      </c>
      <c r="K26" s="316" t="s">
        <v>756</v>
      </c>
      <c r="L26" s="294" t="s">
        <v>757</v>
      </c>
      <c r="M26" s="304">
        <f ca="1">INDIRECT("'数据-取费表'!I"&amp;$G$1)</f>
        <v>5.5E-2</v>
      </c>
    </row>
    <row r="27" spans="1:37" ht="18" customHeight="1">
      <c r="A27" s="928" t="s">
        <v>399</v>
      </c>
      <c r="B27" s="294" t="s">
        <v>758</v>
      </c>
      <c r="C27" s="21">
        <f ca="1">ROUND(F21*F26,4)</f>
        <v>6.0000000000000001E-3</v>
      </c>
      <c r="D27" s="315" t="s">
        <v>759</v>
      </c>
      <c r="E27" s="312"/>
      <c r="F27" s="313"/>
      <c r="G27" s="1292"/>
      <c r="H27" s="296"/>
      <c r="I27" s="297"/>
      <c r="J27" s="298"/>
      <c r="K27" s="323" t="s">
        <v>760</v>
      </c>
      <c r="L27" s="294" t="s">
        <v>761</v>
      </c>
      <c r="M27" s="324">
        <f ca="1">INDIRECT("'数据-取费表'!ag"&amp;$G$1)</f>
        <v>36.590000000000003</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95541</v>
      </c>
      <c r="D29" s="1029"/>
      <c r="E29" s="1027"/>
      <c r="F29" s="1030"/>
      <c r="G29" s="1303"/>
      <c r="H29" s="325" t="s">
        <v>396</v>
      </c>
      <c r="I29" s="326" t="s">
        <v>766</v>
      </c>
      <c r="J29" s="327">
        <f ca="1">ROUND(J26/(1+F40)^F41,0)</f>
        <v>183522</v>
      </c>
      <c r="K29" s="328" t="s">
        <v>767</v>
      </c>
      <c r="L29" s="329"/>
      <c r="M29" s="330">
        <f ca="1">INDIRECT("'数据-取费表'!k"&amp;$G$1)</f>
        <v>85190.51999999999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2066</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ROUND(IF(AND(项目基本情况!B11="自然人",项目基本情况!B10="北京市"),C6*F31/(1+'数据-取费表'!C42),C32+C33+C34),2)</f>
        <v>1684.2</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IF(项目基本情况!B11="自然人","——",ROUND(C6*F32/(1+'数据-取费表'!C42),2))</f>
        <v>533.97</v>
      </c>
      <c r="D32" s="1256" t="s">
        <v>722</v>
      </c>
      <c r="E32" s="294" t="s">
        <v>710</v>
      </c>
      <c r="F32" s="322">
        <f>'数据-取费表'!B41</f>
        <v>5.6000000000000001E-2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IF(项目基本情况!B11="自然人","——",IF(D33="按租金收入计税",ROUND(C6*F33/(1+'数据-取费表'!C42),2),IF(D33="按房产原值计税",ROUND(C29*F33*0.7,2),INDIRECT("'数据-取费表'!Aj"&amp;$G$1))))</f>
        <v>1144.23</v>
      </c>
      <c r="D33" s="1278" t="s">
        <v>3323</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IF(项目基本情况!B11="自然人","——",ROUND(F34*F35/10000,2))</f>
        <v>6</v>
      </c>
      <c r="D34" s="316" t="s">
        <v>729</v>
      </c>
      <c r="E34" s="294" t="s">
        <v>730</v>
      </c>
      <c r="F34" s="317">
        <f>'数据-取费表'!B52</f>
        <v>3</v>
      </c>
      <c r="G34" s="1292"/>
      <c r="H34" s="2471"/>
      <c r="I34" s="1305"/>
      <c r="J34" s="1306"/>
      <c r="K34" s="2476"/>
      <c r="L34" s="2477"/>
      <c r="M34" s="2477"/>
    </row>
    <row r="35" spans="1:18" ht="18" customHeight="1">
      <c r="A35" s="1040"/>
      <c r="B35" s="1038"/>
      <c r="C35" s="26"/>
      <c r="D35" s="319"/>
      <c r="E35" s="294" t="s">
        <v>734</v>
      </c>
      <c r="F35" s="295">
        <f ca="1">INDIRECT("'数据-取费表'!r"&amp;$G$1)</f>
        <v>19987.5</v>
      </c>
      <c r="G35" s="1292"/>
      <c r="H35" s="2471"/>
      <c r="I35" s="1305"/>
      <c r="J35" s="1306"/>
      <c r="K35" s="2475"/>
      <c r="L35" s="2474"/>
      <c r="M35" s="2474"/>
    </row>
    <row r="36" spans="1:18" ht="18" customHeight="1">
      <c r="A36" s="1039" t="s">
        <v>402</v>
      </c>
      <c r="B36" s="294" t="s">
        <v>736</v>
      </c>
      <c r="C36" s="21">
        <f ca="1">ROUND(C29*F36,2)</f>
        <v>191.08</v>
      </c>
      <c r="D36" s="1256" t="s">
        <v>769</v>
      </c>
      <c r="E36" s="294" t="s">
        <v>710</v>
      </c>
      <c r="F36" s="320">
        <f ca="1">INDIRECT("'数据-取费表'!Ak"&amp;$G$1)</f>
        <v>2E-3</v>
      </c>
      <c r="G36" s="1292"/>
      <c r="H36" s="2474"/>
      <c r="I36" s="1305"/>
      <c r="J36" s="1306"/>
      <c r="K36" s="2331"/>
      <c r="L36" s="2474"/>
      <c r="M36" s="2474"/>
    </row>
    <row r="37" spans="1:18" ht="18" customHeight="1">
      <c r="A37" s="928" t="s">
        <v>437</v>
      </c>
      <c r="B37" s="294" t="s">
        <v>740</v>
      </c>
      <c r="C37" s="21">
        <f ca="1">ROUND(C13*F37,2)</f>
        <v>90.76</v>
      </c>
      <c r="D37" s="1256" t="s">
        <v>741</v>
      </c>
      <c r="E37" s="294" t="s">
        <v>742</v>
      </c>
      <c r="F37" s="321">
        <f ca="1">INDIRECT("'数据-取费表'!Al"&amp;$G$1)</f>
        <v>1E-3</v>
      </c>
      <c r="G37" s="1292"/>
      <c r="H37" s="2474"/>
      <c r="I37" s="1305"/>
      <c r="J37" s="1306"/>
      <c r="K37" s="2331"/>
      <c r="L37" s="2474"/>
      <c r="M37" s="2474"/>
    </row>
    <row r="38" spans="1:18" ht="18" customHeight="1" thickBot="1">
      <c r="A38" s="1026" t="s">
        <v>682</v>
      </c>
      <c r="B38" s="1027" t="s">
        <v>726</v>
      </c>
      <c r="C38" s="1028">
        <f ca="1">ROUND(C5*F38,2)</f>
        <v>100.25</v>
      </c>
      <c r="D38" s="1029" t="s">
        <v>746</v>
      </c>
      <c r="E38" s="1027" t="s">
        <v>742</v>
      </c>
      <c r="F38" s="1023">
        <f ca="1">INDIRECT("'数据-取费表'!Am"&amp;$G$1)</f>
        <v>0.01</v>
      </c>
      <c r="G38" s="1292"/>
      <c r="H38" s="2474"/>
      <c r="I38" s="1305"/>
      <c r="J38" s="1306"/>
      <c r="K38" s="2472"/>
      <c r="L38" s="2474"/>
      <c r="M38" s="2474"/>
    </row>
    <row r="39" spans="1:18" ht="24.6" customHeight="1" thickTop="1">
      <c r="A39" s="1016" t="s">
        <v>394</v>
      </c>
      <c r="B39" s="1031" t="s">
        <v>770</v>
      </c>
      <c r="C39" s="302">
        <f ca="1">C5-C30</f>
        <v>7959</v>
      </c>
      <c r="D39" s="1032" t="s">
        <v>771</v>
      </c>
      <c r="E39" s="1033"/>
      <c r="F39" s="1034"/>
      <c r="G39" s="1292"/>
      <c r="H39" s="2474"/>
      <c r="I39" s="1305"/>
      <c r="J39" s="1306"/>
      <c r="K39" s="2472"/>
      <c r="L39" s="2474"/>
      <c r="M39" s="2474"/>
    </row>
    <row r="40" spans="1:18" ht="18" customHeight="1">
      <c r="A40" s="291" t="s">
        <v>395</v>
      </c>
      <c r="B40" s="292" t="s">
        <v>772</v>
      </c>
      <c r="C40" s="293">
        <f ca="1">ROUND(C39*(1-((1+F42)/(1+F40))^F41)/(F40-F42),0)</f>
        <v>22916</v>
      </c>
      <c r="D40" s="316" t="s">
        <v>756</v>
      </c>
      <c r="E40" s="294" t="s">
        <v>757</v>
      </c>
      <c r="F40" s="304">
        <f ca="1">INDIRECT("'数据-取费表'!I"&amp;$G$1)</f>
        <v>5.5E-2</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3.22</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f ca="1">ROUND(C40*10000/F43,0)</f>
        <v>2690</v>
      </c>
      <c r="D43" s="328" t="s">
        <v>775</v>
      </c>
      <c r="E43" s="329" t="s">
        <v>776</v>
      </c>
      <c r="F43" s="330">
        <f ca="1">INDIRECT("'数据-取费表'!k"&amp;$G$1)</f>
        <v>85190.51999999999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806</v>
      </c>
      <c r="P45" s="1366"/>
      <c r="Q45" s="1366"/>
      <c r="R45" s="1366"/>
    </row>
    <row r="46" spans="1:18" s="1292" customFormat="1" ht="13.5" thickBot="1">
      <c r="A46" s="1311" t="s">
        <v>807</v>
      </c>
      <c r="C46" s="1312">
        <f ca="1">C68-C40</f>
        <v>-23745</v>
      </c>
      <c r="D46" s="1313" t="str">
        <f>C2</f>
        <v>万元</v>
      </c>
      <c r="E46" s="1307"/>
      <c r="F46" s="1307"/>
      <c r="I46" s="1314" t="s">
        <v>808</v>
      </c>
      <c r="J46" s="1315"/>
      <c r="K46" s="1316"/>
      <c r="L46" s="1317">
        <f ca="1">IF(M47="住宅",0,IF(L48&gt;J51,L60,J60))</f>
        <v>2147</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t="s">
        <v>3455</v>
      </c>
      <c r="K47" s="1323" t="s">
        <v>814</v>
      </c>
      <c r="L47" s="1324">
        <f ca="1">INDIRECT("'数据-取费表'!d"&amp;$G$1)</f>
        <v>50</v>
      </c>
      <c r="M47" s="1288" t="str">
        <f>IF(ISNUMBER(FIND("住宅",C1)),"住宅","非住宅")</f>
        <v>非住宅</v>
      </c>
      <c r="O47" s="1325" t="s">
        <v>403</v>
      </c>
      <c r="P47" s="1326" t="s">
        <v>815</v>
      </c>
      <c r="Q47" s="1327">
        <f ca="1">C40+J29</f>
        <v>206438</v>
      </c>
      <c r="R47" s="1327" t="s">
        <v>816</v>
      </c>
    </row>
    <row r="48" spans="1:18" s="1292" customFormat="1" ht="28.5" thickBot="1">
      <c r="A48" s="1047" t="s">
        <v>438</v>
      </c>
      <c r="B48" s="292" t="s">
        <v>690</v>
      </c>
      <c r="C48" s="1268">
        <f ca="1">C49+C53+C55</f>
        <v>0</v>
      </c>
      <c r="D48" s="1049"/>
      <c r="E48" s="1050"/>
      <c r="F48" s="908"/>
      <c r="G48" s="681"/>
      <c r="H48" s="682"/>
      <c r="I48" s="1328" t="s">
        <v>817</v>
      </c>
      <c r="J48" s="1329" t="s">
        <v>3514</v>
      </c>
      <c r="K48" s="1330" t="s">
        <v>818</v>
      </c>
      <c r="L48" s="1331">
        <f ca="1">INDIRECT("'数据-取费表'!f"&amp;$G$1)</f>
        <v>39.81</v>
      </c>
      <c r="O48" s="1325" t="s">
        <v>404</v>
      </c>
      <c r="P48" s="1326" t="s">
        <v>819</v>
      </c>
      <c r="Q48" s="1327">
        <f ca="1">J60</f>
        <v>2147</v>
      </c>
      <c r="R48" s="1327" t="s">
        <v>820</v>
      </c>
    </row>
    <row r="49" spans="1:18" s="1292" customFormat="1" ht="13.5" thickBot="1">
      <c r="A49" s="921" t="s">
        <v>439</v>
      </c>
      <c r="B49" s="1279" t="s">
        <v>777</v>
      </c>
      <c r="C49" s="1051">
        <f ca="1">ROUND(F49*F51*F50*(1-F52)/10000,0)</f>
        <v>0</v>
      </c>
      <c r="D49" s="992" t="s">
        <v>2108</v>
      </c>
      <c r="E49" s="1280" t="s">
        <v>778</v>
      </c>
      <c r="F49" s="997"/>
      <c r="H49" s="682"/>
      <c r="I49" s="1328" t="s">
        <v>821</v>
      </c>
      <c r="J49" s="1332">
        <v>2022</v>
      </c>
      <c r="K49" s="1330" t="s">
        <v>822</v>
      </c>
      <c r="L49" s="1333"/>
      <c r="O49" s="1334" t="s">
        <v>405</v>
      </c>
      <c r="P49" s="1326" t="s">
        <v>823</v>
      </c>
      <c r="Q49" s="1327">
        <f ca="1">C29</f>
        <v>95541</v>
      </c>
      <c r="R49" s="1327" t="s">
        <v>816</v>
      </c>
    </row>
    <row r="50" spans="1:18" s="1292" customFormat="1" ht="13.5" thickBot="1">
      <c r="A50" s="922"/>
      <c r="B50" s="925"/>
      <c r="C50" s="1055"/>
      <c r="D50" s="899"/>
      <c r="E50" s="993" t="s">
        <v>695</v>
      </c>
      <c r="F50" s="994">
        <f ca="1">F7</f>
        <v>85190.51999999999</v>
      </c>
      <c r="H50" s="682"/>
      <c r="I50" s="1328" t="s">
        <v>824</v>
      </c>
      <c r="J50" s="1335">
        <f>SUMPRODUCT((I63:I65=J47)*(J62:L62=J48)*(J63:L65))</f>
        <v>60</v>
      </c>
      <c r="K50" s="1330" t="s">
        <v>825</v>
      </c>
      <c r="L50" s="1333"/>
      <c r="M50" s="1336"/>
      <c r="O50" s="1334" t="s">
        <v>406</v>
      </c>
      <c r="P50" s="1326" t="s">
        <v>826</v>
      </c>
      <c r="Q50" s="1337">
        <f ca="1">J58</f>
        <v>0.4</v>
      </c>
      <c r="R50" s="1327"/>
    </row>
    <row r="51" spans="1:18" s="1292" customFormat="1" ht="13.5" thickBot="1">
      <c r="A51" s="923"/>
      <c r="B51" s="925"/>
      <c r="C51" s="926"/>
      <c r="D51" s="899"/>
      <c r="E51" s="927" t="s">
        <v>696</v>
      </c>
      <c r="F51" s="295">
        <f ca="1">F8</f>
        <v>365</v>
      </c>
      <c r="I51" s="1338" t="s">
        <v>827</v>
      </c>
      <c r="J51" s="1331">
        <f>IF(J49="",J50,J49+J50-YEAR('数据-取费表'!B2))</f>
        <v>57</v>
      </c>
      <c r="K51" s="1339" t="s">
        <v>828</v>
      </c>
      <c r="L51" s="1340">
        <f ca="1">ROUND(-PV(INDIRECT("'数据-取费表'!h"&amp;$G$1),J51,(C39-C13*C76),0),0)</f>
        <v>30120</v>
      </c>
      <c r="M51" s="1341"/>
      <c r="O51" s="1334" t="s">
        <v>407</v>
      </c>
      <c r="P51" s="1326" t="s">
        <v>829</v>
      </c>
      <c r="Q51" s="1337">
        <f>J52</f>
        <v>7.4999999999999997E-2</v>
      </c>
      <c r="R51" s="1327"/>
    </row>
    <row r="52" spans="1:18" s="1292" customFormat="1" ht="13.5" thickBot="1">
      <c r="A52" s="923"/>
      <c r="B52" s="925"/>
      <c r="C52" s="926"/>
      <c r="D52" s="899"/>
      <c r="E52" s="927" t="s">
        <v>697</v>
      </c>
      <c r="F52" s="991"/>
      <c r="I52" s="1342" t="s">
        <v>830</v>
      </c>
      <c r="J52" s="1343">
        <v>7.4999999999999997E-2</v>
      </c>
      <c r="K52" s="1342" t="s">
        <v>831</v>
      </c>
      <c r="L52" s="1343"/>
      <c r="O52" s="1334" t="s">
        <v>408</v>
      </c>
      <c r="P52" s="1326" t="s">
        <v>832</v>
      </c>
      <c r="Q52" s="1327">
        <f ca="1">J53</f>
        <v>39.81</v>
      </c>
      <c r="R52" s="1327" t="s">
        <v>833</v>
      </c>
    </row>
    <row r="53" spans="1:18" s="1292" customFormat="1" ht="24.75" thickBot="1">
      <c r="A53" s="1079" t="s">
        <v>440</v>
      </c>
      <c r="B53" s="1281"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39.81</v>
      </c>
      <c r="K53" s="3434" t="s">
        <v>835</v>
      </c>
      <c r="L53" s="3435"/>
      <c r="O53" s="1325" t="s">
        <v>409</v>
      </c>
      <c r="P53" s="1326" t="s">
        <v>836</v>
      </c>
      <c r="Q53" s="1327">
        <f ca="1">Q47+Q48</f>
        <v>208585</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f ca="1">ROUND(IF(J47="钢混",J57/J50,1-(1-2%)*(J50-J57)/J50),3)</f>
        <v>0.28699999999999998</v>
      </c>
      <c r="K55" s="1350" t="s">
        <v>839</v>
      </c>
      <c r="L55" s="1351"/>
      <c r="O55" s="1318" t="s">
        <v>809</v>
      </c>
      <c r="P55" s="1319" t="s">
        <v>810</v>
      </c>
      <c r="Q55" s="1320" t="s">
        <v>811</v>
      </c>
      <c r="R55" s="1320" t="s">
        <v>812</v>
      </c>
    </row>
    <row r="56" spans="1:18" s="1292" customFormat="1" ht="25.5" thickTop="1" thickBot="1">
      <c r="A56" s="903">
        <v>2</v>
      </c>
      <c r="B56" s="904" t="s">
        <v>702</v>
      </c>
      <c r="C56" s="224">
        <f ca="1">C13</f>
        <v>90764</v>
      </c>
      <c r="D56" s="1352"/>
      <c r="E56" s="1353"/>
      <c r="F56" s="1345"/>
      <c r="I56" s="1354" t="s">
        <v>840</v>
      </c>
      <c r="J56" s="1355" t="s">
        <v>3515</v>
      </c>
      <c r="K56" s="1328" t="s">
        <v>841</v>
      </c>
      <c r="L56" s="1331" t="str">
        <f ca="1">IF(L48&lt;J51,"——",L48-J53)</f>
        <v>——</v>
      </c>
      <c r="O56" s="1325" t="s">
        <v>403</v>
      </c>
      <c r="P56" s="1326" t="s">
        <v>815</v>
      </c>
      <c r="Q56" s="1327">
        <f ca="1">C40+J29</f>
        <v>206438</v>
      </c>
      <c r="R56" s="1327" t="s">
        <v>816</v>
      </c>
    </row>
    <row r="57" spans="1:18" s="1292" customFormat="1" ht="24.75" thickBot="1">
      <c r="A57" s="1356"/>
      <c r="B57" s="896" t="s">
        <v>765</v>
      </c>
      <c r="C57" s="230">
        <f ca="1">C29</f>
        <v>95541</v>
      </c>
      <c r="D57" s="1357"/>
      <c r="E57" s="1358"/>
      <c r="F57" s="1359"/>
      <c r="I57" s="1360" t="s">
        <v>842</v>
      </c>
      <c r="J57" s="1361">
        <f ca="1">IF(OR(M47="住宅",J51&lt;L48,J56="是"),"——",J51-L48)</f>
        <v>17.189999999999998</v>
      </c>
      <c r="K57" s="1328" t="s">
        <v>843</v>
      </c>
      <c r="L57" s="1331" t="str">
        <f ca="1">IF(L48&lt;J51,"——",IF(L55="比较法",L49,IF(L55="基准地价",L50,L51)))</f>
        <v>——</v>
      </c>
      <c r="O57" s="1325" t="s">
        <v>404</v>
      </c>
      <c r="P57" s="1326" t="s">
        <v>844</v>
      </c>
      <c r="Q57" s="1327">
        <f ca="1">L60</f>
        <v>0</v>
      </c>
      <c r="R57" s="1327" t="s">
        <v>845</v>
      </c>
    </row>
    <row r="58" spans="1:18" s="1292" customFormat="1" ht="24.75" thickBot="1">
      <c r="A58" s="307" t="s">
        <v>393</v>
      </c>
      <c r="B58" s="904" t="s">
        <v>712</v>
      </c>
      <c r="C58" s="308">
        <f ca="1">ROUND(C59+C64+C65+C66,0)</f>
        <v>288</v>
      </c>
      <c r="D58" s="906" t="s">
        <v>713</v>
      </c>
      <c r="E58" s="907"/>
      <c r="F58" s="908"/>
      <c r="I58" s="1360" t="s">
        <v>846</v>
      </c>
      <c r="J58" s="1362">
        <f ca="1">IF(J55&lt;0.4,0.4,J55)</f>
        <v>0.4</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6</v>
      </c>
      <c r="D59" s="909" t="s">
        <v>718</v>
      </c>
      <c r="E59" s="910" t="s">
        <v>719</v>
      </c>
      <c r="F59" s="2139" t="str">
        <f>IF(项目基本情况!B11="企业","——",IF('数据-取费表'!B10="住宅",IF(F49*F50*F51/12/(1+'数据-取费表'!F30)&gt;100000,4%,2.5%),IF(F49*F50*F51/12/(1+'数据-取费表'!F30)&gt;100000,12%,7%)))</f>
        <v>——</v>
      </c>
      <c r="I59" s="1360" t="s">
        <v>849</v>
      </c>
      <c r="J59" s="1361">
        <f ca="1">IF(OR(M47="住宅",J51&lt;L48,J56="是"),"——",ROUND(C29*J58,0))</f>
        <v>38216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5.6000000000000001E-2</v>
      </c>
      <c r="I60" s="1363" t="s">
        <v>851</v>
      </c>
      <c r="J60" s="1364">
        <f ca="1">IF(OR(M47="住宅",J51&lt;L48,J56="是"),"0",ROUND(J59/(1+J52)^J53,0))</f>
        <v>2147</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3323</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6</v>
      </c>
      <c r="D62" s="911" t="s">
        <v>784</v>
      </c>
      <c r="E62" s="896" t="s">
        <v>785</v>
      </c>
      <c r="F62" s="317">
        <f t="shared" si="0"/>
        <v>3</v>
      </c>
      <c r="I62" s="1367" t="s">
        <v>856</v>
      </c>
      <c r="J62" s="610" t="s">
        <v>857</v>
      </c>
      <c r="K62" s="610" t="s">
        <v>858</v>
      </c>
      <c r="L62" s="610" t="s">
        <v>859</v>
      </c>
      <c r="M62" s="1368" t="s">
        <v>860</v>
      </c>
      <c r="O62" s="1325" t="s">
        <v>409</v>
      </c>
      <c r="P62" s="1326" t="s">
        <v>861</v>
      </c>
      <c r="Q62" s="1327">
        <f ca="1">Q56+Q57</f>
        <v>206438</v>
      </c>
      <c r="R62" s="1327" t="s">
        <v>410</v>
      </c>
    </row>
    <row r="63" spans="1:18" s="1292" customFormat="1" ht="13.5" thickBot="1">
      <c r="A63" s="318"/>
      <c r="B63" s="902"/>
      <c r="C63" s="26"/>
      <c r="D63" s="912"/>
      <c r="E63" s="896" t="s">
        <v>786</v>
      </c>
      <c r="F63" s="295">
        <f t="shared" ca="1" si="0"/>
        <v>19987.5</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191.08</v>
      </c>
      <c r="D64" s="910" t="s">
        <v>789</v>
      </c>
      <c r="E64" s="896" t="s">
        <v>781</v>
      </c>
      <c r="F64" s="320">
        <f t="shared" ca="1" si="0"/>
        <v>2E-3</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90.76</v>
      </c>
      <c r="D65" s="910" t="s">
        <v>741</v>
      </c>
      <c r="E65" s="896" t="s">
        <v>742</v>
      </c>
      <c r="F65" s="321">
        <f t="shared" ca="1" si="0"/>
        <v>1E-3</v>
      </c>
      <c r="I65" s="1367" t="s">
        <v>865</v>
      </c>
      <c r="J65" s="610">
        <v>40</v>
      </c>
      <c r="K65" s="610">
        <v>30</v>
      </c>
      <c r="L65" s="610">
        <v>50</v>
      </c>
      <c r="M65" s="1369">
        <v>0.02</v>
      </c>
      <c r="O65" s="1325" t="s">
        <v>403</v>
      </c>
      <c r="P65" s="1326" t="s">
        <v>866</v>
      </c>
      <c r="Q65" s="1327">
        <f ca="1">C40+J29</f>
        <v>206438</v>
      </c>
      <c r="R65" s="1327" t="s">
        <v>816</v>
      </c>
    </row>
    <row r="66" spans="1:18" s="1292" customFormat="1" ht="16.5" thickBot="1">
      <c r="A66" s="928" t="s">
        <v>791</v>
      </c>
      <c r="B66" s="896" t="s">
        <v>726</v>
      </c>
      <c r="C66" s="21">
        <f ca="1">ROUND(C48*F66,2)</f>
        <v>0</v>
      </c>
      <c r="D66" s="910" t="s">
        <v>792</v>
      </c>
      <c r="E66" s="896" t="s">
        <v>710</v>
      </c>
      <c r="F66" s="304">
        <f t="shared" ca="1" si="0"/>
        <v>0.01</v>
      </c>
      <c r="O66" s="1325" t="s">
        <v>404</v>
      </c>
      <c r="P66" s="1326" t="s">
        <v>844</v>
      </c>
      <c r="Q66" s="1327">
        <f ca="1">L60</f>
        <v>0</v>
      </c>
      <c r="R66" s="1327" t="s">
        <v>867</v>
      </c>
    </row>
    <row r="67" spans="1:18" s="1292" customFormat="1" ht="16.5" thickBot="1">
      <c r="A67" s="903" t="s">
        <v>394</v>
      </c>
      <c r="B67" s="913" t="s">
        <v>750</v>
      </c>
      <c r="C67" s="308">
        <f ca="1">C48-C58</f>
        <v>-288</v>
      </c>
      <c r="D67" s="909" t="s">
        <v>751</v>
      </c>
      <c r="E67" s="914"/>
      <c r="F67" s="915"/>
      <c r="O67" s="1334" t="s">
        <v>405</v>
      </c>
      <c r="P67" s="1326" t="s">
        <v>848</v>
      </c>
      <c r="Q67" s="1370">
        <f ca="1">L51</f>
        <v>30120</v>
      </c>
      <c r="R67" s="1327" t="s">
        <v>868</v>
      </c>
    </row>
    <row r="68" spans="1:18" s="1292" customFormat="1" ht="16.5" thickBot="1">
      <c r="A68" s="893" t="s">
        <v>395</v>
      </c>
      <c r="B68" s="894" t="s">
        <v>772</v>
      </c>
      <c r="C68" s="293">
        <f ca="1">ROUND(C67*(1-((1+F70)/(1+F68))^F69)/(F68-F70),0)</f>
        <v>-829</v>
      </c>
      <c r="D68" s="911" t="s">
        <v>756</v>
      </c>
      <c r="E68" s="896" t="s">
        <v>757</v>
      </c>
      <c r="F68" s="304">
        <f ca="1">F40</f>
        <v>5.5E-2</v>
      </c>
      <c r="O68" s="1334" t="s">
        <v>406</v>
      </c>
      <c r="P68" s="1371" t="s">
        <v>869</v>
      </c>
      <c r="Q68" s="1327">
        <f ca="1">ROUND(Q69-Q70*Q71,0)</f>
        <v>1606</v>
      </c>
      <c r="R68" s="1327" t="s">
        <v>414</v>
      </c>
    </row>
    <row r="69" spans="1:18" s="1292" customFormat="1" ht="13.5" thickBot="1">
      <c r="A69" s="897"/>
      <c r="B69" s="898"/>
      <c r="C69" s="298"/>
      <c r="D69" s="916" t="s">
        <v>760</v>
      </c>
      <c r="E69" s="896" t="s">
        <v>761</v>
      </c>
      <c r="F69" s="324">
        <f ca="1">F41</f>
        <v>3.22</v>
      </c>
      <c r="O69" s="1334" t="s">
        <v>411</v>
      </c>
      <c r="P69" s="1371" t="s">
        <v>870</v>
      </c>
      <c r="Q69" s="1327">
        <f ca="1">C39</f>
        <v>7959</v>
      </c>
      <c r="R69" s="1327" t="s">
        <v>816</v>
      </c>
    </row>
    <row r="70" spans="1:18" s="1292" customFormat="1" ht="13.5" thickBot="1">
      <c r="A70" s="900"/>
      <c r="B70" s="901"/>
      <c r="C70" s="302"/>
      <c r="D70" s="912"/>
      <c r="E70" s="896" t="s">
        <v>764</v>
      </c>
      <c r="F70" s="991"/>
      <c r="O70" s="1334" t="s">
        <v>412</v>
      </c>
      <c r="P70" s="1371" t="s">
        <v>871</v>
      </c>
      <c r="Q70" s="1327">
        <f ca="1">C13</f>
        <v>90764</v>
      </c>
      <c r="R70" s="1327" t="s">
        <v>816</v>
      </c>
    </row>
    <row r="71" spans="1:18" s="1292" customFormat="1" ht="13.5" thickBot="1">
      <c r="A71" s="917" t="s">
        <v>396</v>
      </c>
      <c r="B71" s="918" t="s">
        <v>774</v>
      </c>
      <c r="C71" s="327">
        <f ca="1">ROUND(C68*10000/F71,0)</f>
        <v>-97</v>
      </c>
      <c r="D71" s="919" t="s">
        <v>775</v>
      </c>
      <c r="E71" s="920" t="s">
        <v>776</v>
      </c>
      <c r="F71" s="330">
        <f ca="1">F43</f>
        <v>85190.51999999999</v>
      </c>
      <c r="O71" s="1334" t="s">
        <v>413</v>
      </c>
      <c r="P71" s="1371" t="s">
        <v>872</v>
      </c>
      <c r="Q71" s="1337">
        <f ca="1">C76</f>
        <v>7.0000000000000007E-2</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6353</v>
      </c>
      <c r="D75" s="1292"/>
      <c r="E75" s="1292"/>
      <c r="F75" s="1292"/>
      <c r="K75" s="1309"/>
      <c r="L75" s="1292"/>
      <c r="O75" s="1325" t="s">
        <v>409</v>
      </c>
      <c r="P75" s="1326" t="s">
        <v>836</v>
      </c>
      <c r="Q75" s="1327">
        <f ca="1">Q65+Q66</f>
        <v>206438</v>
      </c>
      <c r="R75" s="1327" t="s">
        <v>410</v>
      </c>
    </row>
    <row r="76" spans="1:18">
      <c r="B76" s="333" t="s">
        <v>794</v>
      </c>
      <c r="C76" s="334">
        <f ca="1">INDIRECT("'数据-取费表'!j"&amp;$G$1)</f>
        <v>7.0000000000000007E-2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0.20199999999999996</v>
      </c>
    </row>
    <row r="80" spans="1:18">
      <c r="B80" s="331" t="s">
        <v>798</v>
      </c>
      <c r="C80" s="266">
        <f ca="1">ROUND(C75/C39,3)</f>
        <v>0.79800000000000004</v>
      </c>
    </row>
    <row r="81" spans="2:3">
      <c r="B81" s="262" t="s">
        <v>799</v>
      </c>
      <c r="C81" s="230"/>
    </row>
    <row r="82" spans="2:3">
      <c r="B82" s="265" t="s">
        <v>800</v>
      </c>
      <c r="C82" s="267">
        <f ca="1">1-C83</f>
        <v>-2.9609999999999999</v>
      </c>
    </row>
    <row r="83" spans="2:3">
      <c r="B83" s="265" t="s">
        <v>801</v>
      </c>
      <c r="C83" s="266">
        <f ca="1">ROUND(C13/C40,3)</f>
        <v>3.9609999999999999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8</v>
      </c>
      <c r="H1" s="998" t="str">
        <f>IF(ISERROR(FIND("住宅",B1)),"非住宅","住宅")</f>
        <v>非住宅</v>
      </c>
    </row>
    <row r="2" spans="1:8" s="192" customFormat="1" ht="18" customHeight="1">
      <c r="A2" s="193" t="s">
        <v>1460</v>
      </c>
      <c r="B2" s="3123">
        <f ca="1">ROUND(IF(D2="——",C52/10000,C52/10000-E2),4)</f>
        <v>199724.22450000001</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8836</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45208368</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45208368</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45208368</v>
      </c>
      <c r="D10" s="795">
        <f ca="1">IF(B1="",'数据-汇总表'!E6,IF(INDIRECT("'数据-取费表'!c"&amp;$G$1)="住宅",INDIRECT("'数据-取费表'!s"&amp;$G$1),INDIRECT("'数据-取费表'!k"&amp;$G$1)+INDIRECT("'数据-取费表'!s"&amp;$G$1)))</f>
        <v>226041.84</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45208368</v>
      </c>
      <c r="D19" s="204">
        <f ca="1">D9+D10</f>
        <v>226041.84</v>
      </c>
      <c r="E19" s="203">
        <f>'数据-取费表'!B31</f>
        <v>200</v>
      </c>
      <c r="F19" s="223"/>
      <c r="G19" s="1714"/>
    </row>
    <row r="20" spans="1:7" s="206" customFormat="1" ht="13.5" customHeight="1">
      <c r="A20" s="247" t="s">
        <v>1572</v>
      </c>
      <c r="B20" s="202" t="s">
        <v>1573</v>
      </c>
      <c r="C20" s="224">
        <f ca="1">ROUND((C5+C19)*F20,0)</f>
        <v>2712502</v>
      </c>
      <c r="D20" s="224"/>
      <c r="E20" s="224"/>
      <c r="F20" s="225">
        <f>'数据-取费表'!B37</f>
        <v>0.03</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9238547</v>
      </c>
      <c r="D22" s="227">
        <f ca="1">C26</f>
        <v>1.5E-3</v>
      </c>
      <c r="E22" s="228" t="s">
        <v>1577</v>
      </c>
      <c r="F22" s="229">
        <f ca="1">'数据-取费表'!B40</f>
        <v>3.2500000000000001E-2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4552622</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4552622</v>
      </c>
      <c r="D24" s="230"/>
      <c r="E24" s="230"/>
      <c r="F24" s="231"/>
      <c r="G24" s="232" t="s">
        <v>1584</v>
      </c>
    </row>
    <row r="25" spans="1:7" s="206" customFormat="1" ht="24">
      <c r="A25" s="734" t="s">
        <v>1474</v>
      </c>
      <c r="B25" s="207" t="s">
        <v>1585</v>
      </c>
      <c r="C25" s="230">
        <f ca="1">ROUND(IF('数据-取费表'!B22&lt;=1,C20*F22*'数据-取费表'!B22/2,C20*(POWER((1+F22),'数据-取费表'!B22/2)-1)),0)</f>
        <v>133303</v>
      </c>
      <c r="D25" s="230"/>
      <c r="E25" s="233"/>
      <c r="F25" s="231"/>
      <c r="G25" s="234" t="s">
        <v>1586</v>
      </c>
    </row>
    <row r="26" spans="1:7" s="206" customFormat="1">
      <c r="A26" s="734" t="s">
        <v>350</v>
      </c>
      <c r="B26" s="207" t="s">
        <v>1509</v>
      </c>
      <c r="C26" s="230">
        <f ca="1">ROUND(IF('数据-取费表'!B22&lt;=1,F21*F22*'数据-取费表'!B22/2,F21*(POWER((1+F22),'数据-取费表'!B22/2)-1)),4)</f>
        <v>1.5E-3</v>
      </c>
      <c r="D26" s="230"/>
      <c r="E26" s="233"/>
      <c r="F26" s="231"/>
      <c r="G26" s="235"/>
    </row>
    <row r="27" spans="1:7" s="206" customFormat="1" ht="24.75">
      <c r="A27" s="247" t="s">
        <v>1510</v>
      </c>
      <c r="B27" s="236" t="s">
        <v>1511</v>
      </c>
      <c r="C27" s="237">
        <f ca="1">C28</f>
        <v>10244216</v>
      </c>
      <c r="D27" s="227">
        <f ca="1">C29</f>
        <v>3.3E-3</v>
      </c>
      <c r="E27" s="228" t="s">
        <v>1512</v>
      </c>
      <c r="F27" s="238">
        <f ca="1">IF(B1="",'数据-取费表'!Q16,INDIRECT("'数据-取费表'!q"&amp;$G$1))</f>
        <v>0.11</v>
      </c>
      <c r="G27" s="239" t="s">
        <v>1513</v>
      </c>
    </row>
    <row r="28" spans="1:7" s="206" customFormat="1" ht="13.5" customHeight="1">
      <c r="A28" s="734" t="s">
        <v>346</v>
      </c>
      <c r="B28" s="240" t="s">
        <v>1514</v>
      </c>
      <c r="C28" s="241">
        <f ca="1">ROUND((C5+C19+C20)*F27,0)</f>
        <v>10244216</v>
      </c>
      <c r="D28" s="227"/>
      <c r="E28" s="228"/>
      <c r="F28" s="238"/>
      <c r="G28" s="239"/>
    </row>
    <row r="29" spans="1:7" s="206" customFormat="1" ht="13.5" customHeight="1">
      <c r="A29" s="734" t="s">
        <v>347</v>
      </c>
      <c r="B29" s="240" t="s">
        <v>1515</v>
      </c>
      <c r="C29" s="230">
        <f ca="1">ROUND(C21*F27,4)</f>
        <v>3.3E-3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123491612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1506471072</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1328420640</v>
      </c>
      <c r="D34" s="209"/>
      <c r="E34" s="212"/>
      <c r="F34" s="249"/>
      <c r="G34" s="211"/>
    </row>
    <row r="35" spans="1:7" ht="13.5" customHeight="1">
      <c r="A35" s="734" t="s">
        <v>351</v>
      </c>
      <c r="B35" s="207" t="s">
        <v>1525</v>
      </c>
      <c r="C35" s="212">
        <f ca="1">ROUND(C34*F35,0)</f>
        <v>106273651</v>
      </c>
      <c r="D35" s="212"/>
      <c r="E35" s="212"/>
      <c r="F35" s="251">
        <f>'数据-取费表'!B33</f>
        <v>0.08</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45208368</v>
      </c>
      <c r="D37" s="209">
        <f ca="1">D19</f>
        <v>226041.84</v>
      </c>
      <c r="E37" s="241">
        <f>'数据-取费表'!B35</f>
        <v>200</v>
      </c>
      <c r="F37" s="251"/>
      <c r="G37" s="253"/>
    </row>
    <row r="38" spans="1:7" ht="13.5" customHeight="1">
      <c r="A38" s="734" t="s">
        <v>354</v>
      </c>
      <c r="B38" s="207" t="s">
        <v>1531</v>
      </c>
      <c r="C38" s="212">
        <f ca="1">ROUND(C34*F38,0)</f>
        <v>26568413</v>
      </c>
      <c r="D38" s="212"/>
      <c r="E38" s="212"/>
      <c r="F38" s="251">
        <f>'数据-取费表'!B36</f>
        <v>0.02</v>
      </c>
      <c r="G38" s="211" t="s">
        <v>1526</v>
      </c>
    </row>
    <row r="39" spans="1:7" s="206" customFormat="1" ht="13.5" customHeight="1">
      <c r="A39" s="247" t="s">
        <v>1532</v>
      </c>
      <c r="B39" s="202" t="s">
        <v>1533</v>
      </c>
      <c r="C39" s="224">
        <f ca="1">ROUND(C33*F20,0)</f>
        <v>45194132</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76254994</v>
      </c>
      <c r="D41" s="227">
        <f ca="1">C44</f>
        <v>1.5E-3</v>
      </c>
      <c r="E41" s="228" t="s">
        <v>1537</v>
      </c>
      <c r="F41" s="229">
        <f ca="1">F22</f>
        <v>3.2500000000000001E-2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74033975</v>
      </c>
      <c r="D42" s="230"/>
      <c r="E42" s="230"/>
      <c r="F42" s="231"/>
      <c r="G42" s="3439" t="s">
        <v>1589</v>
      </c>
    </row>
    <row r="43" spans="1:7" ht="13.5" customHeight="1">
      <c r="A43" s="734" t="s">
        <v>347</v>
      </c>
      <c r="B43" s="207" t="s">
        <v>1543</v>
      </c>
      <c r="C43" s="230">
        <f ca="1">ROUND(IF('数据-取费表'!B22&lt;=1,C39*F22*'数据-取费表'!B20/2,C39*(POWER((1+F22),'数据-取费表'!B20/2)-1)),0)</f>
        <v>2221019</v>
      </c>
      <c r="D43" s="230"/>
      <c r="E43" s="230"/>
      <c r="F43" s="231"/>
      <c r="G43" s="3440"/>
    </row>
    <row r="44" spans="1:7" ht="13.5" customHeight="1">
      <c r="A44" s="734" t="s">
        <v>348</v>
      </c>
      <c r="B44" s="207" t="s">
        <v>1544</v>
      </c>
      <c r="C44" s="230">
        <f ca="1">ROUND(IF('数据-取费表'!B22&lt;=1,C40*F22*'数据-取费表'!B20/2,C40*(POWER((1+F22),'数据-取费表'!B20/2)-1)),4)</f>
        <v>1.5E-3</v>
      </c>
      <c r="D44" s="230"/>
      <c r="E44" s="230"/>
      <c r="F44" s="231"/>
      <c r="G44" s="3441"/>
    </row>
    <row r="45" spans="1:7" s="206" customFormat="1" ht="13.5" customHeight="1">
      <c r="A45" s="247" t="s">
        <v>1545</v>
      </c>
      <c r="B45" s="236" t="s">
        <v>1511</v>
      </c>
      <c r="C45" s="237">
        <f ca="1">C46</f>
        <v>170683172</v>
      </c>
      <c r="D45" s="227">
        <f ca="1">C47</f>
        <v>3.3E-3</v>
      </c>
      <c r="E45" s="228" t="s">
        <v>1537</v>
      </c>
      <c r="F45" s="238">
        <f ca="1">F27</f>
        <v>0.11</v>
      </c>
      <c r="G45" s="239" t="s">
        <v>1546</v>
      </c>
    </row>
    <row r="46" spans="1:7" s="206" customFormat="1" ht="13.5" customHeight="1">
      <c r="A46" s="734" t="s">
        <v>346</v>
      </c>
      <c r="B46" s="240" t="s">
        <v>1547</v>
      </c>
      <c r="C46" s="241">
        <f ca="1">ROUND((C33+C39)*F27,0)</f>
        <v>170683172</v>
      </c>
      <c r="D46" s="255"/>
      <c r="E46" s="228"/>
      <c r="F46" s="238"/>
      <c r="G46" s="239"/>
    </row>
    <row r="47" spans="1:7" s="206" customFormat="1" ht="13.5" customHeight="1">
      <c r="A47" s="734" t="s">
        <v>347</v>
      </c>
      <c r="B47" s="240" t="s">
        <v>1548</v>
      </c>
      <c r="C47" s="230">
        <f ca="1">ROUND(C40*F27,4)</f>
        <v>3.3E-3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1972369087</v>
      </c>
      <c r="D49" s="224"/>
      <c r="E49" s="224"/>
      <c r="F49" s="256"/>
      <c r="G49" s="226" t="s">
        <v>1552</v>
      </c>
    </row>
    <row r="50" spans="1:7" s="250" customFormat="1">
      <c r="A50" s="247" t="s">
        <v>1553</v>
      </c>
      <c r="B50" s="202" t="s">
        <v>1554</v>
      </c>
      <c r="C50" s="224"/>
      <c r="D50" s="224"/>
      <c r="E50" s="224"/>
      <c r="F50" s="256">
        <f>IF('数据-取费表'!B24=0,'数据-取费表'!N16,1)</f>
        <v>0.95</v>
      </c>
      <c r="G50" s="239"/>
    </row>
    <row r="51" spans="1:7" ht="16.5" customHeight="1">
      <c r="A51" s="247" t="s">
        <v>1556</v>
      </c>
      <c r="B51" s="202" t="s">
        <v>1591</v>
      </c>
      <c r="C51" s="224">
        <f ca="1">ROUND(C49*F50,0)</f>
        <v>1873750633</v>
      </c>
      <c r="D51" s="224"/>
      <c r="E51" s="224"/>
      <c r="F51" s="256"/>
      <c r="G51" s="226" t="s">
        <v>1558</v>
      </c>
    </row>
    <row r="52" spans="1:7" s="200" customFormat="1" ht="16.5" thickBot="1">
      <c r="A52" s="257" t="s">
        <v>1559</v>
      </c>
      <c r="B52" s="258"/>
      <c r="C52" s="259">
        <f ca="1">C31+C51</f>
        <v>1997242245</v>
      </c>
      <c r="D52" s="258"/>
      <c r="E52" s="258"/>
      <c r="F52" s="258"/>
      <c r="G52" s="260"/>
    </row>
    <row r="55" spans="1:7" ht="15">
      <c r="B55" s="262" t="s">
        <v>1560</v>
      </c>
      <c r="C55" s="263"/>
    </row>
    <row r="56" spans="1:7">
      <c r="B56" s="265" t="s">
        <v>800</v>
      </c>
      <c r="C56" s="267">
        <f ca="1">1-C57</f>
        <v>6.2000000000000055E-2</v>
      </c>
    </row>
    <row r="57" spans="1:7">
      <c r="B57" s="265" t="s">
        <v>801</v>
      </c>
      <c r="C57" s="266">
        <f ca="1">ROUND(C51/C52,3)</f>
        <v>0.93799999999999994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8</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0.08</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226041.84</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226041.84</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4521</v>
      </c>
      <c r="D20" s="796">
        <f ca="1">IF(C1="",'数据-汇总表'!E6,IF(INDIRECT("'数据-取费表'!c"&amp;$K$1)="住宅",INDIRECT("'数据-取费表'!s"&amp;$K$1),INDIRECT("'数据-取费表'!k"&amp;$K$1)+INDIRECT("'数据-取费表'!s"&amp;$K$1)))</f>
        <v>226041.84</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0.03</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3.2500000000000001E-2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0.11</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4" t="e">
        <f ca="1">ROUND(D2/10000,4)</f>
        <v>#DIV/0!</v>
      </c>
      <c r="C2" s="1289" t="s">
        <v>877</v>
      </c>
      <c r="D2" s="1375" t="e">
        <f ca="1">C40+J29+L46</f>
        <v>#DIV/0!</v>
      </c>
      <c r="E2" s="1295" t="s">
        <v>878</v>
      </c>
      <c r="F2" s="1296"/>
      <c r="G2" s="2479"/>
      <c r="H2" s="2469"/>
      <c r="I2" s="2469"/>
      <c r="J2" s="2469"/>
      <c r="K2" s="2470"/>
      <c r="L2" s="2469"/>
      <c r="M2" s="2469"/>
    </row>
    <row r="3" spans="1:37" ht="18" customHeight="1" thickBot="1">
      <c r="A3" s="1297" t="s">
        <v>879</v>
      </c>
      <c r="B3" s="1298">
        <f ca="1">IF(ISERROR(D2/F43),0,ROUND(D2/F43,0))</f>
        <v>0</v>
      </c>
      <c r="C3" s="1289" t="s">
        <v>880</v>
      </c>
      <c r="D3" s="1289"/>
      <c r="E3" s="1295"/>
      <c r="F3" s="1296"/>
      <c r="G3" s="2479"/>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436" t="s">
        <v>692</v>
      </c>
      <c r="C6" s="1011">
        <f ca="1">ROUND(F6*F8*F7*(1-F9),0)</f>
        <v>0</v>
      </c>
      <c r="D6" s="147" t="s">
        <v>2104</v>
      </c>
      <c r="E6" s="294" t="s">
        <v>694</v>
      </c>
      <c r="F6" s="295">
        <f ca="1">INDIRECT("'数据-取费表'!u"&amp;$G$1)</f>
        <v>0</v>
      </c>
      <c r="G6" s="1292"/>
      <c r="H6" s="1006" t="s">
        <v>398</v>
      </c>
      <c r="I6" s="3436" t="s">
        <v>692</v>
      </c>
      <c r="J6" s="293">
        <f ca="1">ROUND(M6*M8*M7*(1-M9),0)</f>
        <v>0</v>
      </c>
      <c r="K6" s="1284" t="s">
        <v>2105</v>
      </c>
      <c r="L6" s="294" t="s">
        <v>694</v>
      </c>
      <c r="M6" s="295">
        <f ca="1">INDIRECT("'数据-取费表'!z"&amp;$G$1)</f>
        <v>0</v>
      </c>
    </row>
    <row r="7" spans="1:37" ht="18" customHeight="1">
      <c r="A7" s="1010"/>
      <c r="B7" s="3437"/>
      <c r="C7" s="1012"/>
      <c r="D7" s="299"/>
      <c r="E7" s="1013" t="s">
        <v>695</v>
      </c>
      <c r="F7" s="295">
        <f ca="1">IF(INDIRECT("'数据-取费表'!ah"&amp;$G$1)="",INDIRECT("'数据-取费表'!k"&amp;$G$1),INDIRECT("'数据-取费表'!ah"&amp;$G$1))</f>
        <v>0</v>
      </c>
      <c r="G7" s="1292"/>
      <c r="H7" s="296"/>
      <c r="I7" s="3437"/>
      <c r="J7" s="298"/>
      <c r="K7" s="299"/>
      <c r="L7" s="294" t="s">
        <v>695</v>
      </c>
      <c r="M7" s="295">
        <f ca="1">F7</f>
        <v>0</v>
      </c>
    </row>
    <row r="8" spans="1:37" ht="18" customHeight="1">
      <c r="A8" s="296"/>
      <c r="B8" s="3437"/>
      <c r="C8" s="298"/>
      <c r="D8" s="299"/>
      <c r="E8" s="294" t="s">
        <v>696</v>
      </c>
      <c r="F8" s="295">
        <f ca="1">INDIRECT("'数据-取费表'!ai"&amp;$G$1)</f>
        <v>0</v>
      </c>
      <c r="G8" s="1292"/>
      <c r="H8" s="296"/>
      <c r="I8" s="3437"/>
      <c r="J8" s="298"/>
      <c r="K8" s="299"/>
      <c r="L8" s="294" t="s">
        <v>696</v>
      </c>
      <c r="M8" s="295">
        <f ca="1">INDIRECT("'数据-取费表'!ai"&amp;$G$1)</f>
        <v>0</v>
      </c>
    </row>
    <row r="9" spans="1:37" ht="18" customHeight="1">
      <c r="A9" s="296"/>
      <c r="B9" s="3438"/>
      <c r="C9" s="298"/>
      <c r="D9" s="299"/>
      <c r="E9" s="294" t="s">
        <v>697</v>
      </c>
      <c r="F9" s="304">
        <f ca="1">INDIRECT("'数据-取费表'!w"&amp;$G$1)</f>
        <v>0</v>
      </c>
      <c r="G9" s="1292"/>
      <c r="H9" s="296"/>
      <c r="I9" s="3438"/>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2114</v>
      </c>
      <c r="E10" s="305" t="s">
        <v>699</v>
      </c>
      <c r="F10" s="1053"/>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0.08</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200</v>
      </c>
      <c r="G17" s="1303"/>
      <c r="H17" s="928" t="s">
        <v>398</v>
      </c>
      <c r="I17" s="294" t="s">
        <v>717</v>
      </c>
      <c r="J17" s="2140">
        <f ca="1">ROUND(IF(AND(项目基本情况!B11="自然人",项目基本情况!B10="北京市"),J6*M17/(1+'数据-取费表'!C42),J18+J19+J20),0)</f>
        <v>0</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0.02</v>
      </c>
      <c r="G18" s="1303"/>
      <c r="H18" s="928" t="s">
        <v>397</v>
      </c>
      <c r="I18" s="294" t="s">
        <v>721</v>
      </c>
      <c r="J18" s="21">
        <f ca="1">ROUND(J6*M18/(1+'数据-取费表'!C42),0)</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3323</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0.03</v>
      </c>
      <c r="G20" s="1303"/>
      <c r="H20" s="928" t="s">
        <v>678</v>
      </c>
      <c r="I20" s="147" t="s">
        <v>728</v>
      </c>
      <c r="J20" s="22">
        <f ca="1">ROUND(M20*M21,0)</f>
        <v>0</v>
      </c>
      <c r="K20" s="316" t="s">
        <v>729</v>
      </c>
      <c r="L20" s="294" t="s">
        <v>730</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0.03</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3</v>
      </c>
      <c r="G23" s="1303"/>
      <c r="H23" s="928" t="s">
        <v>437</v>
      </c>
      <c r="I23" s="294" t="s">
        <v>740</v>
      </c>
      <c r="J23" s="21">
        <f ca="1">ROUND(J13*M23,0)</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1.5E-3</v>
      </c>
      <c r="D24" s="138" t="str">
        <f>IF(F23&lt;=1,"销售费用×利率×(建设周期÷2)","销售费用×((1+利率)^(建设周期÷2)-1)")</f>
        <v>销售费用×((1+利率)^(建设周期÷2)-1)</v>
      </c>
      <c r="E24" s="294" t="s">
        <v>745</v>
      </c>
      <c r="F24" s="322">
        <f ca="1">'数据-取费表'!B40</f>
        <v>3.2500000000000001E-2</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ROUND(IF(AND(项目基本情况!B11="自然人",项目基本情况!B10="北京市"),C6*F31/(1+'数据-取费表'!C42),C32+C33+C34),0)</f>
        <v>0</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IF(项目基本情况!B11="自然人","——",ROUND(C6*F32/(1+'数据-取费表'!C42),0))</f>
        <v>0</v>
      </c>
      <c r="D32" s="1256" t="s">
        <v>722</v>
      </c>
      <c r="E32" s="294" t="s">
        <v>710</v>
      </c>
      <c r="F32" s="322">
        <f>'数据-取费表'!B41</f>
        <v>5.6000000000000001E-2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3323</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IF(项目基本情况!B11="自然人","——",ROUND(F34*F35,0))</f>
        <v>0</v>
      </c>
      <c r="D34" s="316" t="s">
        <v>729</v>
      </c>
      <c r="E34" s="294" t="s">
        <v>730</v>
      </c>
      <c r="F34" s="317">
        <f>'数据-取费表'!B52</f>
        <v>3</v>
      </c>
      <c r="G34" s="1292"/>
      <c r="H34" s="2471"/>
      <c r="I34" s="1305"/>
      <c r="J34" s="1306"/>
      <c r="K34" s="2476"/>
      <c r="L34" s="2477"/>
      <c r="M34" s="2477"/>
    </row>
    <row r="35" spans="1:18" ht="18" customHeight="1">
      <c r="A35" s="1040"/>
      <c r="B35" s="1038"/>
      <c r="C35" s="26"/>
      <c r="D35" s="319"/>
      <c r="E35" s="294" t="s">
        <v>734</v>
      </c>
      <c r="F35" s="295">
        <f ca="1">INDIRECT("'数据-取费表'!r"&amp;$G$1)</f>
        <v>0</v>
      </c>
      <c r="G35" s="1292"/>
      <c r="H35" s="2471"/>
      <c r="I35" s="1305"/>
      <c r="J35" s="1306"/>
      <c r="K35" s="2475"/>
      <c r="L35" s="2474"/>
      <c r="M35" s="2474"/>
    </row>
    <row r="36" spans="1:18" ht="18" customHeight="1">
      <c r="A36" s="1039" t="s">
        <v>402</v>
      </c>
      <c r="B36" s="294" t="s">
        <v>736</v>
      </c>
      <c r="C36" s="21">
        <f ca="1">ROUND(C29*F36,0)</f>
        <v>0</v>
      </c>
      <c r="D36" s="1256" t="s">
        <v>769</v>
      </c>
      <c r="E36" s="294" t="s">
        <v>710</v>
      </c>
      <c r="F36" s="320">
        <f ca="1">INDIRECT("'数据-取费表'!Ak"&amp;$G$1)</f>
        <v>0</v>
      </c>
      <c r="G36" s="1292"/>
      <c r="H36" s="2474"/>
      <c r="I36" s="1305"/>
      <c r="J36" s="1306"/>
      <c r="K36" s="2331"/>
      <c r="L36" s="2474"/>
      <c r="M36" s="2474"/>
    </row>
    <row r="37" spans="1:18" ht="18" customHeight="1">
      <c r="A37" s="928" t="s">
        <v>437</v>
      </c>
      <c r="B37" s="294" t="s">
        <v>740</v>
      </c>
      <c r="C37" s="21">
        <f ca="1">ROUND(C13*F37,0)</f>
        <v>0</v>
      </c>
      <c r="D37" s="1256" t="s">
        <v>741</v>
      </c>
      <c r="E37" s="294" t="s">
        <v>742</v>
      </c>
      <c r="F37" s="321">
        <f ca="1">INDIRECT("'数据-取费表'!Al"&amp;$G$1)</f>
        <v>0</v>
      </c>
      <c r="G37" s="1292"/>
      <c r="H37" s="2474"/>
      <c r="I37" s="1305"/>
      <c r="J37" s="1306"/>
      <c r="K37" s="2331"/>
      <c r="L37" s="2474"/>
      <c r="M37" s="2474"/>
    </row>
    <row r="38" spans="1:18" ht="18" customHeight="1" thickBot="1">
      <c r="A38" s="1026" t="s">
        <v>682</v>
      </c>
      <c r="B38" s="1027" t="s">
        <v>726</v>
      </c>
      <c r="C38" s="1028">
        <f ca="1">ROUND(C5*F38,0)</f>
        <v>0</v>
      </c>
      <c r="D38" s="1029" t="s">
        <v>746</v>
      </c>
      <c r="E38" s="1027" t="s">
        <v>742</v>
      </c>
      <c r="F38" s="1023">
        <f ca="1">INDIRECT("'数据-取费表'!Am"&amp;$G$1)</f>
        <v>0</v>
      </c>
      <c r="G38" s="1292"/>
      <c r="H38" s="2474"/>
      <c r="I38" s="1305"/>
      <c r="J38" s="1306"/>
      <c r="K38" s="2472"/>
      <c r="L38" s="2474"/>
      <c r="M38" s="2474"/>
    </row>
    <row r="39" spans="1:18" ht="24.6" customHeight="1" thickTop="1">
      <c r="A39" s="1016" t="s">
        <v>394</v>
      </c>
      <c r="B39" s="1031" t="s">
        <v>770</v>
      </c>
      <c r="C39" s="302">
        <f ca="1">C5-C30</f>
        <v>0</v>
      </c>
      <c r="D39" s="1032" t="s">
        <v>771</v>
      </c>
      <c r="E39" s="1033"/>
      <c r="F39" s="1034"/>
      <c r="G39" s="1292"/>
      <c r="H39" s="2474"/>
      <c r="I39" s="1305"/>
      <c r="J39" s="1306"/>
      <c r="K39" s="2472"/>
      <c r="L39" s="2474"/>
      <c r="M39" s="2474"/>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ROUND(C40/F43,0)</f>
        <v>#DIV/0!</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3339</v>
      </c>
      <c r="B45" s="1307"/>
      <c r="C45" s="1376" t="e">
        <f ca="1">ROUND((C68-C40)/10000,4)</f>
        <v>#DIV/0!</v>
      </c>
      <c r="D45" s="3131" t="s">
        <v>3340</v>
      </c>
      <c r="E45" s="1307"/>
      <c r="F45" s="1307"/>
      <c r="O45" s="1310" t="s">
        <v>806</v>
      </c>
      <c r="P45" s="1366"/>
      <c r="Q45" s="1366"/>
      <c r="R45" s="1366"/>
    </row>
    <row r="46" spans="1:18" s="1292" customFormat="1" ht="13.5" thickBot="1">
      <c r="A46" s="1311" t="s">
        <v>807</v>
      </c>
      <c r="C46" s="1312" t="e">
        <f ca="1">ROUND(C45,0)</f>
        <v>#DIV/0!</v>
      </c>
      <c r="D46" s="1313" t="str">
        <f>C2</f>
        <v>万元</v>
      </c>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6">
        <f ca="1">IF(M47="住宅",IF(D1="——",MAX(J51,L48),MAX(J51,L48-'数据-取费表'!B24)),IF(D1="——",MIN(J51,L48),MIN(J51,L48-'数据-取费表'!B24)))</f>
        <v>0</v>
      </c>
      <c r="K53" s="3434" t="s">
        <v>835</v>
      </c>
      <c r="L53" s="3435"/>
      <c r="O53" s="1325" t="s">
        <v>409</v>
      </c>
      <c r="P53" s="1326" t="s">
        <v>836</v>
      </c>
      <c r="Q53" s="1327" t="e">
        <f ca="1">Q47+Q48</f>
        <v>#DIV/0!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0</v>
      </c>
      <c r="D56" s="1352"/>
      <c r="E56" s="1353"/>
      <c r="F56" s="1345"/>
      <c r="I56" s="1354" t="s">
        <v>840</v>
      </c>
      <c r="J56" s="1355"/>
      <c r="K56" s="1328" t="s">
        <v>841</v>
      </c>
      <c r="L56" s="1331">
        <f ca="1">IF(L48&lt;J51,"——",L48-J51)</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890</v>
      </c>
      <c r="L57" s="1331">
        <f ca="1">IF(L48&lt;J51,"——",IF(L55="比较法",L49,IF(L55="基准地价",L50,L51)))</f>
        <v>0</v>
      </c>
      <c r="O57" s="1325" t="s">
        <v>404</v>
      </c>
      <c r="P57" s="1326" t="s">
        <v>891</v>
      </c>
      <c r="Q57" s="1327" t="e">
        <f ca="1">L60</f>
        <v>#DIV/0!</v>
      </c>
      <c r="R57" s="1327" t="s">
        <v>892</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0</v>
      </c>
      <c r="D59" s="909" t="s">
        <v>718</v>
      </c>
      <c r="E59" s="910" t="s">
        <v>719</v>
      </c>
      <c r="F59" s="2139"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IF(项目基本情况!B11="自然人","——",ROUND(C48*F60/(1+'数据-取费表'!C42),0))</f>
        <v>0</v>
      </c>
      <c r="D60" s="910" t="s">
        <v>722</v>
      </c>
      <c r="E60" s="896" t="s">
        <v>710</v>
      </c>
      <c r="F60" s="322">
        <f t="shared" ref="F60:F66" si="0">F32</f>
        <v>5.6000000000000001E-2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3323</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3</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ROUND(C48*F66,0)</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896</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897</v>
      </c>
    </row>
    <row r="6" spans="1:1" ht="18.75">
      <c r="A6" s="1384" t="s">
        <v>898</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估价对象为北京市房地产，为所有。根据《国有土地使用证》[]，估价对象（分摊）出让国有建设用地使用权面积为48565.52平方米，建筑面积为226041.84平方米。</v>
      </c>
    </row>
    <row r="8" spans="1:1" ht="57.75">
      <c r="A8" s="1385" t="s">
        <v>899</v>
      </c>
    </row>
    <row r="9" spans="1:1" ht="18.75">
      <c r="A9" s="1384" t="s">
        <v>900</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估价对象为北京市房地产,属开发建设的，该项目尚在开发建设中。根据《国有土地使用证》[]，估价对象（分摊）出让国有建设用地使用权面积为48565.52平方米，规划建筑面积为226041.84平方米。</v>
      </c>
    </row>
    <row r="11" spans="1:1" ht="76.5">
      <c r="A11" s="1385" t="s">
        <v>901</v>
      </c>
    </row>
    <row r="12" spans="1:1" ht="18.75">
      <c r="A12" s="1383" t="s">
        <v>902</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903</v>
      </c>
    </row>
    <row r="15" spans="1:1" ht="18">
      <c r="A15" s="1386" t="str">
        <f>TEXT(项目基本情况!D3,"yyyy年m月d日;;")&amp;IF(项目基本情况!D3=项目基本情况!B3,"（评估专业人员实地查勘之日）","")</f>
        <v>2025年10月14日（评估专业人员实地查勘之日）</v>
      </c>
    </row>
    <row r="16" spans="1:1" ht="18.75">
      <c r="A16" s="1381" t="s">
        <v>904</v>
      </c>
    </row>
    <row r="17" spans="1:1" ht="75">
      <c r="A17" s="1382" t="s">
        <v>905</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894</v>
      </c>
    </row>
    <row r="24" spans="1:1" ht="18">
      <c r="A24" s="1387" t="str">
        <f>"本次评估采用的主估价方法为"&amp;结果表!K4&amp;"和"&amp;结果表!L4&amp;"。"</f>
        <v>本次评估采用的主估价方法为比较法和收益法。</v>
      </c>
    </row>
    <row r="25" spans="1:1" ht="18">
      <c r="A25" s="1387"/>
    </row>
    <row r="26" spans="1:1" ht="18.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3346</v>
      </c>
      <c r="E2" s="3140"/>
      <c r="F2" s="2598"/>
      <c r="G2" s="2599"/>
      <c r="H2" s="2600"/>
      <c r="I2" s="2601"/>
      <c r="J2" s="3448" t="s">
        <v>2306</v>
      </c>
      <c r="K2" s="3449"/>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450" t="s">
        <v>2316</v>
      </c>
      <c r="K3" s="3451"/>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450" t="s">
        <v>2318</v>
      </c>
      <c r="K4" s="3451"/>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456" t="s">
        <v>2322</v>
      </c>
      <c r="B6" s="3457"/>
      <c r="C6" s="3458"/>
      <c r="D6" s="2622"/>
      <c r="E6" s="2623"/>
      <c r="F6" s="2624"/>
      <c r="G6" s="2625"/>
      <c r="H6" s="2600"/>
      <c r="I6" s="2601"/>
      <c r="J6" s="3442">
        <v>1</v>
      </c>
      <c r="K6" s="3443"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442"/>
      <c r="K7" s="3444"/>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459" t="s">
        <v>2336</v>
      </c>
      <c r="C8" s="3460"/>
      <c r="D8" s="2641" t="s">
        <v>2337</v>
      </c>
      <c r="E8" s="2642" t="s">
        <v>2338</v>
      </c>
      <c r="F8" s="2643" t="s">
        <v>2339</v>
      </c>
      <c r="G8" s="2644"/>
      <c r="H8" s="2600"/>
      <c r="I8" s="2601"/>
      <c r="J8" s="3442"/>
      <c r="K8" s="3444"/>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459" t="s">
        <v>2342</v>
      </c>
      <c r="C9" s="3460"/>
      <c r="D9" s="2641">
        <f>ROUND(D6*E9,0)</f>
        <v>0</v>
      </c>
      <c r="E9" s="2645"/>
      <c r="F9" s="2646" t="s">
        <v>2343</v>
      </c>
      <c r="G9" s="2625"/>
      <c r="H9" s="2600"/>
      <c r="I9" s="2601"/>
      <c r="J9" s="3442"/>
      <c r="K9" s="3444"/>
      <c r="L9" s="2635" t="s">
        <v>2344</v>
      </c>
      <c r="M9" s="2636"/>
      <c r="N9" s="2612"/>
      <c r="O9" s="2637"/>
      <c r="P9" s="2637"/>
      <c r="Q9" s="2638">
        <v>365</v>
      </c>
      <c r="R9" s="2639">
        <f t="shared" si="0"/>
        <v>0</v>
      </c>
      <c r="S9" s="2593"/>
      <c r="T9" s="2593"/>
      <c r="U9" s="2593"/>
      <c r="V9" s="2601"/>
    </row>
    <row r="10" spans="1:22" s="2605" customFormat="1" ht="13.15" customHeight="1">
      <c r="A10" s="2640">
        <v>2</v>
      </c>
      <c r="B10" s="3459" t="s">
        <v>2345</v>
      </c>
      <c r="C10" s="3460"/>
      <c r="D10" s="2641">
        <f>ROUND(D6*E10,0)</f>
        <v>0</v>
      </c>
      <c r="E10" s="2645"/>
      <c r="F10" s="2646" t="s">
        <v>2346</v>
      </c>
      <c r="G10" s="2625"/>
      <c r="H10" s="2600"/>
      <c r="I10" s="2601"/>
      <c r="J10" s="3442"/>
      <c r="K10" s="3444"/>
      <c r="L10" s="2635" t="s">
        <v>2347</v>
      </c>
      <c r="M10" s="2636"/>
      <c r="N10" s="2612"/>
      <c r="O10" s="2637"/>
      <c r="P10" s="2637"/>
      <c r="Q10" s="2638">
        <v>365</v>
      </c>
      <c r="R10" s="2639">
        <f t="shared" si="0"/>
        <v>0</v>
      </c>
      <c r="S10" s="2593"/>
      <c r="T10" s="2593"/>
      <c r="U10" s="2593"/>
      <c r="V10" s="2601"/>
    </row>
    <row r="11" spans="1:22" s="2605" customFormat="1" ht="13.15" customHeight="1">
      <c r="A11" s="2640">
        <v>3</v>
      </c>
      <c r="B11" s="3459" t="s">
        <v>2348</v>
      </c>
      <c r="C11" s="3460"/>
      <c r="D11" s="2641">
        <f>D12+D14+D15+D16</f>
        <v>0</v>
      </c>
      <c r="E11" s="2647" t="e">
        <f>D11/D6</f>
        <v>#DIV/0!</v>
      </c>
      <c r="F11" s="2643"/>
      <c r="G11" s="2644"/>
      <c r="H11" s="2600"/>
      <c r="I11" s="2601"/>
      <c r="J11" s="3442"/>
      <c r="K11" s="3444"/>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452" t="s">
        <v>2351</v>
      </c>
      <c r="C12" s="3453"/>
      <c r="D12" s="2649">
        <f>ROUND(D13*1.2%*(1-30%),0)</f>
        <v>0</v>
      </c>
      <c r="E12" s="2650">
        <v>1.2E-2</v>
      </c>
      <c r="F12" s="2643" t="s">
        <v>2352</v>
      </c>
      <c r="G12" s="2644"/>
      <c r="H12" s="2600"/>
      <c r="I12" s="2601"/>
      <c r="J12" s="3442"/>
      <c r="K12" s="3444"/>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442"/>
      <c r="K13" s="3444"/>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452" t="s">
        <v>2357</v>
      </c>
      <c r="C14" s="3453"/>
      <c r="D14" s="2649">
        <f>ROUND(E14*B5/10000,0)</f>
        <v>0</v>
      </c>
      <c r="E14" s="2638"/>
      <c r="F14" s="2643" t="s">
        <v>2358</v>
      </c>
      <c r="G14" s="2644"/>
      <c r="H14" s="2600"/>
      <c r="I14" s="2601"/>
      <c r="J14" s="3442"/>
      <c r="K14" s="3445"/>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452" t="s">
        <v>2361</v>
      </c>
      <c r="C15" s="3453"/>
      <c r="D15" s="2649">
        <f>ROUND(D6*E15,0)</f>
        <v>0</v>
      </c>
      <c r="E15" s="2650">
        <v>5.5E-2</v>
      </c>
      <c r="F15" s="2643" t="s">
        <v>2362</v>
      </c>
      <c r="G15" s="2625"/>
      <c r="H15" s="2600"/>
      <c r="I15" s="2601"/>
      <c r="J15" s="3442">
        <v>2</v>
      </c>
      <c r="K15" s="3443"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452" t="s">
        <v>2370</v>
      </c>
      <c r="C16" s="3453"/>
      <c r="D16" s="2660">
        <f>D6*E16</f>
        <v>0</v>
      </c>
      <c r="E16" s="2661"/>
      <c r="F16" s="2646" t="s">
        <v>2371</v>
      </c>
      <c r="G16" s="2625"/>
      <c r="H16" s="2600"/>
      <c r="I16" s="2601"/>
      <c r="J16" s="3442"/>
      <c r="K16" s="3444"/>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454" t="s">
        <v>2373</v>
      </c>
      <c r="C17" s="3455"/>
      <c r="D17" s="2663">
        <f>ROUND(D6*E17,0)</f>
        <v>0</v>
      </c>
      <c r="E17" s="2664"/>
      <c r="F17" s="2665" t="s">
        <v>2374</v>
      </c>
      <c r="G17" s="2625"/>
      <c r="H17" s="2600"/>
      <c r="I17" s="2601"/>
      <c r="J17" s="3442"/>
      <c r="K17" s="3444"/>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442"/>
      <c r="K18" s="3444"/>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442"/>
      <c r="K19" s="3445"/>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2">
        <v>3</v>
      </c>
      <c r="K20" s="3443"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442"/>
      <c r="K21" s="3444"/>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442"/>
      <c r="K22" s="3444"/>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442"/>
      <c r="K23" s="3444"/>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442"/>
      <c r="K24" s="3445"/>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446">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44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448" t="s">
        <v>2306</v>
      </c>
      <c r="K32" s="3449"/>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450" t="s">
        <v>2316</v>
      </c>
      <c r="K33" s="3451"/>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450" t="s">
        <v>2318</v>
      </c>
      <c r="K34" s="345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442">
        <v>1</v>
      </c>
      <c r="K36" s="3443"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442"/>
      <c r="K37" s="3444"/>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2"/>
      <c r="K38" s="3444"/>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442"/>
      <c r="K39" s="3444"/>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442"/>
      <c r="K40" s="3445"/>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446">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44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300178</v>
      </c>
      <c r="C2" s="1729" t="s">
        <v>1649</v>
      </c>
      <c r="D2" s="1730" t="s">
        <v>1650</v>
      </c>
      <c r="E2" s="2393">
        <f>SUM(E6:E13)</f>
        <v>226041.83999999997</v>
      </c>
      <c r="F2" s="2480"/>
      <c r="G2" s="459"/>
      <c r="H2" s="459"/>
      <c r="I2" s="459"/>
      <c r="J2" s="459"/>
      <c r="K2" s="459"/>
      <c r="L2" s="459"/>
      <c r="M2" s="459"/>
      <c r="N2" s="459"/>
      <c r="O2" s="459"/>
      <c r="P2" s="459"/>
      <c r="Q2" s="459"/>
      <c r="R2" s="459"/>
      <c r="S2" s="459"/>
    </row>
    <row r="3" spans="1:22" ht="15.75">
      <c r="A3" s="1728" t="s">
        <v>684</v>
      </c>
      <c r="B3" s="2387">
        <f ca="1">ROUND(B2*10000/E2,0)</f>
        <v>13280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61" t="s">
        <v>1652</v>
      </c>
      <c r="C5" s="3462"/>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208585</v>
      </c>
      <c r="C6" s="1729" t="s">
        <v>1649</v>
      </c>
      <c r="D6" s="2480"/>
      <c r="E6" s="2392">
        <f>IF(OR(A6=0,F6="否"),0,'数据-取费表'!K6+'数据-取费表'!S6)</f>
        <v>93029.189999999988</v>
      </c>
      <c r="F6" s="1732" t="s">
        <v>1655</v>
      </c>
      <c r="G6" s="459"/>
      <c r="H6" s="459"/>
      <c r="I6" s="459"/>
      <c r="J6" s="459"/>
      <c r="K6" s="459"/>
      <c r="L6" s="459"/>
      <c r="M6" s="459"/>
      <c r="N6" s="459"/>
      <c r="O6" s="459"/>
      <c r="P6" s="459"/>
      <c r="Q6" s="459"/>
      <c r="R6" s="459"/>
      <c r="S6" s="459"/>
    </row>
    <row r="7" spans="1:22">
      <c r="A7" s="2390" t="str">
        <f>'数据-取费表'!AN7</f>
        <v>收益法地下</v>
      </c>
      <c r="B7" s="2388">
        <f ca="1">IF(F7="是",'数据-取费表'!AO7,0)</f>
        <v>91593</v>
      </c>
      <c r="C7" s="1729" t="s">
        <v>1649</v>
      </c>
      <c r="D7" s="2480"/>
      <c r="E7" s="2392">
        <f>IF(OR(A7=0,F7="否"),0,'数据-取费表'!K7+'数据-取费表'!S7)</f>
        <v>133012.65</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226041.84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02" t="s">
        <v>1665</v>
      </c>
      <c r="D4" s="3403"/>
      <c r="E4" s="3404" t="s">
        <v>1666</v>
      </c>
      <c r="F4" s="3405"/>
      <c r="G4" s="3402" t="s">
        <v>1667</v>
      </c>
      <c r="H4" s="3403"/>
      <c r="I4" s="3402" t="s">
        <v>1668</v>
      </c>
      <c r="J4" s="3403"/>
      <c r="K4" s="1744" t="s">
        <v>1669</v>
      </c>
      <c r="L4" s="2487"/>
      <c r="M4" s="2488"/>
      <c r="N4" s="2488"/>
      <c r="O4" s="2488"/>
      <c r="P4" s="3467" t="s">
        <v>1670</v>
      </c>
      <c r="Q4" s="3468"/>
      <c r="R4" s="3471" t="s">
        <v>1666</v>
      </c>
      <c r="S4" s="3472"/>
      <c r="T4" s="3471" t="s">
        <v>1667</v>
      </c>
      <c r="U4" s="3472"/>
      <c r="V4" s="3386" t="s">
        <v>1668</v>
      </c>
      <c r="W4" s="3386"/>
      <c r="X4" s="1265"/>
      <c r="Y4" s="3471" t="s">
        <v>1670</v>
      </c>
      <c r="Z4" s="3472"/>
      <c r="AA4" s="3466" t="s">
        <v>1666</v>
      </c>
      <c r="AB4" s="3466" t="s">
        <v>1667</v>
      </c>
      <c r="AC4" s="3466" t="s">
        <v>1668</v>
      </c>
    </row>
    <row r="5" spans="1:29" ht="15">
      <c r="A5" s="348"/>
      <c r="B5" s="349"/>
      <c r="C5" s="3421" t="s">
        <v>1671</v>
      </c>
      <c r="D5" s="3422"/>
      <c r="E5" s="3432" t="s">
        <v>1672</v>
      </c>
      <c r="F5" s="3433"/>
      <c r="G5" s="3421" t="s">
        <v>1673</v>
      </c>
      <c r="H5" s="3422"/>
      <c r="I5" s="3421" t="s">
        <v>1674</v>
      </c>
      <c r="J5" s="3422"/>
      <c r="K5" s="1745"/>
      <c r="L5" s="2487"/>
      <c r="M5" s="2488"/>
      <c r="N5" s="2488"/>
      <c r="O5" s="2488"/>
      <c r="P5" s="3469"/>
      <c r="Q5" s="3409"/>
      <c r="R5" s="3414"/>
      <c r="S5" s="3415"/>
      <c r="T5" s="3414"/>
      <c r="U5" s="3415"/>
      <c r="V5" s="3386"/>
      <c r="W5" s="3386"/>
      <c r="X5" s="1265"/>
      <c r="Y5" s="3414"/>
      <c r="Z5" s="3415"/>
      <c r="AA5" s="3430"/>
      <c r="AB5" s="3430"/>
      <c r="AC5" s="3430"/>
    </row>
    <row r="6" spans="1:29" ht="15.75" thickBot="1">
      <c r="A6" s="350"/>
      <c r="B6" s="351"/>
      <c r="C6" s="3419" t="s">
        <v>1675</v>
      </c>
      <c r="D6" s="3420"/>
      <c r="E6" s="3427" t="s">
        <v>1675</v>
      </c>
      <c r="F6" s="3428"/>
      <c r="G6" s="3419" t="s">
        <v>1675</v>
      </c>
      <c r="H6" s="3420"/>
      <c r="I6" s="3419" t="s">
        <v>1675</v>
      </c>
      <c r="J6" s="3420"/>
      <c r="K6" s="1745" t="s">
        <v>1676</v>
      </c>
      <c r="L6" s="2487"/>
      <c r="M6" s="2488"/>
      <c r="N6" s="2488"/>
      <c r="O6" s="2488"/>
      <c r="P6" s="3470"/>
      <c r="Q6" s="3411"/>
      <c r="R6" s="3414"/>
      <c r="S6" s="3415"/>
      <c r="T6" s="3416"/>
      <c r="U6" s="3417"/>
      <c r="V6" s="3386"/>
      <c r="W6" s="3386"/>
      <c r="X6" s="1265"/>
      <c r="Y6" s="3416"/>
      <c r="Z6" s="3417"/>
      <c r="AA6" s="3431"/>
      <c r="AB6" s="3431"/>
      <c r="AC6" s="3431"/>
    </row>
    <row r="7" spans="1:29" s="102" customFormat="1" ht="15.75" thickBot="1">
      <c r="A7" s="352" t="s">
        <v>1677</v>
      </c>
      <c r="B7" s="353"/>
      <c r="C7" s="354">
        <f>'数据-取费表'!B2</f>
        <v>45944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5" t="s">
        <v>1678</v>
      </c>
      <c r="Q7" s="3426"/>
      <c r="R7" s="664" t="s">
        <v>20</v>
      </c>
      <c r="S7" s="665">
        <f t="shared" ref="S7:S15" si="0">F7</f>
        <v>0</v>
      </c>
      <c r="T7" s="664" t="s">
        <v>20</v>
      </c>
      <c r="U7" s="665">
        <f t="shared" ref="U7:U15" si="1">H7</f>
        <v>0</v>
      </c>
      <c r="V7" s="664" t="s">
        <v>20</v>
      </c>
      <c r="W7" s="665">
        <f t="shared" ref="W7:W15" si="2">J7</f>
        <v>0</v>
      </c>
      <c r="X7" s="666"/>
      <c r="Y7" s="3425" t="s">
        <v>1678</v>
      </c>
      <c r="Z7" s="3424"/>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5" t="s">
        <v>1681</v>
      </c>
      <c r="Q8" s="3424"/>
      <c r="R8" s="664" t="s">
        <v>20</v>
      </c>
      <c r="S8" s="665">
        <f t="shared" si="0"/>
        <v>100</v>
      </c>
      <c r="T8" s="664" t="s">
        <v>20</v>
      </c>
      <c r="U8" s="665">
        <f t="shared" si="1"/>
        <v>100</v>
      </c>
      <c r="V8" s="664" t="s">
        <v>20</v>
      </c>
      <c r="W8" s="665">
        <f t="shared" si="2"/>
        <v>100</v>
      </c>
      <c r="X8" s="666"/>
      <c r="Y8" s="3425" t="s">
        <v>1681</v>
      </c>
      <c r="Z8" s="3424"/>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4" t="s">
        <v>1684</v>
      </c>
      <c r="Q9" s="530" t="str">
        <f t="shared" ref="Q9:Q15" si="6">B9</f>
        <v>用途</v>
      </c>
      <c r="R9" s="664" t="s">
        <v>14</v>
      </c>
      <c r="S9" s="665">
        <f t="shared" si="0"/>
        <v>100</v>
      </c>
      <c r="T9" s="664" t="s">
        <v>14</v>
      </c>
      <c r="U9" s="665">
        <f t="shared" si="1"/>
        <v>100</v>
      </c>
      <c r="V9" s="664" t="s">
        <v>14</v>
      </c>
      <c r="W9" s="665">
        <f t="shared" si="2"/>
        <v>100</v>
      </c>
      <c r="X9" s="666"/>
      <c r="Y9" s="329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9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4"/>
      <c r="Q11" s="530" t="str">
        <f t="shared" si="6"/>
        <v>容积率</v>
      </c>
      <c r="R11" s="664" t="s">
        <v>18</v>
      </c>
      <c r="S11" s="665" t="e">
        <f t="shared" si="0"/>
        <v>#N/A</v>
      </c>
      <c r="T11" s="664" t="s">
        <v>18</v>
      </c>
      <c r="U11" s="665" t="e">
        <f t="shared" si="1"/>
        <v>#N/A</v>
      </c>
      <c r="V11" s="664" t="s">
        <v>18</v>
      </c>
      <c r="W11" s="665" t="e">
        <f t="shared" si="2"/>
        <v>#N/A</v>
      </c>
      <c r="X11" s="666"/>
      <c r="Y11" s="329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4"/>
      <c r="Q12" s="530">
        <f t="shared" si="6"/>
        <v>111</v>
      </c>
      <c r="R12" s="664" t="s">
        <v>18</v>
      </c>
      <c r="S12" s="665">
        <f t="shared" si="0"/>
        <v>100</v>
      </c>
      <c r="T12" s="664" t="s">
        <v>18</v>
      </c>
      <c r="U12" s="665">
        <f t="shared" si="1"/>
        <v>100</v>
      </c>
      <c r="V12" s="664" t="s">
        <v>18</v>
      </c>
      <c r="W12" s="665">
        <f t="shared" si="2"/>
        <v>100</v>
      </c>
      <c r="X12" s="666"/>
      <c r="Y12" s="329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4"/>
      <c r="Q13" s="530">
        <f t="shared" si="6"/>
        <v>111</v>
      </c>
      <c r="R13" s="664" t="s">
        <v>18</v>
      </c>
      <c r="S13" s="665">
        <f t="shared" si="0"/>
        <v>100</v>
      </c>
      <c r="T13" s="664" t="s">
        <v>18</v>
      </c>
      <c r="U13" s="665">
        <f t="shared" si="1"/>
        <v>100</v>
      </c>
      <c r="V13" s="664" t="s">
        <v>18</v>
      </c>
      <c r="W13" s="665">
        <f t="shared" si="2"/>
        <v>100</v>
      </c>
      <c r="X13" s="666"/>
      <c r="Y13" s="329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4"/>
      <c r="Q14" s="530">
        <f t="shared" si="6"/>
        <v>111</v>
      </c>
      <c r="R14" s="664" t="s">
        <v>18</v>
      </c>
      <c r="S14" s="665">
        <f t="shared" si="0"/>
        <v>100</v>
      </c>
      <c r="T14" s="664" t="s">
        <v>18</v>
      </c>
      <c r="U14" s="665">
        <f t="shared" si="1"/>
        <v>100</v>
      </c>
      <c r="V14" s="664" t="s">
        <v>18</v>
      </c>
      <c r="W14" s="665">
        <f t="shared" si="2"/>
        <v>100</v>
      </c>
      <c r="X14" s="666"/>
      <c r="Y14" s="3291"/>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0" t="s">
        <v>1689</v>
      </c>
      <c r="Q15" s="1263" t="str">
        <f t="shared" si="6"/>
        <v>居住社区成熟度</v>
      </c>
      <c r="R15" s="667" t="s">
        <v>18</v>
      </c>
      <c r="S15" s="668">
        <f t="shared" si="0"/>
        <v>100</v>
      </c>
      <c r="T15" s="667" t="s">
        <v>18</v>
      </c>
      <c r="U15" s="668">
        <f t="shared" si="1"/>
        <v>100</v>
      </c>
      <c r="V15" s="667" t="s">
        <v>18</v>
      </c>
      <c r="W15" s="668">
        <f t="shared" si="2"/>
        <v>100</v>
      </c>
      <c r="X15" s="1265"/>
      <c r="Y15" s="339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1"/>
      <c r="Q16" s="1263"/>
      <c r="R16" s="667"/>
      <c r="S16" s="668"/>
      <c r="T16" s="667"/>
      <c r="U16" s="668"/>
      <c r="V16" s="667"/>
      <c r="W16" s="668"/>
      <c r="X16" s="1265"/>
      <c r="Y16" s="3393"/>
      <c r="Z16" s="1264"/>
      <c r="AA16" s="1264">
        <v>1</v>
      </c>
      <c r="AB16" s="1264">
        <v>1</v>
      </c>
      <c r="AC16" s="1264">
        <v>1</v>
      </c>
    </row>
    <row r="17" spans="1:29" ht="15">
      <c r="A17" s="367"/>
      <c r="B17" s="390" t="s">
        <v>1257</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1"/>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1"/>
      <c r="Q18" s="1263"/>
      <c r="R18" s="667"/>
      <c r="S18" s="668"/>
      <c r="T18" s="667"/>
      <c r="U18" s="668"/>
      <c r="V18" s="667"/>
      <c r="W18" s="668"/>
      <c r="X18" s="1265"/>
      <c r="Y18" s="3393"/>
      <c r="Z18" s="1264"/>
      <c r="AA18" s="1264">
        <v>1</v>
      </c>
      <c r="AB18" s="1264">
        <v>1</v>
      </c>
      <c r="AC18" s="1264">
        <v>1</v>
      </c>
    </row>
    <row r="19" spans="1:29" ht="15">
      <c r="A19" s="367"/>
      <c r="B19" s="390" t="s">
        <v>1256</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1"/>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1"/>
      <c r="Q20" s="1263"/>
      <c r="R20" s="667"/>
      <c r="S20" s="668"/>
      <c r="T20" s="667"/>
      <c r="U20" s="668"/>
      <c r="V20" s="667"/>
      <c r="W20" s="668"/>
      <c r="X20" s="1265"/>
      <c r="Y20" s="3393"/>
      <c r="Z20" s="1264"/>
      <c r="AA20" s="1264">
        <v>1</v>
      </c>
      <c r="AB20" s="1264">
        <v>1</v>
      </c>
      <c r="AC20" s="1264">
        <v>1</v>
      </c>
    </row>
    <row r="21" spans="1:29" ht="15">
      <c r="A21" s="367"/>
      <c r="B21" s="586" t="s">
        <v>1258</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1"/>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1"/>
      <c r="Q22" s="1263"/>
      <c r="R22" s="667"/>
      <c r="S22" s="668"/>
      <c r="T22" s="667"/>
      <c r="U22" s="668"/>
      <c r="V22" s="667"/>
      <c r="W22" s="668"/>
      <c r="X22" s="1265"/>
      <c r="Y22" s="3393"/>
      <c r="Z22" s="1264"/>
      <c r="AA22" s="1264">
        <v>1</v>
      </c>
      <c r="AB22" s="1264">
        <v>1</v>
      </c>
      <c r="AC22" s="1264">
        <v>1</v>
      </c>
    </row>
    <row r="23" spans="1:29" ht="15">
      <c r="A23" s="367"/>
      <c r="B23" s="390" t="s">
        <v>1259</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1"/>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1"/>
      <c r="Q24" s="1263"/>
      <c r="R24" s="667"/>
      <c r="S24" s="668"/>
      <c r="T24" s="667"/>
      <c r="U24" s="668"/>
      <c r="V24" s="667"/>
      <c r="W24" s="668"/>
      <c r="X24" s="1265"/>
      <c r="Y24" s="339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1"/>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1"/>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1"/>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1"/>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1"/>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1"/>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4" t="s">
        <v>1694</v>
      </c>
      <c r="Q32" s="1263" t="str">
        <f t="shared" si="11"/>
        <v>建筑类型</v>
      </c>
      <c r="R32" s="667" t="s">
        <v>18</v>
      </c>
      <c r="S32" s="668">
        <f t="shared" si="12"/>
        <v>100</v>
      </c>
      <c r="T32" s="667" t="s">
        <v>18</v>
      </c>
      <c r="U32" s="668">
        <f t="shared" si="13"/>
        <v>100</v>
      </c>
      <c r="V32" s="667" t="s">
        <v>18</v>
      </c>
      <c r="W32" s="668">
        <f t="shared" si="14"/>
        <v>100</v>
      </c>
      <c r="X32" s="1265"/>
      <c r="Y32" s="339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5"/>
      <c r="Q33" s="531" t="str">
        <f t="shared" si="11"/>
        <v>项目建筑规模</v>
      </c>
      <c r="R33" s="669" t="s">
        <v>18</v>
      </c>
      <c r="S33" s="670" t="e">
        <f t="shared" si="12"/>
        <v>#N/A</v>
      </c>
      <c r="T33" s="669" t="s">
        <v>18</v>
      </c>
      <c r="U33" s="670" t="e">
        <f t="shared" si="13"/>
        <v>#N/A</v>
      </c>
      <c r="V33" s="669" t="s">
        <v>18</v>
      </c>
      <c r="W33" s="670" t="e">
        <f t="shared" si="14"/>
        <v>#N/A</v>
      </c>
      <c r="X33" s="671"/>
      <c r="Y33" s="3397"/>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5"/>
      <c r="Q34" s="1263" t="str">
        <f t="shared" si="11"/>
        <v>建筑结构</v>
      </c>
      <c r="R34" s="667" t="s">
        <v>18</v>
      </c>
      <c r="S34" s="668">
        <f t="shared" si="12"/>
        <v>100</v>
      </c>
      <c r="T34" s="667" t="s">
        <v>18</v>
      </c>
      <c r="U34" s="668">
        <f t="shared" si="13"/>
        <v>100</v>
      </c>
      <c r="V34" s="667" t="s">
        <v>18</v>
      </c>
      <c r="W34" s="668">
        <f t="shared" si="14"/>
        <v>100</v>
      </c>
      <c r="X34" s="1265"/>
      <c r="Y34" s="339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5"/>
      <c r="Q35" s="1263" t="str">
        <f t="shared" si="11"/>
        <v>建筑品质</v>
      </c>
      <c r="R35" s="667" t="s">
        <v>18</v>
      </c>
      <c r="S35" s="668">
        <f t="shared" si="12"/>
        <v>100</v>
      </c>
      <c r="T35" s="667" t="s">
        <v>18</v>
      </c>
      <c r="U35" s="668">
        <f t="shared" si="13"/>
        <v>100</v>
      </c>
      <c r="V35" s="667" t="s">
        <v>18</v>
      </c>
      <c r="W35" s="668">
        <f t="shared" si="14"/>
        <v>100</v>
      </c>
      <c r="X35" s="1265"/>
      <c r="Y35" s="339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5"/>
      <c r="Q36" s="1263" t="str">
        <f t="shared" si="11"/>
        <v>公共部分装修</v>
      </c>
      <c r="R36" s="667" t="s">
        <v>18</v>
      </c>
      <c r="S36" s="668">
        <f t="shared" si="12"/>
        <v>100</v>
      </c>
      <c r="T36" s="667" t="s">
        <v>18</v>
      </c>
      <c r="U36" s="668">
        <f t="shared" si="13"/>
        <v>100</v>
      </c>
      <c r="V36" s="667" t="s">
        <v>18</v>
      </c>
      <c r="W36" s="668">
        <f t="shared" si="14"/>
        <v>100</v>
      </c>
      <c r="X36" s="1265"/>
      <c r="Y36" s="339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5"/>
      <c r="Q37" s="530" t="str">
        <f t="shared" si="11"/>
        <v>成新度</v>
      </c>
      <c r="R37" s="664" t="s">
        <v>18</v>
      </c>
      <c r="S37" s="665" t="e">
        <f t="shared" si="12"/>
        <v>#N/A</v>
      </c>
      <c r="T37" s="664" t="s">
        <v>18</v>
      </c>
      <c r="U37" s="665" t="e">
        <f t="shared" si="13"/>
        <v>#N/A</v>
      </c>
      <c r="V37" s="664" t="s">
        <v>18</v>
      </c>
      <c r="W37" s="665" t="e">
        <f t="shared" si="14"/>
        <v>#N/A</v>
      </c>
      <c r="X37" s="666"/>
      <c r="Y37" s="339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5" t="s">
        <v>1694</v>
      </c>
      <c r="Q38" s="1263" t="str">
        <f t="shared" si="11"/>
        <v>物业管理</v>
      </c>
      <c r="R38" s="667" t="s">
        <v>18</v>
      </c>
      <c r="S38" s="668">
        <f t="shared" si="12"/>
        <v>100</v>
      </c>
      <c r="T38" s="667" t="s">
        <v>18</v>
      </c>
      <c r="U38" s="668">
        <f t="shared" si="13"/>
        <v>100</v>
      </c>
      <c r="V38" s="667" t="s">
        <v>18</v>
      </c>
      <c r="W38" s="668">
        <f t="shared" si="14"/>
        <v>100</v>
      </c>
      <c r="X38" s="1265"/>
      <c r="Y38" s="339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5"/>
      <c r="Q39" s="1263" t="str">
        <f t="shared" si="11"/>
        <v>市政基础设施</v>
      </c>
      <c r="R39" s="667" t="s">
        <v>18</v>
      </c>
      <c r="S39" s="668">
        <f t="shared" si="12"/>
        <v>100</v>
      </c>
      <c r="T39" s="667" t="s">
        <v>18</v>
      </c>
      <c r="U39" s="668">
        <f t="shared" si="13"/>
        <v>100</v>
      </c>
      <c r="V39" s="667" t="s">
        <v>18</v>
      </c>
      <c r="W39" s="668">
        <f t="shared" si="14"/>
        <v>100</v>
      </c>
      <c r="X39" s="1265"/>
      <c r="Y39" s="339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5"/>
      <c r="Q40" s="1263" t="str">
        <f t="shared" si="11"/>
        <v>房型</v>
      </c>
      <c r="R40" s="667" t="s">
        <v>18</v>
      </c>
      <c r="S40" s="668">
        <f t="shared" si="12"/>
        <v>100</v>
      </c>
      <c r="T40" s="667" t="s">
        <v>18</v>
      </c>
      <c r="U40" s="668">
        <f t="shared" si="13"/>
        <v>100</v>
      </c>
      <c r="V40" s="667" t="s">
        <v>18</v>
      </c>
      <c r="W40" s="668">
        <f t="shared" si="14"/>
        <v>100</v>
      </c>
      <c r="X40" s="1265"/>
      <c r="Y40" s="339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5"/>
      <c r="Q41" s="531" t="str">
        <f t="shared" si="11"/>
        <v>单套/主力户型建筑面积</v>
      </c>
      <c r="R41" s="669" t="s">
        <v>18</v>
      </c>
      <c r="S41" s="670">
        <f t="shared" si="12"/>
        <v>100</v>
      </c>
      <c r="T41" s="669" t="s">
        <v>18</v>
      </c>
      <c r="U41" s="670">
        <f t="shared" si="13"/>
        <v>100</v>
      </c>
      <c r="V41" s="669" t="s">
        <v>18</v>
      </c>
      <c r="W41" s="670">
        <f t="shared" si="14"/>
        <v>100</v>
      </c>
      <c r="X41" s="671"/>
      <c r="Y41" s="339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5"/>
      <c r="Q42" s="1263" t="str">
        <f t="shared" si="11"/>
        <v>内部装修</v>
      </c>
      <c r="R42" s="667" t="s">
        <v>18</v>
      </c>
      <c r="S42" s="668">
        <f t="shared" si="12"/>
        <v>100</v>
      </c>
      <c r="T42" s="667" t="s">
        <v>18</v>
      </c>
      <c r="U42" s="668">
        <f t="shared" si="13"/>
        <v>100</v>
      </c>
      <c r="V42" s="667" t="s">
        <v>18</v>
      </c>
      <c r="W42" s="668">
        <f t="shared" si="14"/>
        <v>100</v>
      </c>
      <c r="X42" s="1265"/>
      <c r="Y42" s="339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5"/>
      <c r="Q43" s="1263" t="str">
        <f t="shared" si="11"/>
        <v>内部装修维护情况</v>
      </c>
      <c r="R43" s="667" t="s">
        <v>18</v>
      </c>
      <c r="S43" s="668">
        <f t="shared" si="12"/>
        <v>100</v>
      </c>
      <c r="T43" s="667" t="s">
        <v>18</v>
      </c>
      <c r="U43" s="668">
        <f t="shared" si="13"/>
        <v>100</v>
      </c>
      <c r="V43" s="667" t="s">
        <v>18</v>
      </c>
      <c r="W43" s="668">
        <f t="shared" si="14"/>
        <v>100</v>
      </c>
      <c r="X43" s="1265"/>
      <c r="Y43" s="33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5"/>
      <c r="Q44" s="530">
        <f t="shared" si="11"/>
        <v>111</v>
      </c>
      <c r="R44" s="664" t="s">
        <v>18</v>
      </c>
      <c r="S44" s="665">
        <f t="shared" si="12"/>
        <v>100</v>
      </c>
      <c r="T44" s="664" t="s">
        <v>18</v>
      </c>
      <c r="U44" s="665">
        <f t="shared" si="13"/>
        <v>100</v>
      </c>
      <c r="V44" s="664" t="s">
        <v>18</v>
      </c>
      <c r="W44" s="665">
        <f t="shared" si="14"/>
        <v>100</v>
      </c>
      <c r="X44" s="666"/>
      <c r="Y44" s="33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5"/>
      <c r="Q45" s="1263">
        <f t="shared" si="11"/>
        <v>111</v>
      </c>
      <c r="R45" s="667" t="s">
        <v>18</v>
      </c>
      <c r="S45" s="668">
        <f t="shared" si="12"/>
        <v>100</v>
      </c>
      <c r="T45" s="667" t="s">
        <v>18</v>
      </c>
      <c r="U45" s="668">
        <f t="shared" si="13"/>
        <v>100</v>
      </c>
      <c r="V45" s="667" t="s">
        <v>18</v>
      </c>
      <c r="W45" s="668">
        <f t="shared" si="14"/>
        <v>100</v>
      </c>
      <c r="X45" s="1265"/>
      <c r="Y45" s="339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6"/>
      <c r="Q46" s="1263">
        <f t="shared" si="11"/>
        <v>111</v>
      </c>
      <c r="R46" s="667" t="s">
        <v>17</v>
      </c>
      <c r="S46" s="668">
        <f t="shared" si="12"/>
        <v>100</v>
      </c>
      <c r="T46" s="667" t="s">
        <v>17</v>
      </c>
      <c r="U46" s="668">
        <f t="shared" si="13"/>
        <v>100</v>
      </c>
      <c r="V46" s="667" t="s">
        <v>17</v>
      </c>
      <c r="W46" s="668">
        <f t="shared" si="14"/>
        <v>100</v>
      </c>
      <c r="X46" s="1265"/>
      <c r="Y46" s="339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226041.84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67" t="s">
        <v>1773</v>
      </c>
      <c r="Q4" s="3468"/>
      <c r="R4" s="3471" t="s">
        <v>1769</v>
      </c>
      <c r="S4" s="3472"/>
      <c r="T4" s="3471" t="s">
        <v>1770</v>
      </c>
      <c r="U4" s="3472"/>
      <c r="V4" s="3386" t="s">
        <v>1771</v>
      </c>
      <c r="W4" s="3386"/>
      <c r="X4" s="1265"/>
      <c r="Y4" s="3471" t="s">
        <v>1773</v>
      </c>
      <c r="Z4" s="3472"/>
      <c r="AA4" s="3466" t="s">
        <v>1769</v>
      </c>
      <c r="AB4" s="3386" t="s">
        <v>1770</v>
      </c>
      <c r="AC4" s="3466" t="s">
        <v>1771</v>
      </c>
    </row>
    <row r="5" spans="1:29" ht="15">
      <c r="A5" s="348"/>
      <c r="B5" s="349"/>
      <c r="C5" s="3421" t="s">
        <v>1671</v>
      </c>
      <c r="D5" s="3422"/>
      <c r="E5" s="3432" t="s">
        <v>1672</v>
      </c>
      <c r="F5" s="3433"/>
      <c r="G5" s="3421" t="s">
        <v>1673</v>
      </c>
      <c r="H5" s="3422"/>
      <c r="I5" s="3421" t="s">
        <v>1674</v>
      </c>
      <c r="J5" s="3422"/>
      <c r="K5" s="537"/>
      <c r="L5" s="2487"/>
      <c r="M5" s="2488"/>
      <c r="N5" s="2488"/>
      <c r="O5" s="2488"/>
      <c r="P5" s="3469"/>
      <c r="Q5" s="3409"/>
      <c r="R5" s="3414"/>
      <c r="S5" s="3415"/>
      <c r="T5" s="3414"/>
      <c r="U5" s="3415"/>
      <c r="V5" s="3386"/>
      <c r="W5" s="3386"/>
      <c r="X5" s="1265"/>
      <c r="Y5" s="3414"/>
      <c r="Z5" s="3415"/>
      <c r="AA5" s="3430"/>
      <c r="AB5" s="3386"/>
      <c r="AC5" s="3430"/>
    </row>
    <row r="6" spans="1:29" ht="15.75" thickBot="1">
      <c r="A6" s="350"/>
      <c r="B6" s="351"/>
      <c r="C6" s="3419" t="s">
        <v>1675</v>
      </c>
      <c r="D6" s="3420"/>
      <c r="E6" s="3427" t="s">
        <v>1675</v>
      </c>
      <c r="F6" s="3428"/>
      <c r="G6" s="3419" t="s">
        <v>1675</v>
      </c>
      <c r="H6" s="3420"/>
      <c r="I6" s="3419" t="s">
        <v>1675</v>
      </c>
      <c r="J6" s="3420"/>
      <c r="K6" s="537" t="s">
        <v>1676</v>
      </c>
      <c r="L6" s="2487"/>
      <c r="M6" s="2488"/>
      <c r="N6" s="2488"/>
      <c r="O6" s="2488"/>
      <c r="P6" s="3470"/>
      <c r="Q6" s="3411"/>
      <c r="R6" s="3414"/>
      <c r="S6" s="3415"/>
      <c r="T6" s="3416"/>
      <c r="U6" s="3417"/>
      <c r="V6" s="3386"/>
      <c r="W6" s="3386"/>
      <c r="X6" s="1265"/>
      <c r="Y6" s="3416"/>
      <c r="Z6" s="3417"/>
      <c r="AA6" s="3431"/>
      <c r="AB6" s="3386"/>
      <c r="AC6" s="3431"/>
    </row>
    <row r="7" spans="1:29" s="102" customFormat="1" ht="15.75" thickBot="1">
      <c r="A7" s="352" t="s">
        <v>1677</v>
      </c>
      <c r="B7" s="353"/>
      <c r="C7" s="354">
        <f>'数据-取费表'!B2</f>
        <v>45944</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5" t="s">
        <v>1678</v>
      </c>
      <c r="Q7" s="3426"/>
      <c r="R7" s="664" t="s">
        <v>14</v>
      </c>
      <c r="S7" s="665">
        <f t="shared" ref="S7:S15" si="0">F7</f>
        <v>0</v>
      </c>
      <c r="T7" s="664" t="s">
        <v>14</v>
      </c>
      <c r="U7" s="665">
        <f t="shared" ref="U7:U15" si="1">H7</f>
        <v>0</v>
      </c>
      <c r="V7" s="664" t="s">
        <v>14</v>
      </c>
      <c r="W7" s="665">
        <f t="shared" ref="W7:W15" si="2">J7</f>
        <v>0</v>
      </c>
      <c r="X7" s="666"/>
      <c r="Y7" s="3425" t="s">
        <v>1678</v>
      </c>
      <c r="Z7" s="3424"/>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5" t="s">
        <v>1681</v>
      </c>
      <c r="Q8" s="3424"/>
      <c r="R8" s="664" t="s">
        <v>14</v>
      </c>
      <c r="S8" s="665">
        <f t="shared" si="0"/>
        <v>100</v>
      </c>
      <c r="T8" s="664" t="s">
        <v>14</v>
      </c>
      <c r="U8" s="665">
        <f t="shared" si="1"/>
        <v>100</v>
      </c>
      <c r="V8" s="664" t="s">
        <v>14</v>
      </c>
      <c r="W8" s="665">
        <f t="shared" si="2"/>
        <v>100</v>
      </c>
      <c r="X8" s="666"/>
      <c r="Y8" s="3425" t="s">
        <v>1681</v>
      </c>
      <c r="Z8" s="3424"/>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4" t="s">
        <v>1684</v>
      </c>
      <c r="Q9" s="530" t="str">
        <f t="shared" ref="Q9:Q15" si="6">B9</f>
        <v>用途</v>
      </c>
      <c r="R9" s="664" t="s">
        <v>14</v>
      </c>
      <c r="S9" s="665">
        <f t="shared" si="0"/>
        <v>100</v>
      </c>
      <c r="T9" s="664" t="s">
        <v>14</v>
      </c>
      <c r="U9" s="665">
        <f t="shared" si="1"/>
        <v>100</v>
      </c>
      <c r="V9" s="664" t="s">
        <v>14</v>
      </c>
      <c r="W9" s="665">
        <f t="shared" si="2"/>
        <v>100</v>
      </c>
      <c r="X9" s="666"/>
      <c r="Y9" s="329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9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4"/>
      <c r="Q11" s="530" t="str">
        <f t="shared" si="6"/>
        <v>容积率</v>
      </c>
      <c r="R11" s="664" t="s">
        <v>14</v>
      </c>
      <c r="S11" s="665" t="e">
        <f t="shared" si="0"/>
        <v>#N/A</v>
      </c>
      <c r="T11" s="664" t="s">
        <v>14</v>
      </c>
      <c r="U11" s="665" t="e">
        <f t="shared" si="1"/>
        <v>#N/A</v>
      </c>
      <c r="V11" s="664" t="s">
        <v>14</v>
      </c>
      <c r="W11" s="665" t="e">
        <f t="shared" si="2"/>
        <v>#N/A</v>
      </c>
      <c r="X11" s="666"/>
      <c r="Y11" s="329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9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9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4"/>
      <c r="Q14" s="530">
        <f t="shared" si="6"/>
        <v>111</v>
      </c>
      <c r="R14" s="664" t="s">
        <v>14</v>
      </c>
      <c r="S14" s="665">
        <f t="shared" si="0"/>
        <v>100</v>
      </c>
      <c r="T14" s="664" t="s">
        <v>14</v>
      </c>
      <c r="U14" s="665">
        <f t="shared" si="1"/>
        <v>100</v>
      </c>
      <c r="V14" s="664" t="s">
        <v>14</v>
      </c>
      <c r="W14" s="665">
        <f t="shared" si="2"/>
        <v>100</v>
      </c>
      <c r="X14" s="666"/>
      <c r="Y14" s="3291"/>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0" t="s">
        <v>1689</v>
      </c>
      <c r="Q15" s="1263" t="str">
        <f t="shared" si="6"/>
        <v>商业繁华度</v>
      </c>
      <c r="R15" s="667" t="s">
        <v>14</v>
      </c>
      <c r="S15" s="668">
        <f t="shared" si="0"/>
        <v>100</v>
      </c>
      <c r="T15" s="667" t="s">
        <v>14</v>
      </c>
      <c r="U15" s="668">
        <f t="shared" si="1"/>
        <v>100</v>
      </c>
      <c r="V15" s="667" t="s">
        <v>14</v>
      </c>
      <c r="W15" s="668">
        <f t="shared" si="2"/>
        <v>100</v>
      </c>
      <c r="X15" s="1265"/>
      <c r="Y15" s="339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1"/>
      <c r="Q16" s="1263"/>
      <c r="R16" s="667"/>
      <c r="S16" s="668"/>
      <c r="T16" s="667"/>
      <c r="U16" s="668"/>
      <c r="V16" s="667"/>
      <c r="W16" s="668"/>
      <c r="X16" s="1265"/>
      <c r="Y16" s="3393"/>
      <c r="Z16" s="1264"/>
      <c r="AA16" s="1264">
        <v>1</v>
      </c>
      <c r="AB16" s="1264">
        <v>1</v>
      </c>
      <c r="AC16" s="1264">
        <v>1</v>
      </c>
    </row>
    <row r="17" spans="1:29" ht="15">
      <c r="A17" s="367"/>
      <c r="B17" s="390" t="s">
        <v>1257</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1"/>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1"/>
      <c r="Q18" s="1263"/>
      <c r="R18" s="667"/>
      <c r="S18" s="668"/>
      <c r="T18" s="667"/>
      <c r="U18" s="668"/>
      <c r="V18" s="667"/>
      <c r="W18" s="668"/>
      <c r="X18" s="1265"/>
      <c r="Y18" s="3393"/>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1"/>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1"/>
      <c r="Q20" s="1263"/>
      <c r="R20" s="667"/>
      <c r="S20" s="668"/>
      <c r="T20" s="667"/>
      <c r="U20" s="668"/>
      <c r="V20" s="667"/>
      <c r="W20" s="668"/>
      <c r="X20" s="1265"/>
      <c r="Y20" s="3393"/>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1"/>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1"/>
      <c r="Q22" s="1263"/>
      <c r="R22" s="667"/>
      <c r="S22" s="668"/>
      <c r="T22" s="667"/>
      <c r="U22" s="668"/>
      <c r="V22" s="667"/>
      <c r="W22" s="668"/>
      <c r="X22" s="1265"/>
      <c r="Y22" s="3393"/>
      <c r="Z22" s="1264"/>
      <c r="AA22" s="1264">
        <v>1</v>
      </c>
      <c r="AB22" s="1264">
        <v>1</v>
      </c>
      <c r="AC22" s="1264">
        <v>1</v>
      </c>
    </row>
    <row r="23" spans="1:29" ht="15">
      <c r="A23" s="367"/>
      <c r="B23" s="390" t="s">
        <v>1259</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1"/>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1"/>
      <c r="Q24" s="1263"/>
      <c r="R24" s="667"/>
      <c r="S24" s="668"/>
      <c r="T24" s="667"/>
      <c r="U24" s="668"/>
      <c r="V24" s="667"/>
      <c r="W24" s="668"/>
      <c r="X24" s="1265"/>
      <c r="Y24" s="339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1"/>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1"/>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1"/>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1"/>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1"/>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1"/>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4" t="s">
        <v>1694</v>
      </c>
      <c r="Q32" s="1263" t="str">
        <f t="shared" si="11"/>
        <v>商业类型</v>
      </c>
      <c r="R32" s="667" t="s">
        <v>14</v>
      </c>
      <c r="S32" s="668">
        <f t="shared" si="12"/>
        <v>100</v>
      </c>
      <c r="T32" s="667" t="s">
        <v>14</v>
      </c>
      <c r="U32" s="668">
        <f t="shared" si="13"/>
        <v>100</v>
      </c>
      <c r="V32" s="667" t="s">
        <v>14</v>
      </c>
      <c r="W32" s="668">
        <f t="shared" si="14"/>
        <v>100</v>
      </c>
      <c r="X32" s="1265"/>
      <c r="Y32" s="339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5"/>
      <c r="Q33" s="531" t="str">
        <f t="shared" si="11"/>
        <v>项目建筑规模</v>
      </c>
      <c r="R33" s="669" t="s">
        <v>14</v>
      </c>
      <c r="S33" s="670" t="e">
        <f t="shared" si="12"/>
        <v>#N/A</v>
      </c>
      <c r="T33" s="669" t="s">
        <v>14</v>
      </c>
      <c r="U33" s="670" t="e">
        <f t="shared" si="13"/>
        <v>#N/A</v>
      </c>
      <c r="V33" s="669" t="s">
        <v>14</v>
      </c>
      <c r="W33" s="670" t="e">
        <f t="shared" si="14"/>
        <v>#N/A</v>
      </c>
      <c r="X33" s="671"/>
      <c r="Y33" s="339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5"/>
      <c r="Q34" s="1263" t="str">
        <f t="shared" si="11"/>
        <v>建筑结构</v>
      </c>
      <c r="R34" s="667" t="s">
        <v>14</v>
      </c>
      <c r="S34" s="668">
        <f t="shared" si="12"/>
        <v>100</v>
      </c>
      <c r="T34" s="667" t="s">
        <v>14</v>
      </c>
      <c r="U34" s="668">
        <f t="shared" si="13"/>
        <v>100</v>
      </c>
      <c r="V34" s="667" t="s">
        <v>14</v>
      </c>
      <c r="W34" s="668">
        <f t="shared" si="14"/>
        <v>100</v>
      </c>
      <c r="X34" s="1265"/>
      <c r="Y34" s="339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5"/>
      <c r="Q35" s="1263" t="str">
        <f t="shared" si="11"/>
        <v>公共部分装修</v>
      </c>
      <c r="R35" s="667" t="s">
        <v>14</v>
      </c>
      <c r="S35" s="668">
        <f t="shared" si="12"/>
        <v>100</v>
      </c>
      <c r="T35" s="667" t="s">
        <v>14</v>
      </c>
      <c r="U35" s="668">
        <f t="shared" si="13"/>
        <v>100</v>
      </c>
      <c r="V35" s="667" t="s">
        <v>14</v>
      </c>
      <c r="W35" s="668">
        <f t="shared" si="14"/>
        <v>100</v>
      </c>
      <c r="X35" s="1265"/>
      <c r="Y35" s="339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5"/>
      <c r="Q36" s="1263" t="str">
        <f t="shared" si="11"/>
        <v>成新度</v>
      </c>
      <c r="R36" s="667" t="s">
        <v>14</v>
      </c>
      <c r="S36" s="668" t="e">
        <f t="shared" si="12"/>
        <v>#N/A</v>
      </c>
      <c r="T36" s="667" t="s">
        <v>14</v>
      </c>
      <c r="U36" s="668" t="e">
        <f t="shared" si="13"/>
        <v>#N/A</v>
      </c>
      <c r="V36" s="667" t="s">
        <v>14</v>
      </c>
      <c r="W36" s="668" t="e">
        <f t="shared" si="14"/>
        <v>#N/A</v>
      </c>
      <c r="X36" s="1265"/>
      <c r="Y36" s="339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5"/>
      <c r="Q37" s="530" t="str">
        <f t="shared" si="11"/>
        <v>市政基础设施</v>
      </c>
      <c r="R37" s="664" t="s">
        <v>14</v>
      </c>
      <c r="S37" s="665">
        <f t="shared" si="12"/>
        <v>100</v>
      </c>
      <c r="T37" s="664" t="s">
        <v>14</v>
      </c>
      <c r="U37" s="665">
        <f t="shared" si="13"/>
        <v>100</v>
      </c>
      <c r="V37" s="664" t="s">
        <v>14</v>
      </c>
      <c r="W37" s="665">
        <f t="shared" si="14"/>
        <v>100</v>
      </c>
      <c r="X37" s="666"/>
      <c r="Y37" s="339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5" t="s">
        <v>1694</v>
      </c>
      <c r="Q38" s="1263" t="str">
        <f t="shared" si="11"/>
        <v>业态</v>
      </c>
      <c r="R38" s="667" t="s">
        <v>14</v>
      </c>
      <c r="S38" s="668">
        <f t="shared" si="12"/>
        <v>100</v>
      </c>
      <c r="T38" s="667" t="s">
        <v>14</v>
      </c>
      <c r="U38" s="668">
        <f t="shared" si="13"/>
        <v>100</v>
      </c>
      <c r="V38" s="667" t="s">
        <v>14</v>
      </c>
      <c r="W38" s="668">
        <f t="shared" si="14"/>
        <v>100</v>
      </c>
      <c r="X38" s="1265"/>
      <c r="Y38" s="339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5"/>
      <c r="Q39" s="1263" t="str">
        <f t="shared" si="11"/>
        <v>层高</v>
      </c>
      <c r="R39" s="667" t="s">
        <v>14</v>
      </c>
      <c r="S39" s="668">
        <f t="shared" si="12"/>
        <v>100</v>
      </c>
      <c r="T39" s="667" t="s">
        <v>14</v>
      </c>
      <c r="U39" s="668">
        <f t="shared" si="13"/>
        <v>100</v>
      </c>
      <c r="V39" s="667" t="s">
        <v>14</v>
      </c>
      <c r="W39" s="668">
        <f t="shared" si="14"/>
        <v>100</v>
      </c>
      <c r="X39" s="1265"/>
      <c r="Y39" s="339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5"/>
      <c r="Q40" s="1263" t="str">
        <f t="shared" si="11"/>
        <v>单套建筑面积</v>
      </c>
      <c r="R40" s="667" t="s">
        <v>14</v>
      </c>
      <c r="S40" s="668">
        <f t="shared" si="12"/>
        <v>100</v>
      </c>
      <c r="T40" s="667" t="s">
        <v>14</v>
      </c>
      <c r="U40" s="668">
        <f t="shared" si="13"/>
        <v>100</v>
      </c>
      <c r="V40" s="667" t="s">
        <v>14</v>
      </c>
      <c r="W40" s="668">
        <f t="shared" si="14"/>
        <v>100</v>
      </c>
      <c r="X40" s="1265"/>
      <c r="Y40" s="339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5"/>
      <c r="Q41" s="531" t="str">
        <f t="shared" si="11"/>
        <v>进深比</v>
      </c>
      <c r="R41" s="669" t="s">
        <v>14</v>
      </c>
      <c r="S41" s="670">
        <f t="shared" si="12"/>
        <v>100</v>
      </c>
      <c r="T41" s="669" t="s">
        <v>14</v>
      </c>
      <c r="U41" s="670">
        <f t="shared" si="13"/>
        <v>100</v>
      </c>
      <c r="V41" s="669" t="s">
        <v>14</v>
      </c>
      <c r="W41" s="670">
        <f t="shared" si="14"/>
        <v>100</v>
      </c>
      <c r="X41" s="671"/>
      <c r="Y41" s="339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5"/>
      <c r="Q42" s="1263" t="str">
        <f t="shared" si="11"/>
        <v>内部装修</v>
      </c>
      <c r="R42" s="667" t="s">
        <v>14</v>
      </c>
      <c r="S42" s="668">
        <f t="shared" si="12"/>
        <v>100</v>
      </c>
      <c r="T42" s="667" t="s">
        <v>14</v>
      </c>
      <c r="U42" s="668">
        <f t="shared" si="13"/>
        <v>100</v>
      </c>
      <c r="V42" s="667" t="s">
        <v>14</v>
      </c>
      <c r="W42" s="668">
        <f t="shared" si="14"/>
        <v>100</v>
      </c>
      <c r="X42" s="1265"/>
      <c r="Y42" s="339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5"/>
      <c r="Q43" s="1263" t="str">
        <f t="shared" si="11"/>
        <v>内部装修维护情况</v>
      </c>
      <c r="R43" s="667" t="s">
        <v>14</v>
      </c>
      <c r="S43" s="668">
        <f t="shared" si="12"/>
        <v>100</v>
      </c>
      <c r="T43" s="667" t="s">
        <v>14</v>
      </c>
      <c r="U43" s="668">
        <f t="shared" si="13"/>
        <v>100</v>
      </c>
      <c r="V43" s="667" t="s">
        <v>14</v>
      </c>
      <c r="W43" s="668">
        <f t="shared" si="14"/>
        <v>100</v>
      </c>
      <c r="X43" s="1265"/>
      <c r="Y43" s="339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5"/>
      <c r="Q44" s="530">
        <f t="shared" si="11"/>
        <v>111</v>
      </c>
      <c r="R44" s="664" t="s">
        <v>14</v>
      </c>
      <c r="S44" s="665">
        <f t="shared" si="12"/>
        <v>100</v>
      </c>
      <c r="T44" s="664" t="s">
        <v>14</v>
      </c>
      <c r="U44" s="665">
        <f t="shared" si="13"/>
        <v>100</v>
      </c>
      <c r="V44" s="664" t="s">
        <v>14</v>
      </c>
      <c r="W44" s="665">
        <f t="shared" si="14"/>
        <v>100</v>
      </c>
      <c r="X44" s="666"/>
      <c r="Y44" s="339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5"/>
      <c r="Q45" s="1263">
        <f t="shared" si="11"/>
        <v>111</v>
      </c>
      <c r="R45" s="667" t="s">
        <v>14</v>
      </c>
      <c r="S45" s="668">
        <f t="shared" si="12"/>
        <v>100</v>
      </c>
      <c r="T45" s="667" t="s">
        <v>14</v>
      </c>
      <c r="U45" s="668">
        <f t="shared" si="13"/>
        <v>100</v>
      </c>
      <c r="V45" s="667" t="s">
        <v>14</v>
      </c>
      <c r="W45" s="668">
        <f t="shared" si="14"/>
        <v>100</v>
      </c>
      <c r="X45" s="1265"/>
      <c r="Y45" s="339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226041.84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860"/>
      <c r="M4" s="861"/>
      <c r="N4" s="861"/>
      <c r="O4" s="861"/>
      <c r="P4" s="3467" t="s">
        <v>1773</v>
      </c>
      <c r="Q4" s="3468"/>
      <c r="R4" s="3471" t="s">
        <v>1769</v>
      </c>
      <c r="S4" s="3472"/>
      <c r="T4" s="3471" t="s">
        <v>1770</v>
      </c>
      <c r="U4" s="3472"/>
      <c r="V4" s="3386" t="s">
        <v>1771</v>
      </c>
      <c r="W4" s="3386"/>
      <c r="X4" s="1265"/>
      <c r="Y4" s="3471" t="s">
        <v>1773</v>
      </c>
      <c r="Z4" s="3472"/>
      <c r="AA4" s="3466" t="s">
        <v>1769</v>
      </c>
      <c r="AB4" s="3430" t="s">
        <v>1770</v>
      </c>
      <c r="AC4" s="3466" t="s">
        <v>1771</v>
      </c>
    </row>
    <row r="5" spans="1:29" ht="15">
      <c r="A5" s="348"/>
      <c r="B5" s="349"/>
      <c r="C5" s="3421" t="s">
        <v>1671</v>
      </c>
      <c r="D5" s="3422"/>
      <c r="E5" s="3432" t="s">
        <v>1672</v>
      </c>
      <c r="F5" s="3433"/>
      <c r="G5" s="3421" t="s">
        <v>1673</v>
      </c>
      <c r="H5" s="3422"/>
      <c r="I5" s="3421" t="s">
        <v>1674</v>
      </c>
      <c r="J5" s="3422"/>
      <c r="K5" s="537"/>
      <c r="L5" s="860"/>
      <c r="M5" s="861"/>
      <c r="N5" s="861"/>
      <c r="O5" s="861"/>
      <c r="P5" s="3469"/>
      <c r="Q5" s="3409"/>
      <c r="R5" s="3414"/>
      <c r="S5" s="3415"/>
      <c r="T5" s="3414"/>
      <c r="U5" s="3415"/>
      <c r="V5" s="3386"/>
      <c r="W5" s="3386"/>
      <c r="X5" s="1265"/>
      <c r="Y5" s="3414"/>
      <c r="Z5" s="3415"/>
      <c r="AA5" s="3430"/>
      <c r="AB5" s="3430"/>
      <c r="AC5" s="3430"/>
    </row>
    <row r="6" spans="1:29" ht="15.75" thickBot="1">
      <c r="A6" s="350"/>
      <c r="B6" s="351"/>
      <c r="C6" s="3419" t="s">
        <v>1675</v>
      </c>
      <c r="D6" s="3420"/>
      <c r="E6" s="3427" t="s">
        <v>1675</v>
      </c>
      <c r="F6" s="3428"/>
      <c r="G6" s="3419" t="s">
        <v>1675</v>
      </c>
      <c r="H6" s="3420"/>
      <c r="I6" s="3419" t="s">
        <v>1675</v>
      </c>
      <c r="J6" s="3420"/>
      <c r="K6" s="537" t="s">
        <v>1676</v>
      </c>
      <c r="L6" s="860"/>
      <c r="M6" s="861"/>
      <c r="N6" s="861"/>
      <c r="O6" s="861"/>
      <c r="P6" s="3470"/>
      <c r="Q6" s="3411"/>
      <c r="R6" s="3414"/>
      <c r="S6" s="3415"/>
      <c r="T6" s="3416"/>
      <c r="U6" s="3417"/>
      <c r="V6" s="3386"/>
      <c r="W6" s="3386"/>
      <c r="X6" s="1265"/>
      <c r="Y6" s="3416"/>
      <c r="Z6" s="3417"/>
      <c r="AA6" s="3431"/>
      <c r="AB6" s="3431"/>
      <c r="AC6" s="3431"/>
    </row>
    <row r="7" spans="1:29" s="102" customFormat="1" ht="15.75" thickBot="1">
      <c r="A7" s="352" t="s">
        <v>1677</v>
      </c>
      <c r="B7" s="353"/>
      <c r="C7" s="354">
        <f>'数据-取费表'!B2</f>
        <v>45944</v>
      </c>
      <c r="D7" s="355">
        <v>100</v>
      </c>
      <c r="E7" s="356"/>
      <c r="F7" s="357">
        <f>SUMIF(52:52,YEAR(E7)&amp;"-"&amp;MONTH(E7),53:53)</f>
        <v>0</v>
      </c>
      <c r="G7" s="356"/>
      <c r="H7" s="355">
        <f>SUMIF(52:52,YEAR(G7)&amp;"-"&amp;MONTH(G7),53:53)</f>
        <v>0</v>
      </c>
      <c r="I7" s="356"/>
      <c r="J7" s="355">
        <f>SUMIF(52:52,YEAR(I7)&amp;"-"&amp;MONTH(I7),53:53)</f>
        <v>0</v>
      </c>
      <c r="K7" s="38"/>
      <c r="L7" s="862"/>
      <c r="M7" s="863"/>
      <c r="N7" s="863"/>
      <c r="O7" s="863"/>
      <c r="P7" s="3425" t="s">
        <v>1678</v>
      </c>
      <c r="Q7" s="3426"/>
      <c r="R7" s="664" t="s">
        <v>14</v>
      </c>
      <c r="S7" s="665">
        <f t="shared" ref="S7:S15" si="0">F7</f>
        <v>0</v>
      </c>
      <c r="T7" s="664" t="s">
        <v>14</v>
      </c>
      <c r="U7" s="665">
        <f t="shared" ref="U7:U15" si="1">H7</f>
        <v>0</v>
      </c>
      <c r="V7" s="664" t="s">
        <v>14</v>
      </c>
      <c r="W7" s="665">
        <f t="shared" ref="W7:W15" si="2">J7</f>
        <v>0</v>
      </c>
      <c r="X7" s="666"/>
      <c r="Y7" s="3425" t="s">
        <v>1678</v>
      </c>
      <c r="Z7" s="3424"/>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5" t="s">
        <v>1681</v>
      </c>
      <c r="Q8" s="3424"/>
      <c r="R8" s="664" t="s">
        <v>14</v>
      </c>
      <c r="S8" s="665">
        <f t="shared" si="0"/>
        <v>100</v>
      </c>
      <c r="T8" s="664" t="s">
        <v>14</v>
      </c>
      <c r="U8" s="665">
        <f t="shared" si="1"/>
        <v>100</v>
      </c>
      <c r="V8" s="664" t="s">
        <v>14</v>
      </c>
      <c r="W8" s="665">
        <f t="shared" si="2"/>
        <v>100</v>
      </c>
      <c r="X8" s="666"/>
      <c r="Y8" s="3425" t="s">
        <v>1681</v>
      </c>
      <c r="Z8" s="3424"/>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5" t="s">
        <v>1684</v>
      </c>
      <c r="Q9" s="530" t="str">
        <f t="shared" ref="Q9:Q15" si="6">B9</f>
        <v>用途</v>
      </c>
      <c r="R9" s="664" t="s">
        <v>14</v>
      </c>
      <c r="S9" s="665">
        <f t="shared" si="0"/>
        <v>100</v>
      </c>
      <c r="T9" s="664" t="s">
        <v>14</v>
      </c>
      <c r="U9" s="665">
        <f t="shared" si="1"/>
        <v>100</v>
      </c>
      <c r="V9" s="664" t="s">
        <v>14</v>
      </c>
      <c r="W9" s="665">
        <f t="shared" si="2"/>
        <v>100</v>
      </c>
      <c r="X9" s="666"/>
      <c r="Y9" s="329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5"/>
      <c r="Q10" s="530" t="str">
        <f t="shared" si="6"/>
        <v>土地使用年限（年）</v>
      </c>
      <c r="R10" s="664" t="s">
        <v>14</v>
      </c>
      <c r="S10" s="665">
        <f t="shared" si="0"/>
        <v>100</v>
      </c>
      <c r="T10" s="664" t="s">
        <v>14</v>
      </c>
      <c r="U10" s="665">
        <f t="shared" si="1"/>
        <v>100</v>
      </c>
      <c r="V10" s="664" t="s">
        <v>14</v>
      </c>
      <c r="W10" s="665">
        <f t="shared" si="2"/>
        <v>100</v>
      </c>
      <c r="X10" s="666"/>
      <c r="Y10" s="329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5"/>
      <c r="Q11" s="530" t="str">
        <f t="shared" si="6"/>
        <v>容积率</v>
      </c>
      <c r="R11" s="664" t="s">
        <v>14</v>
      </c>
      <c r="S11" s="665">
        <f t="shared" si="0"/>
        <v>100</v>
      </c>
      <c r="T11" s="664" t="s">
        <v>14</v>
      </c>
      <c r="U11" s="665">
        <f t="shared" si="1"/>
        <v>100</v>
      </c>
      <c r="V11" s="664" t="s">
        <v>14</v>
      </c>
      <c r="W11" s="665">
        <f t="shared" si="2"/>
        <v>100</v>
      </c>
      <c r="X11" s="666"/>
      <c r="Y11" s="329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5"/>
      <c r="Q12" s="530">
        <f t="shared" si="6"/>
        <v>111</v>
      </c>
      <c r="R12" s="664" t="s">
        <v>14</v>
      </c>
      <c r="S12" s="665">
        <f t="shared" si="0"/>
        <v>100</v>
      </c>
      <c r="T12" s="664" t="s">
        <v>14</v>
      </c>
      <c r="U12" s="665">
        <f t="shared" si="1"/>
        <v>100</v>
      </c>
      <c r="V12" s="664" t="s">
        <v>14</v>
      </c>
      <c r="W12" s="665">
        <f t="shared" si="2"/>
        <v>100</v>
      </c>
      <c r="X12" s="666"/>
      <c r="Y12" s="329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5"/>
      <c r="Q13" s="530">
        <f t="shared" si="6"/>
        <v>111</v>
      </c>
      <c r="R13" s="664" t="s">
        <v>14</v>
      </c>
      <c r="S13" s="665">
        <f t="shared" si="0"/>
        <v>100</v>
      </c>
      <c r="T13" s="664" t="s">
        <v>14</v>
      </c>
      <c r="U13" s="665">
        <f t="shared" si="1"/>
        <v>100</v>
      </c>
      <c r="V13" s="664" t="s">
        <v>14</v>
      </c>
      <c r="W13" s="665">
        <f t="shared" si="2"/>
        <v>100</v>
      </c>
      <c r="X13" s="666"/>
      <c r="Y13" s="329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5"/>
      <c r="Q14" s="530">
        <f t="shared" si="6"/>
        <v>111</v>
      </c>
      <c r="R14" s="664" t="s">
        <v>14</v>
      </c>
      <c r="S14" s="665">
        <f t="shared" si="0"/>
        <v>100</v>
      </c>
      <c r="T14" s="664" t="s">
        <v>14</v>
      </c>
      <c r="U14" s="665">
        <f t="shared" si="1"/>
        <v>100</v>
      </c>
      <c r="V14" s="664" t="s">
        <v>14</v>
      </c>
      <c r="W14" s="665">
        <f t="shared" si="2"/>
        <v>100</v>
      </c>
      <c r="X14" s="666"/>
      <c r="Y14" s="3291"/>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2" t="s">
        <v>1689</v>
      </c>
      <c r="Q15" s="1263" t="str">
        <f t="shared" si="6"/>
        <v>产业集聚程度</v>
      </c>
      <c r="R15" s="667" t="s">
        <v>14</v>
      </c>
      <c r="S15" s="668">
        <f t="shared" si="0"/>
        <v>100</v>
      </c>
      <c r="T15" s="667" t="s">
        <v>14</v>
      </c>
      <c r="U15" s="668">
        <f t="shared" si="1"/>
        <v>100</v>
      </c>
      <c r="V15" s="667" t="s">
        <v>14</v>
      </c>
      <c r="W15" s="668">
        <f t="shared" si="2"/>
        <v>100</v>
      </c>
      <c r="X15" s="1265"/>
      <c r="Y15" s="339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3" t="s">
        <v>1694</v>
      </c>
      <c r="Q29" s="1263" t="str">
        <f t="shared" si="11"/>
        <v>建筑类型</v>
      </c>
      <c r="R29" s="667" t="s">
        <v>14</v>
      </c>
      <c r="S29" s="668">
        <f t="shared" si="12"/>
        <v>100</v>
      </c>
      <c r="T29" s="667" t="s">
        <v>14</v>
      </c>
      <c r="U29" s="668">
        <f t="shared" si="13"/>
        <v>100</v>
      </c>
      <c r="V29" s="667" t="s">
        <v>14</v>
      </c>
      <c r="W29" s="668">
        <f t="shared" si="14"/>
        <v>100</v>
      </c>
      <c r="X29" s="1265"/>
      <c r="Y29" s="339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7"/>
      <c r="Q30" s="531" t="str">
        <f t="shared" si="11"/>
        <v>项目建筑规模</v>
      </c>
      <c r="R30" s="669" t="s">
        <v>14</v>
      </c>
      <c r="S30" s="670" t="e">
        <f t="shared" si="12"/>
        <v>#N/A</v>
      </c>
      <c r="T30" s="669" t="s">
        <v>14</v>
      </c>
      <c r="U30" s="670" t="e">
        <f t="shared" si="13"/>
        <v>#N/A</v>
      </c>
      <c r="V30" s="669" t="s">
        <v>14</v>
      </c>
      <c r="W30" s="670" t="e">
        <f t="shared" si="14"/>
        <v>#N/A</v>
      </c>
      <c r="X30" s="671"/>
      <c r="Y30" s="339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7"/>
      <c r="Q31" s="1263" t="str">
        <f t="shared" si="11"/>
        <v>建筑结构</v>
      </c>
      <c r="R31" s="667" t="s">
        <v>14</v>
      </c>
      <c r="S31" s="668">
        <f t="shared" si="12"/>
        <v>100</v>
      </c>
      <c r="T31" s="667" t="s">
        <v>14</v>
      </c>
      <c r="U31" s="668">
        <f t="shared" si="13"/>
        <v>100</v>
      </c>
      <c r="V31" s="667" t="s">
        <v>14</v>
      </c>
      <c r="W31" s="668">
        <f t="shared" si="14"/>
        <v>100</v>
      </c>
      <c r="X31" s="1265"/>
      <c r="Y31" s="339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7"/>
      <c r="Q32" s="1263" t="str">
        <f t="shared" si="11"/>
        <v>公共部分装修</v>
      </c>
      <c r="R32" s="667" t="s">
        <v>14</v>
      </c>
      <c r="S32" s="668">
        <f t="shared" si="12"/>
        <v>100</v>
      </c>
      <c r="T32" s="667" t="s">
        <v>14</v>
      </c>
      <c r="U32" s="668">
        <f t="shared" si="13"/>
        <v>100</v>
      </c>
      <c r="V32" s="667" t="s">
        <v>14</v>
      </c>
      <c r="W32" s="668">
        <f t="shared" si="14"/>
        <v>100</v>
      </c>
      <c r="X32" s="1265"/>
      <c r="Y32" s="339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7"/>
      <c r="Q33" s="1263" t="str">
        <f t="shared" si="11"/>
        <v>成新度</v>
      </c>
      <c r="R33" s="667" t="s">
        <v>14</v>
      </c>
      <c r="S33" s="668" t="e">
        <f t="shared" si="12"/>
        <v>#N/A</v>
      </c>
      <c r="T33" s="667" t="s">
        <v>14</v>
      </c>
      <c r="U33" s="668" t="e">
        <f t="shared" si="13"/>
        <v>#N/A</v>
      </c>
      <c r="V33" s="667" t="s">
        <v>14</v>
      </c>
      <c r="W33" s="668" t="e">
        <f t="shared" si="14"/>
        <v>#N/A</v>
      </c>
      <c r="X33" s="1265"/>
      <c r="Y33" s="339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7"/>
      <c r="Q34" s="530" t="str">
        <f t="shared" si="11"/>
        <v>物业管理</v>
      </c>
      <c r="R34" s="664" t="s">
        <v>14</v>
      </c>
      <c r="S34" s="665">
        <f t="shared" si="12"/>
        <v>100</v>
      </c>
      <c r="T34" s="664" t="s">
        <v>14</v>
      </c>
      <c r="U34" s="665">
        <f t="shared" si="13"/>
        <v>100</v>
      </c>
      <c r="V34" s="664" t="s">
        <v>14</v>
      </c>
      <c r="W34" s="665">
        <f t="shared" si="14"/>
        <v>100</v>
      </c>
      <c r="X34" s="666"/>
      <c r="Y34" s="339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7" t="s">
        <v>1694</v>
      </c>
      <c r="Q35" s="1263" t="str">
        <f t="shared" si="11"/>
        <v>市政基础设施</v>
      </c>
      <c r="R35" s="667" t="s">
        <v>14</v>
      </c>
      <c r="S35" s="668">
        <f t="shared" si="12"/>
        <v>100</v>
      </c>
      <c r="T35" s="667" t="s">
        <v>14</v>
      </c>
      <c r="U35" s="668">
        <f t="shared" si="13"/>
        <v>100</v>
      </c>
      <c r="V35" s="667" t="s">
        <v>14</v>
      </c>
      <c r="W35" s="668">
        <f t="shared" si="14"/>
        <v>100</v>
      </c>
      <c r="X35" s="1265"/>
      <c r="Y35" s="339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7"/>
      <c r="Q36" s="1263" t="str">
        <f t="shared" si="11"/>
        <v>内部装修</v>
      </c>
      <c r="R36" s="667" t="s">
        <v>14</v>
      </c>
      <c r="S36" s="668">
        <f t="shared" si="12"/>
        <v>100</v>
      </c>
      <c r="T36" s="667" t="s">
        <v>14</v>
      </c>
      <c r="U36" s="668">
        <f t="shared" si="13"/>
        <v>100</v>
      </c>
      <c r="V36" s="667" t="s">
        <v>14</v>
      </c>
      <c r="W36" s="668">
        <f t="shared" si="14"/>
        <v>100</v>
      </c>
      <c r="X36" s="1265"/>
      <c r="Y36" s="339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7"/>
      <c r="Q37" s="1263" t="str">
        <f t="shared" si="11"/>
        <v>内部装修状况</v>
      </c>
      <c r="R37" s="667" t="s">
        <v>14</v>
      </c>
      <c r="S37" s="668">
        <f t="shared" si="12"/>
        <v>100</v>
      </c>
      <c r="T37" s="667" t="s">
        <v>14</v>
      </c>
      <c r="U37" s="668">
        <f t="shared" si="13"/>
        <v>100</v>
      </c>
      <c r="V37" s="667" t="s">
        <v>14</v>
      </c>
      <c r="W37" s="668">
        <f t="shared" si="14"/>
        <v>100</v>
      </c>
      <c r="X37" s="1265"/>
      <c r="Y37" s="33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7"/>
      <c r="Q38" s="531">
        <f t="shared" si="11"/>
        <v>111</v>
      </c>
      <c r="R38" s="669" t="s">
        <v>14</v>
      </c>
      <c r="S38" s="670">
        <f t="shared" si="12"/>
        <v>100</v>
      </c>
      <c r="T38" s="669" t="s">
        <v>14</v>
      </c>
      <c r="U38" s="670">
        <f t="shared" si="13"/>
        <v>100</v>
      </c>
      <c r="V38" s="669" t="s">
        <v>14</v>
      </c>
      <c r="W38" s="670">
        <f t="shared" si="14"/>
        <v>100</v>
      </c>
      <c r="X38" s="671"/>
      <c r="Y38" s="33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7"/>
      <c r="Q39" s="1263">
        <f t="shared" si="11"/>
        <v>111</v>
      </c>
      <c r="R39" s="667" t="s">
        <v>14</v>
      </c>
      <c r="S39" s="668">
        <f t="shared" si="12"/>
        <v>100</v>
      </c>
      <c r="T39" s="667" t="s">
        <v>14</v>
      </c>
      <c r="U39" s="668">
        <f t="shared" si="13"/>
        <v>100</v>
      </c>
      <c r="V39" s="667" t="s">
        <v>14</v>
      </c>
      <c r="W39" s="668">
        <f t="shared" si="14"/>
        <v>100</v>
      </c>
      <c r="X39" s="1265"/>
      <c r="Y39" s="339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8"/>
      <c r="Q40" s="1263">
        <f t="shared" si="11"/>
        <v>111</v>
      </c>
      <c r="R40" s="667" t="s">
        <v>14</v>
      </c>
      <c r="S40" s="668">
        <f t="shared" si="12"/>
        <v>100</v>
      </c>
      <c r="T40" s="667" t="s">
        <v>14</v>
      </c>
      <c r="U40" s="668">
        <f t="shared" si="13"/>
        <v>100</v>
      </c>
      <c r="V40" s="667" t="s">
        <v>14</v>
      </c>
      <c r="W40" s="668">
        <f t="shared" si="14"/>
        <v>100</v>
      </c>
      <c r="X40" s="1265"/>
      <c r="Y40" s="339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85" t="str">
        <f>A41</f>
        <v>成交单价（元/平方米）</v>
      </c>
      <c r="Q41" s="3385"/>
      <c r="R41" s="3386">
        <f>E41</f>
        <v>0</v>
      </c>
      <c r="S41" s="3386"/>
      <c r="T41" s="3386">
        <f>G41</f>
        <v>0</v>
      </c>
      <c r="U41" s="3386"/>
      <c r="V41" s="3386">
        <f>I41</f>
        <v>0</v>
      </c>
      <c r="W41" s="338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3320</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67" t="s">
        <v>1773</v>
      </c>
      <c r="Q4" s="3468"/>
      <c r="R4" s="3471" t="s">
        <v>1769</v>
      </c>
      <c r="S4" s="3472"/>
      <c r="T4" s="3471" t="s">
        <v>1770</v>
      </c>
      <c r="U4" s="3472"/>
      <c r="V4" s="3386" t="s">
        <v>1771</v>
      </c>
      <c r="W4" s="3386"/>
      <c r="X4" s="1265"/>
      <c r="Y4" s="3471" t="s">
        <v>1773</v>
      </c>
      <c r="Z4" s="3472"/>
      <c r="AA4" s="3466" t="s">
        <v>1769</v>
      </c>
      <c r="AB4" s="3430" t="s">
        <v>1770</v>
      </c>
      <c r="AC4" s="3466" t="s">
        <v>1771</v>
      </c>
    </row>
    <row r="5" spans="1:29" ht="15">
      <c r="A5" s="348"/>
      <c r="B5" s="349"/>
      <c r="C5" s="3421" t="s">
        <v>1671</v>
      </c>
      <c r="D5" s="3422"/>
      <c r="E5" s="3432" t="s">
        <v>1672</v>
      </c>
      <c r="F5" s="3433"/>
      <c r="G5" s="3421" t="s">
        <v>1673</v>
      </c>
      <c r="H5" s="3422"/>
      <c r="I5" s="3421" t="s">
        <v>1674</v>
      </c>
      <c r="J5" s="3422"/>
      <c r="K5" s="537"/>
      <c r="L5" s="2487"/>
      <c r="M5" s="2488"/>
      <c r="N5" s="2488"/>
      <c r="O5" s="2488"/>
      <c r="P5" s="3469"/>
      <c r="Q5" s="3409"/>
      <c r="R5" s="3414"/>
      <c r="S5" s="3415"/>
      <c r="T5" s="3414"/>
      <c r="U5" s="3415"/>
      <c r="V5" s="3386"/>
      <c r="W5" s="3386"/>
      <c r="X5" s="1265"/>
      <c r="Y5" s="3414"/>
      <c r="Z5" s="3415"/>
      <c r="AA5" s="3430"/>
      <c r="AB5" s="3430"/>
      <c r="AC5" s="3430"/>
    </row>
    <row r="6" spans="1:29" ht="15.75" thickBot="1">
      <c r="A6" s="350"/>
      <c r="B6" s="351"/>
      <c r="C6" s="3419" t="s">
        <v>1675</v>
      </c>
      <c r="D6" s="3420"/>
      <c r="E6" s="3427" t="s">
        <v>1675</v>
      </c>
      <c r="F6" s="3428"/>
      <c r="G6" s="3419" t="s">
        <v>1675</v>
      </c>
      <c r="H6" s="3420"/>
      <c r="I6" s="3419" t="s">
        <v>1675</v>
      </c>
      <c r="J6" s="3420"/>
      <c r="K6" s="537" t="s">
        <v>1676</v>
      </c>
      <c r="L6" s="2487"/>
      <c r="M6" s="2488"/>
      <c r="N6" s="2488"/>
      <c r="O6" s="2488"/>
      <c r="P6" s="3470"/>
      <c r="Q6" s="3411"/>
      <c r="R6" s="3414"/>
      <c r="S6" s="3415"/>
      <c r="T6" s="3416"/>
      <c r="U6" s="3417"/>
      <c r="V6" s="3386"/>
      <c r="W6" s="3386"/>
      <c r="X6" s="1265"/>
      <c r="Y6" s="3416"/>
      <c r="Z6" s="3417"/>
      <c r="AA6" s="3431"/>
      <c r="AB6" s="3431"/>
      <c r="AC6" s="3431"/>
    </row>
    <row r="7" spans="1:29" s="102" customFormat="1" ht="15.75" thickBot="1">
      <c r="A7" s="352" t="s">
        <v>1677</v>
      </c>
      <c r="B7" s="353"/>
      <c r="C7" s="354">
        <f>'数据-取费表'!B2</f>
        <v>45944</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5" t="s">
        <v>1678</v>
      </c>
      <c r="Q7" s="3426"/>
      <c r="R7" s="664" t="s">
        <v>14</v>
      </c>
      <c r="S7" s="665">
        <f t="shared" ref="S7:S14" si="0">F7</f>
        <v>0</v>
      </c>
      <c r="T7" s="664" t="s">
        <v>14</v>
      </c>
      <c r="U7" s="665">
        <f t="shared" ref="U7:U14" si="1">H7</f>
        <v>0</v>
      </c>
      <c r="V7" s="664" t="s">
        <v>14</v>
      </c>
      <c r="W7" s="665">
        <f t="shared" ref="W7:W14" si="2">J7</f>
        <v>0</v>
      </c>
      <c r="X7" s="666"/>
      <c r="Y7" s="3425" t="s">
        <v>1678</v>
      </c>
      <c r="Z7" s="3424"/>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5" t="s">
        <v>1681</v>
      </c>
      <c r="Q8" s="3424"/>
      <c r="R8" s="664" t="s">
        <v>14</v>
      </c>
      <c r="S8" s="665">
        <f t="shared" si="0"/>
        <v>100</v>
      </c>
      <c r="T8" s="664" t="s">
        <v>14</v>
      </c>
      <c r="U8" s="665">
        <f t="shared" si="1"/>
        <v>100</v>
      </c>
      <c r="V8" s="664" t="s">
        <v>14</v>
      </c>
      <c r="W8" s="665">
        <f t="shared" si="2"/>
        <v>100</v>
      </c>
      <c r="X8" s="666"/>
      <c r="Y8" s="3425" t="s">
        <v>1681</v>
      </c>
      <c r="Z8" s="3424"/>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5" t="s">
        <v>1684</v>
      </c>
      <c r="Q9" s="530" t="str">
        <f t="shared" ref="Q9:Q14" si="6">B9</f>
        <v>用途</v>
      </c>
      <c r="R9" s="664" t="s">
        <v>14</v>
      </c>
      <c r="S9" s="665">
        <f t="shared" si="0"/>
        <v>100</v>
      </c>
      <c r="T9" s="664" t="s">
        <v>14</v>
      </c>
      <c r="U9" s="665">
        <f t="shared" si="1"/>
        <v>100</v>
      </c>
      <c r="V9" s="664" t="s">
        <v>14</v>
      </c>
      <c r="W9" s="665">
        <f t="shared" si="2"/>
        <v>100</v>
      </c>
      <c r="X9" s="666"/>
      <c r="Y9" s="329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5"/>
      <c r="Q10" s="530" t="str">
        <f t="shared" si="6"/>
        <v>土地使用年限（年）</v>
      </c>
      <c r="R10" s="664" t="s">
        <v>14</v>
      </c>
      <c r="S10" s="665">
        <f t="shared" si="0"/>
        <v>100</v>
      </c>
      <c r="T10" s="664" t="s">
        <v>14</v>
      </c>
      <c r="U10" s="665">
        <f t="shared" si="1"/>
        <v>100</v>
      </c>
      <c r="V10" s="664" t="s">
        <v>14</v>
      </c>
      <c r="W10" s="665">
        <f t="shared" si="2"/>
        <v>100</v>
      </c>
      <c r="X10" s="666"/>
      <c r="Y10" s="329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5"/>
      <c r="Q11" s="530">
        <f t="shared" si="6"/>
        <v>111</v>
      </c>
      <c r="R11" s="664" t="s">
        <v>14</v>
      </c>
      <c r="S11" s="665">
        <f t="shared" si="0"/>
        <v>100</v>
      </c>
      <c r="T11" s="664" t="s">
        <v>14</v>
      </c>
      <c r="U11" s="665">
        <f t="shared" si="1"/>
        <v>100</v>
      </c>
      <c r="V11" s="664" t="s">
        <v>14</v>
      </c>
      <c r="W11" s="665">
        <f t="shared" si="2"/>
        <v>100</v>
      </c>
      <c r="X11" s="666"/>
      <c r="Y11" s="329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5"/>
      <c r="Q12" s="530">
        <f t="shared" si="6"/>
        <v>111</v>
      </c>
      <c r="R12" s="664" t="s">
        <v>14</v>
      </c>
      <c r="S12" s="665">
        <f t="shared" si="0"/>
        <v>100</v>
      </c>
      <c r="T12" s="664" t="s">
        <v>14</v>
      </c>
      <c r="U12" s="665">
        <f t="shared" si="1"/>
        <v>100</v>
      </c>
      <c r="V12" s="664" t="s">
        <v>14</v>
      </c>
      <c r="W12" s="665">
        <f t="shared" si="2"/>
        <v>100</v>
      </c>
      <c r="X12" s="666"/>
      <c r="Y12" s="329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5"/>
      <c r="Q13" s="530">
        <f t="shared" si="6"/>
        <v>111</v>
      </c>
      <c r="R13" s="664" t="s">
        <v>14</v>
      </c>
      <c r="S13" s="665">
        <f t="shared" si="0"/>
        <v>100</v>
      </c>
      <c r="T13" s="664" t="s">
        <v>14</v>
      </c>
      <c r="U13" s="665">
        <f t="shared" si="1"/>
        <v>100</v>
      </c>
      <c r="V13" s="664" t="s">
        <v>14</v>
      </c>
      <c r="W13" s="665">
        <f t="shared" si="2"/>
        <v>100</v>
      </c>
      <c r="X13" s="666"/>
      <c r="Y13" s="3291"/>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2" t="s">
        <v>1689</v>
      </c>
      <c r="Q14" s="1263" t="str">
        <f t="shared" si="6"/>
        <v>交通便捷度</v>
      </c>
      <c r="R14" s="667" t="s">
        <v>14</v>
      </c>
      <c r="S14" s="668">
        <f t="shared" si="0"/>
        <v>100</v>
      </c>
      <c r="T14" s="667" t="s">
        <v>14</v>
      </c>
      <c r="U14" s="668">
        <f t="shared" si="1"/>
        <v>100</v>
      </c>
      <c r="V14" s="667" t="s">
        <v>14</v>
      </c>
      <c r="W14" s="668">
        <f t="shared" si="2"/>
        <v>100</v>
      </c>
      <c r="X14" s="1265"/>
      <c r="Y14" s="339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3"/>
      <c r="Q15" s="1263"/>
      <c r="R15" s="667"/>
      <c r="S15" s="668"/>
      <c r="T15" s="667"/>
      <c r="U15" s="668"/>
      <c r="V15" s="667"/>
      <c r="W15" s="668"/>
      <c r="X15" s="1265"/>
      <c r="Y15" s="3393"/>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3"/>
      <c r="Q17" s="1263"/>
      <c r="R17" s="667"/>
      <c r="S17" s="668"/>
      <c r="T17" s="667"/>
      <c r="U17" s="668"/>
      <c r="V17" s="667"/>
      <c r="W17" s="668"/>
      <c r="X17" s="1265"/>
      <c r="Y17" s="3393"/>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3"/>
      <c r="Q19" s="1263"/>
      <c r="R19" s="667"/>
      <c r="S19" s="668"/>
      <c r="T19" s="667"/>
      <c r="U19" s="668"/>
      <c r="V19" s="667"/>
      <c r="W19" s="668"/>
      <c r="X19" s="1265"/>
      <c r="Y19" s="3393"/>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3"/>
      <c r="Q21" s="1263"/>
      <c r="R21" s="667"/>
      <c r="S21" s="668"/>
      <c r="T21" s="667"/>
      <c r="U21" s="668"/>
      <c r="V21" s="667"/>
      <c r="W21" s="668"/>
      <c r="X21" s="1265"/>
      <c r="Y21" s="339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7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7"/>
      <c r="Q27" s="531" t="str">
        <f t="shared" si="11"/>
        <v>项目停车位配比</v>
      </c>
      <c r="R27" s="669" t="s">
        <v>14</v>
      </c>
      <c r="S27" s="670">
        <f t="shared" si="12"/>
        <v>100</v>
      </c>
      <c r="T27" s="669" t="s">
        <v>14</v>
      </c>
      <c r="U27" s="670">
        <f t="shared" si="13"/>
        <v>100</v>
      </c>
      <c r="V27" s="669" t="s">
        <v>14</v>
      </c>
      <c r="W27" s="670">
        <f t="shared" si="14"/>
        <v>100</v>
      </c>
      <c r="X27" s="671"/>
      <c r="Y27" s="339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7"/>
      <c r="Q28" s="1263" t="str">
        <f t="shared" si="11"/>
        <v>公共部分装修</v>
      </c>
      <c r="R28" s="667" t="s">
        <v>14</v>
      </c>
      <c r="S28" s="668">
        <f t="shared" si="12"/>
        <v>100</v>
      </c>
      <c r="T28" s="667" t="s">
        <v>14</v>
      </c>
      <c r="U28" s="668">
        <f t="shared" si="13"/>
        <v>100</v>
      </c>
      <c r="V28" s="667" t="s">
        <v>14</v>
      </c>
      <c r="W28" s="668">
        <f t="shared" si="14"/>
        <v>100</v>
      </c>
      <c r="X28" s="1265"/>
      <c r="Y28" s="339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7"/>
      <c r="Q29" s="1263" t="str">
        <f t="shared" si="11"/>
        <v>成新率</v>
      </c>
      <c r="R29" s="667" t="s">
        <v>14</v>
      </c>
      <c r="S29" s="668" t="e">
        <f t="shared" si="12"/>
        <v>#N/A</v>
      </c>
      <c r="T29" s="667" t="s">
        <v>14</v>
      </c>
      <c r="U29" s="668" t="e">
        <f t="shared" si="13"/>
        <v>#N/A</v>
      </c>
      <c r="V29" s="667" t="s">
        <v>14</v>
      </c>
      <c r="W29" s="668" t="e">
        <f t="shared" si="14"/>
        <v>#N/A</v>
      </c>
      <c r="X29" s="1265"/>
      <c r="Y29" s="339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7"/>
      <c r="Q30" s="1263" t="str">
        <f t="shared" si="11"/>
        <v>物业等级</v>
      </c>
      <c r="R30" s="667" t="s">
        <v>14</v>
      </c>
      <c r="S30" s="668">
        <f t="shared" si="12"/>
        <v>100</v>
      </c>
      <c r="T30" s="667" t="s">
        <v>14</v>
      </c>
      <c r="U30" s="668">
        <f t="shared" si="13"/>
        <v>100</v>
      </c>
      <c r="V30" s="667" t="s">
        <v>14</v>
      </c>
      <c r="W30" s="668">
        <f t="shared" si="14"/>
        <v>100</v>
      </c>
      <c r="X30" s="1265"/>
      <c r="Y30" s="339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7"/>
      <c r="Q31" s="530" t="str">
        <f t="shared" si="11"/>
        <v>停车位面积</v>
      </c>
      <c r="R31" s="664" t="s">
        <v>14</v>
      </c>
      <c r="S31" s="665" t="e">
        <f t="shared" si="12"/>
        <v>#N/A</v>
      </c>
      <c r="T31" s="664" t="s">
        <v>14</v>
      </c>
      <c r="U31" s="665" t="e">
        <f t="shared" si="13"/>
        <v>#N/A</v>
      </c>
      <c r="V31" s="664" t="s">
        <v>14</v>
      </c>
      <c r="W31" s="665" t="e">
        <f t="shared" si="14"/>
        <v>#N/A</v>
      </c>
      <c r="X31" s="666"/>
      <c r="Y31" s="339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7" t="s">
        <v>1694</v>
      </c>
      <c r="Q32" s="1263" t="str">
        <f t="shared" si="11"/>
        <v>车位类型</v>
      </c>
      <c r="R32" s="667" t="s">
        <v>14</v>
      </c>
      <c r="S32" s="668">
        <f t="shared" si="12"/>
        <v>100</v>
      </c>
      <c r="T32" s="667" t="s">
        <v>14</v>
      </c>
      <c r="U32" s="668">
        <f t="shared" si="13"/>
        <v>100</v>
      </c>
      <c r="V32" s="667" t="s">
        <v>14</v>
      </c>
      <c r="W32" s="668">
        <f t="shared" si="14"/>
        <v>100</v>
      </c>
      <c r="X32" s="1265"/>
      <c r="Y32" s="339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7"/>
      <c r="Q33" s="1263" t="str">
        <f t="shared" si="11"/>
        <v>是否直接入户</v>
      </c>
      <c r="R33" s="667" t="s">
        <v>14</v>
      </c>
      <c r="S33" s="668">
        <f t="shared" si="12"/>
        <v>100</v>
      </c>
      <c r="T33" s="667" t="s">
        <v>14</v>
      </c>
      <c r="U33" s="668">
        <f t="shared" si="13"/>
        <v>100</v>
      </c>
      <c r="V33" s="667" t="s">
        <v>14</v>
      </c>
      <c r="W33" s="668">
        <f t="shared" si="14"/>
        <v>100</v>
      </c>
      <c r="X33" s="1265"/>
      <c r="Y33" s="33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7"/>
      <c r="Q35" s="531">
        <f t="shared" si="11"/>
        <v>111</v>
      </c>
      <c r="R35" s="669" t="s">
        <v>14</v>
      </c>
      <c r="S35" s="670">
        <f t="shared" si="12"/>
        <v>100</v>
      </c>
      <c r="T35" s="669" t="s">
        <v>14</v>
      </c>
      <c r="U35" s="670">
        <f t="shared" si="13"/>
        <v>100</v>
      </c>
      <c r="V35" s="669" t="s">
        <v>14</v>
      </c>
      <c r="W35" s="670">
        <f t="shared" si="14"/>
        <v>100</v>
      </c>
      <c r="X35" s="671"/>
      <c r="Y35" s="339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7"/>
      <c r="Q36" s="1263">
        <f t="shared" si="11"/>
        <v>111</v>
      </c>
      <c r="R36" s="667" t="s">
        <v>14</v>
      </c>
      <c r="S36" s="668">
        <f t="shared" si="12"/>
        <v>100</v>
      </c>
      <c r="T36" s="667" t="s">
        <v>14</v>
      </c>
      <c r="U36" s="668">
        <f t="shared" si="13"/>
        <v>100</v>
      </c>
      <c r="V36" s="667" t="s">
        <v>14</v>
      </c>
      <c r="W36" s="668">
        <f t="shared" si="14"/>
        <v>100</v>
      </c>
      <c r="X36" s="1265"/>
      <c r="Y36" s="3397"/>
      <c r="Z36" s="1264">
        <f t="shared" si="15"/>
        <v>111</v>
      </c>
      <c r="AA36" s="1264">
        <f t="shared" si="3"/>
        <v>1</v>
      </c>
      <c r="AB36" s="1264">
        <f t="shared" si="4"/>
        <v>1</v>
      </c>
      <c r="AC36" s="1264">
        <f t="shared" si="5"/>
        <v>1</v>
      </c>
    </row>
    <row r="37" spans="1:29" ht="15">
      <c r="A37" s="416" t="s">
        <v>1842</v>
      </c>
      <c r="B37" s="1821" t="s">
        <v>3341</v>
      </c>
      <c r="C37" s="1081" t="s">
        <v>0</v>
      </c>
      <c r="D37" s="418"/>
      <c r="E37" s="419"/>
      <c r="F37" s="420"/>
      <c r="G37" s="421"/>
      <c r="H37" s="422"/>
      <c r="I37" s="419"/>
      <c r="J37" s="422"/>
      <c r="K37" s="545"/>
      <c r="L37" s="2495"/>
      <c r="M37" s="2488"/>
      <c r="N37" s="2488"/>
      <c r="O37" s="2488"/>
      <c r="P37" s="3385" t="str">
        <f>A37</f>
        <v>成交单价</v>
      </c>
      <c r="Q37" s="3385"/>
      <c r="R37" s="3386">
        <f>E37</f>
        <v>0</v>
      </c>
      <c r="S37" s="3386"/>
      <c r="T37" s="3386">
        <f>G37</f>
        <v>0</v>
      </c>
      <c r="U37" s="3386"/>
      <c r="V37" s="3386">
        <f>I37</f>
        <v>0</v>
      </c>
      <c r="W37" s="338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463" t="str">
        <f>A39</f>
        <v>估价对象XX用房的比较价值（楼面单价，元/平方米）</v>
      </c>
      <c r="Q39" s="3464"/>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3321</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67" t="s">
        <v>1773</v>
      </c>
      <c r="Q4" s="3468"/>
      <c r="R4" s="3471" t="s">
        <v>1769</v>
      </c>
      <c r="S4" s="3472"/>
      <c r="T4" s="3471" t="s">
        <v>1770</v>
      </c>
      <c r="U4" s="3472"/>
      <c r="V4" s="3386" t="s">
        <v>1771</v>
      </c>
      <c r="W4" s="3386"/>
      <c r="X4" s="1265"/>
      <c r="Y4" s="3471" t="s">
        <v>1773</v>
      </c>
      <c r="Z4" s="3472"/>
      <c r="AA4" s="3466" t="s">
        <v>1769</v>
      </c>
      <c r="AB4" s="3430" t="s">
        <v>1770</v>
      </c>
      <c r="AC4" s="3466" t="s">
        <v>1771</v>
      </c>
    </row>
    <row r="5" spans="1:29" ht="15">
      <c r="A5" s="348"/>
      <c r="B5" s="349"/>
      <c r="C5" s="3421" t="s">
        <v>1671</v>
      </c>
      <c r="D5" s="3422"/>
      <c r="E5" s="3432" t="s">
        <v>1672</v>
      </c>
      <c r="F5" s="3433"/>
      <c r="G5" s="3421" t="s">
        <v>1673</v>
      </c>
      <c r="H5" s="3422"/>
      <c r="I5" s="3421" t="s">
        <v>1674</v>
      </c>
      <c r="J5" s="3422"/>
      <c r="K5" s="537"/>
      <c r="L5" s="2487"/>
      <c r="M5" s="2488"/>
      <c r="N5" s="2488"/>
      <c r="O5" s="2488"/>
      <c r="P5" s="3469"/>
      <c r="Q5" s="3409"/>
      <c r="R5" s="3414"/>
      <c r="S5" s="3415"/>
      <c r="T5" s="3414"/>
      <c r="U5" s="3415"/>
      <c r="V5" s="3386"/>
      <c r="W5" s="3386"/>
      <c r="X5" s="1265"/>
      <c r="Y5" s="3414"/>
      <c r="Z5" s="3415"/>
      <c r="AA5" s="3430"/>
      <c r="AB5" s="3430"/>
      <c r="AC5" s="3430"/>
    </row>
    <row r="6" spans="1:29" ht="15.75" thickBot="1">
      <c r="A6" s="350"/>
      <c r="B6" s="351"/>
      <c r="C6" s="3419" t="s">
        <v>1675</v>
      </c>
      <c r="D6" s="3420"/>
      <c r="E6" s="3427" t="s">
        <v>1675</v>
      </c>
      <c r="F6" s="3428"/>
      <c r="G6" s="3419" t="s">
        <v>1675</v>
      </c>
      <c r="H6" s="3420"/>
      <c r="I6" s="3419" t="s">
        <v>1675</v>
      </c>
      <c r="J6" s="3420"/>
      <c r="K6" s="537" t="s">
        <v>1676</v>
      </c>
      <c r="L6" s="2487"/>
      <c r="M6" s="2488"/>
      <c r="N6" s="2488"/>
      <c r="O6" s="2488"/>
      <c r="P6" s="3470"/>
      <c r="Q6" s="3411"/>
      <c r="R6" s="3414"/>
      <c r="S6" s="3415"/>
      <c r="T6" s="3416"/>
      <c r="U6" s="3417"/>
      <c r="V6" s="3386"/>
      <c r="W6" s="3386"/>
      <c r="X6" s="1265"/>
      <c r="Y6" s="3416"/>
      <c r="Z6" s="3417"/>
      <c r="AA6" s="3431"/>
      <c r="AB6" s="3431"/>
      <c r="AC6" s="3431"/>
    </row>
    <row r="7" spans="1:29" s="102" customFormat="1" ht="15.75" thickBot="1">
      <c r="A7" s="352" t="s">
        <v>1677</v>
      </c>
      <c r="B7" s="353"/>
      <c r="C7" s="354">
        <f>'数据-取费表'!B2</f>
        <v>45944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5" t="s">
        <v>1678</v>
      </c>
      <c r="Q7" s="3426"/>
      <c r="R7" s="664" t="s">
        <v>14</v>
      </c>
      <c r="S7" s="665">
        <f t="shared" ref="S7:S14" si="0">F7</f>
        <v>0</v>
      </c>
      <c r="T7" s="664" t="s">
        <v>14</v>
      </c>
      <c r="U7" s="665">
        <f t="shared" ref="U7:U14" si="1">H7</f>
        <v>0</v>
      </c>
      <c r="V7" s="664" t="s">
        <v>14</v>
      </c>
      <c r="W7" s="665">
        <f t="shared" ref="W7:W14" si="2">J7</f>
        <v>0</v>
      </c>
      <c r="X7" s="666"/>
      <c r="Y7" s="3425" t="s">
        <v>1678</v>
      </c>
      <c r="Z7" s="3424"/>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5" t="s">
        <v>1681</v>
      </c>
      <c r="Q8" s="3424"/>
      <c r="R8" s="664" t="s">
        <v>14</v>
      </c>
      <c r="S8" s="665">
        <f t="shared" si="0"/>
        <v>100</v>
      </c>
      <c r="T8" s="664" t="s">
        <v>14</v>
      </c>
      <c r="U8" s="665">
        <f t="shared" si="1"/>
        <v>100</v>
      </c>
      <c r="V8" s="664" t="s">
        <v>14</v>
      </c>
      <c r="W8" s="665">
        <f t="shared" si="2"/>
        <v>100</v>
      </c>
      <c r="X8" s="666"/>
      <c r="Y8" s="3425" t="s">
        <v>1681</v>
      </c>
      <c r="Z8" s="3424"/>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5" t="s">
        <v>1684</v>
      </c>
      <c r="Q9" s="530" t="str">
        <f t="shared" ref="Q9:Q14" si="6">B9</f>
        <v>用途</v>
      </c>
      <c r="R9" s="664" t="s">
        <v>14</v>
      </c>
      <c r="S9" s="665">
        <f t="shared" si="0"/>
        <v>100</v>
      </c>
      <c r="T9" s="664" t="s">
        <v>14</v>
      </c>
      <c r="U9" s="665">
        <f t="shared" si="1"/>
        <v>100</v>
      </c>
      <c r="V9" s="664" t="s">
        <v>14</v>
      </c>
      <c r="W9" s="665">
        <f t="shared" si="2"/>
        <v>100</v>
      </c>
      <c r="X9" s="666"/>
      <c r="Y9" s="329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5"/>
      <c r="Q10" s="530" t="str">
        <f t="shared" si="6"/>
        <v>土地使用年限（年）</v>
      </c>
      <c r="R10" s="664" t="s">
        <v>14</v>
      </c>
      <c r="S10" s="665">
        <f t="shared" si="0"/>
        <v>100</v>
      </c>
      <c r="T10" s="664" t="s">
        <v>14</v>
      </c>
      <c r="U10" s="665">
        <f t="shared" si="1"/>
        <v>100</v>
      </c>
      <c r="V10" s="664" t="s">
        <v>14</v>
      </c>
      <c r="W10" s="665">
        <f t="shared" si="2"/>
        <v>100</v>
      </c>
      <c r="X10" s="666"/>
      <c r="Y10" s="329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5"/>
      <c r="Q11" s="530">
        <f t="shared" si="6"/>
        <v>111</v>
      </c>
      <c r="R11" s="664" t="s">
        <v>14</v>
      </c>
      <c r="S11" s="665">
        <f t="shared" si="0"/>
        <v>100</v>
      </c>
      <c r="T11" s="664" t="s">
        <v>14</v>
      </c>
      <c r="U11" s="665">
        <f t="shared" si="1"/>
        <v>100</v>
      </c>
      <c r="V11" s="664" t="s">
        <v>14</v>
      </c>
      <c r="W11" s="665">
        <f t="shared" si="2"/>
        <v>100</v>
      </c>
      <c r="X11" s="666"/>
      <c r="Y11" s="329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5"/>
      <c r="Q12" s="530">
        <f t="shared" si="6"/>
        <v>111</v>
      </c>
      <c r="R12" s="664" t="s">
        <v>14</v>
      </c>
      <c r="S12" s="665">
        <f t="shared" si="0"/>
        <v>100</v>
      </c>
      <c r="T12" s="664" t="s">
        <v>14</v>
      </c>
      <c r="U12" s="665">
        <f t="shared" si="1"/>
        <v>100</v>
      </c>
      <c r="V12" s="664" t="s">
        <v>14</v>
      </c>
      <c r="W12" s="665">
        <f t="shared" si="2"/>
        <v>100</v>
      </c>
      <c r="X12" s="666"/>
      <c r="Y12" s="329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5"/>
      <c r="Q13" s="530">
        <f t="shared" si="6"/>
        <v>111</v>
      </c>
      <c r="R13" s="664" t="s">
        <v>14</v>
      </c>
      <c r="S13" s="665">
        <f t="shared" si="0"/>
        <v>100</v>
      </c>
      <c r="T13" s="664" t="s">
        <v>14</v>
      </c>
      <c r="U13" s="665">
        <f t="shared" si="1"/>
        <v>100</v>
      </c>
      <c r="V13" s="664" t="s">
        <v>14</v>
      </c>
      <c r="W13" s="665">
        <f t="shared" si="2"/>
        <v>100</v>
      </c>
      <c r="X13" s="666"/>
      <c r="Y13" s="3291"/>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2" t="s">
        <v>1689</v>
      </c>
      <c r="Q14" s="1263" t="str">
        <f t="shared" si="6"/>
        <v>交通便捷度</v>
      </c>
      <c r="R14" s="667" t="s">
        <v>14</v>
      </c>
      <c r="S14" s="668">
        <f t="shared" si="0"/>
        <v>100</v>
      </c>
      <c r="T14" s="667" t="s">
        <v>14</v>
      </c>
      <c r="U14" s="668">
        <f t="shared" si="1"/>
        <v>100</v>
      </c>
      <c r="V14" s="667" t="s">
        <v>14</v>
      </c>
      <c r="W14" s="668">
        <f t="shared" si="2"/>
        <v>100</v>
      </c>
      <c r="X14" s="1265"/>
      <c r="Y14" s="339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3"/>
      <c r="Q15" s="1263"/>
      <c r="R15" s="667"/>
      <c r="S15" s="668"/>
      <c r="T15" s="667"/>
      <c r="U15" s="668"/>
      <c r="V15" s="667"/>
      <c r="W15" s="668"/>
      <c r="X15" s="1265"/>
      <c r="Y15" s="3393"/>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3"/>
      <c r="Q17" s="1263"/>
      <c r="R17" s="667"/>
      <c r="S17" s="668"/>
      <c r="T17" s="667"/>
      <c r="U17" s="668"/>
      <c r="V17" s="667"/>
      <c r="W17" s="668"/>
      <c r="X17" s="1265"/>
      <c r="Y17" s="3393"/>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3"/>
      <c r="Q19" s="1263"/>
      <c r="R19" s="667"/>
      <c r="S19" s="668"/>
      <c r="T19" s="667"/>
      <c r="U19" s="668"/>
      <c r="V19" s="667"/>
      <c r="W19" s="668"/>
      <c r="X19" s="1265"/>
      <c r="Y19" s="3393"/>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3"/>
      <c r="Q21" s="1263"/>
      <c r="R21" s="667"/>
      <c r="S21" s="668"/>
      <c r="T21" s="667"/>
      <c r="U21" s="668"/>
      <c r="V21" s="667"/>
      <c r="W21" s="668"/>
      <c r="X21" s="1265"/>
      <c r="Y21" s="339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7"/>
      <c r="Q27" s="531" t="str">
        <f t="shared" si="11"/>
        <v>成新率</v>
      </c>
      <c r="R27" s="669" t="s">
        <v>14</v>
      </c>
      <c r="S27" s="670" t="e">
        <f t="shared" si="12"/>
        <v>#N/A</v>
      </c>
      <c r="T27" s="669" t="s">
        <v>14</v>
      </c>
      <c r="U27" s="670" t="e">
        <f t="shared" si="13"/>
        <v>#N/A</v>
      </c>
      <c r="V27" s="669" t="s">
        <v>14</v>
      </c>
      <c r="W27" s="670" t="e">
        <f t="shared" si="14"/>
        <v>#N/A</v>
      </c>
      <c r="X27" s="671"/>
      <c r="Y27" s="339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7"/>
      <c r="Q28" s="1263" t="str">
        <f t="shared" si="11"/>
        <v>物业等级</v>
      </c>
      <c r="R28" s="667" t="s">
        <v>14</v>
      </c>
      <c r="S28" s="668">
        <f t="shared" si="12"/>
        <v>100</v>
      </c>
      <c r="T28" s="667" t="s">
        <v>14</v>
      </c>
      <c r="U28" s="668">
        <f t="shared" si="13"/>
        <v>100</v>
      </c>
      <c r="V28" s="667" t="s">
        <v>14</v>
      </c>
      <c r="W28" s="668">
        <f t="shared" si="14"/>
        <v>100</v>
      </c>
      <c r="X28" s="1265"/>
      <c r="Y28" s="339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7"/>
      <c r="Q29" s="1263" t="str">
        <f t="shared" si="11"/>
        <v>有无电梯</v>
      </c>
      <c r="R29" s="667" t="s">
        <v>14</v>
      </c>
      <c r="S29" s="668">
        <f t="shared" si="12"/>
        <v>100</v>
      </c>
      <c r="T29" s="667" t="s">
        <v>14</v>
      </c>
      <c r="U29" s="668">
        <f t="shared" si="13"/>
        <v>100</v>
      </c>
      <c r="V29" s="667" t="s">
        <v>14</v>
      </c>
      <c r="W29" s="668">
        <f t="shared" si="14"/>
        <v>100</v>
      </c>
      <c r="X29" s="1265"/>
      <c r="Y29" s="339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7"/>
      <c r="Q30" s="1263" t="str">
        <f t="shared" si="11"/>
        <v>建筑面积</v>
      </c>
      <c r="R30" s="667" t="s">
        <v>14</v>
      </c>
      <c r="S30" s="668" t="e">
        <f t="shared" si="12"/>
        <v>#N/A</v>
      </c>
      <c r="T30" s="667" t="s">
        <v>14</v>
      </c>
      <c r="U30" s="668" t="e">
        <f t="shared" si="13"/>
        <v>#N/A</v>
      </c>
      <c r="V30" s="667" t="s">
        <v>14</v>
      </c>
      <c r="W30" s="668" t="e">
        <f t="shared" si="14"/>
        <v>#N/A</v>
      </c>
      <c r="X30" s="1265"/>
      <c r="Y30" s="339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7"/>
      <c r="Q31" s="530" t="str">
        <f t="shared" si="11"/>
        <v>是否封闭</v>
      </c>
      <c r="R31" s="664" t="s">
        <v>14</v>
      </c>
      <c r="S31" s="665">
        <f t="shared" si="12"/>
        <v>100</v>
      </c>
      <c r="T31" s="664" t="s">
        <v>14</v>
      </c>
      <c r="U31" s="665">
        <f t="shared" si="13"/>
        <v>100</v>
      </c>
      <c r="V31" s="664" t="s">
        <v>14</v>
      </c>
      <c r="W31" s="665">
        <f t="shared" si="14"/>
        <v>100</v>
      </c>
      <c r="X31" s="666"/>
      <c r="Y31" s="339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7" t="s">
        <v>1694</v>
      </c>
      <c r="Q32" s="1263">
        <f t="shared" si="11"/>
        <v>111</v>
      </c>
      <c r="R32" s="667" t="s">
        <v>14</v>
      </c>
      <c r="S32" s="668">
        <f t="shared" si="12"/>
        <v>100</v>
      </c>
      <c r="T32" s="667" t="s">
        <v>14</v>
      </c>
      <c r="U32" s="668">
        <f t="shared" si="13"/>
        <v>100</v>
      </c>
      <c r="V32" s="667" t="s">
        <v>14</v>
      </c>
      <c r="W32" s="668">
        <f t="shared" si="14"/>
        <v>100</v>
      </c>
      <c r="X32" s="1265"/>
      <c r="Y32" s="339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7"/>
      <c r="Q33" s="1263">
        <f t="shared" si="11"/>
        <v>111</v>
      </c>
      <c r="R33" s="667" t="s">
        <v>14</v>
      </c>
      <c r="S33" s="668">
        <f t="shared" si="12"/>
        <v>100</v>
      </c>
      <c r="T33" s="667" t="s">
        <v>14</v>
      </c>
      <c r="U33" s="668">
        <f t="shared" si="13"/>
        <v>100</v>
      </c>
      <c r="V33" s="667" t="s">
        <v>14</v>
      </c>
      <c r="W33" s="668">
        <f t="shared" si="14"/>
        <v>100</v>
      </c>
      <c r="X33" s="1265"/>
      <c r="Y33" s="339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385" t="str">
        <f>A35</f>
        <v>成交单价（元/平方米）</v>
      </c>
      <c r="Q35" s="3385"/>
      <c r="R35" s="3386">
        <f>E35</f>
        <v>0</v>
      </c>
      <c r="S35" s="3386"/>
      <c r="T35" s="3386">
        <f>G35</f>
        <v>0</v>
      </c>
      <c r="U35" s="3386"/>
      <c r="V35" s="3386">
        <f>I35</f>
        <v>0</v>
      </c>
      <c r="W35" s="338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463" t="str">
        <f>A37</f>
        <v>估价对象XX用房的比较价值（楼面单价，元/平方米）</v>
      </c>
      <c r="Q37" s="3464"/>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67" t="s">
        <v>1773</v>
      </c>
      <c r="Q4" s="3468"/>
      <c r="R4" s="3471" t="s">
        <v>1769</v>
      </c>
      <c r="S4" s="3472"/>
      <c r="T4" s="3471" t="s">
        <v>1770</v>
      </c>
      <c r="U4" s="3472"/>
      <c r="V4" s="3386" t="s">
        <v>1771</v>
      </c>
      <c r="W4" s="3386"/>
      <c r="X4" s="1265"/>
      <c r="Y4" s="3471" t="s">
        <v>1773</v>
      </c>
      <c r="Z4" s="3472"/>
      <c r="AA4" s="3466" t="s">
        <v>1769</v>
      </c>
      <c r="AB4" s="3430" t="s">
        <v>1770</v>
      </c>
      <c r="AC4" s="3466" t="s">
        <v>1771</v>
      </c>
    </row>
    <row r="5" spans="1:29" ht="15">
      <c r="A5" s="348"/>
      <c r="B5" s="349"/>
      <c r="C5" s="3421" t="s">
        <v>1671</v>
      </c>
      <c r="D5" s="3422"/>
      <c r="E5" s="3432" t="s">
        <v>1672</v>
      </c>
      <c r="F5" s="3433"/>
      <c r="G5" s="3421" t="s">
        <v>1673</v>
      </c>
      <c r="H5" s="3422"/>
      <c r="I5" s="3421" t="s">
        <v>1674</v>
      </c>
      <c r="J5" s="3422"/>
      <c r="K5" s="537"/>
      <c r="L5" s="2487"/>
      <c r="M5" s="2488"/>
      <c r="N5" s="2488"/>
      <c r="O5" s="2488"/>
      <c r="P5" s="3469"/>
      <c r="Q5" s="3409"/>
      <c r="R5" s="3414"/>
      <c r="S5" s="3415"/>
      <c r="T5" s="3414"/>
      <c r="U5" s="3415"/>
      <c r="V5" s="3386"/>
      <c r="W5" s="3386"/>
      <c r="X5" s="1265"/>
      <c r="Y5" s="3414"/>
      <c r="Z5" s="3415"/>
      <c r="AA5" s="3430"/>
      <c r="AB5" s="3430"/>
      <c r="AC5" s="3430"/>
    </row>
    <row r="6" spans="1:29" ht="15.75" thickBot="1">
      <c r="A6" s="350"/>
      <c r="B6" s="351"/>
      <c r="C6" s="3419" t="s">
        <v>1675</v>
      </c>
      <c r="D6" s="3420"/>
      <c r="E6" s="3427" t="s">
        <v>1675</v>
      </c>
      <c r="F6" s="3428"/>
      <c r="G6" s="3419" t="s">
        <v>1675</v>
      </c>
      <c r="H6" s="3420"/>
      <c r="I6" s="3419" t="s">
        <v>1675</v>
      </c>
      <c r="J6" s="3420"/>
      <c r="K6" s="537" t="s">
        <v>1676</v>
      </c>
      <c r="L6" s="2487"/>
      <c r="M6" s="2488"/>
      <c r="N6" s="2488"/>
      <c r="O6" s="2488"/>
      <c r="P6" s="3470"/>
      <c r="Q6" s="3411"/>
      <c r="R6" s="3414"/>
      <c r="S6" s="3415"/>
      <c r="T6" s="3416"/>
      <c r="U6" s="3417"/>
      <c r="V6" s="3386"/>
      <c r="W6" s="3386"/>
      <c r="X6" s="1265"/>
      <c r="Y6" s="3416"/>
      <c r="Z6" s="3417"/>
      <c r="AA6" s="3431"/>
      <c r="AB6" s="3431"/>
      <c r="AC6" s="3431"/>
    </row>
    <row r="7" spans="1:29" s="102" customFormat="1" ht="15.75" thickBot="1">
      <c r="A7" s="352" t="s">
        <v>1677</v>
      </c>
      <c r="B7" s="353"/>
      <c r="C7" s="354">
        <f>'数据-取费表'!B2</f>
        <v>45944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5" t="s">
        <v>1678</v>
      </c>
      <c r="Q7" s="3426"/>
      <c r="R7" s="664" t="s">
        <v>14</v>
      </c>
      <c r="S7" s="665">
        <f t="shared" ref="S7:S15" si="0">F7</f>
        <v>0</v>
      </c>
      <c r="T7" s="664" t="s">
        <v>14</v>
      </c>
      <c r="U7" s="665">
        <f t="shared" ref="U7:U15" si="1">H7</f>
        <v>0</v>
      </c>
      <c r="V7" s="664" t="s">
        <v>14</v>
      </c>
      <c r="W7" s="665">
        <f t="shared" ref="W7:W15" si="2">J7</f>
        <v>0</v>
      </c>
      <c r="X7" s="666"/>
      <c r="Y7" s="3425" t="s">
        <v>1678</v>
      </c>
      <c r="Z7" s="3424"/>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5" t="s">
        <v>1681</v>
      </c>
      <c r="Q8" s="3424"/>
      <c r="R8" s="664" t="s">
        <v>14</v>
      </c>
      <c r="S8" s="665">
        <f t="shared" si="0"/>
        <v>0</v>
      </c>
      <c r="T8" s="664" t="s">
        <v>14</v>
      </c>
      <c r="U8" s="665">
        <f t="shared" si="1"/>
        <v>0</v>
      </c>
      <c r="V8" s="664" t="s">
        <v>14</v>
      </c>
      <c r="W8" s="665">
        <f t="shared" si="2"/>
        <v>0</v>
      </c>
      <c r="X8" s="666"/>
      <c r="Y8" s="3425" t="s">
        <v>1681</v>
      </c>
      <c r="Z8" s="3424"/>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5" t="s">
        <v>1684</v>
      </c>
      <c r="Q9" s="530" t="str">
        <f t="shared" ref="Q9:Q15" si="6">B9</f>
        <v>用途</v>
      </c>
      <c r="R9" s="664" t="s">
        <v>14</v>
      </c>
      <c r="S9" s="665">
        <f t="shared" si="0"/>
        <v>100</v>
      </c>
      <c r="T9" s="664" t="s">
        <v>14</v>
      </c>
      <c r="U9" s="665">
        <f t="shared" si="1"/>
        <v>100</v>
      </c>
      <c r="V9" s="664" t="s">
        <v>14</v>
      </c>
      <c r="W9" s="665">
        <f t="shared" si="2"/>
        <v>100</v>
      </c>
      <c r="X9" s="666"/>
      <c r="Y9" s="329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107</v>
      </c>
      <c r="G10" s="402"/>
      <c r="H10" s="119">
        <f>ROUND(100/'数据-取费表'!G16,0)</f>
        <v>107</v>
      </c>
      <c r="I10" s="402"/>
      <c r="J10" s="119">
        <f>ROUND(100/'数据-取费表'!G16,0)</f>
        <v>107</v>
      </c>
      <c r="K10" s="592"/>
      <c r="L10" s="2490"/>
      <c r="M10" s="2491"/>
      <c r="N10" s="2491"/>
      <c r="O10" s="2542"/>
      <c r="P10" s="3385"/>
      <c r="Q10" s="530" t="str">
        <f t="shared" si="6"/>
        <v>土地使用年限（年）</v>
      </c>
      <c r="R10" s="664" t="s">
        <v>14</v>
      </c>
      <c r="S10" s="665">
        <f t="shared" si="0"/>
        <v>107</v>
      </c>
      <c r="T10" s="664" t="s">
        <v>14</v>
      </c>
      <c r="U10" s="665">
        <f t="shared" si="1"/>
        <v>107</v>
      </c>
      <c r="V10" s="664" t="s">
        <v>14</v>
      </c>
      <c r="W10" s="665">
        <f t="shared" si="2"/>
        <v>107</v>
      </c>
      <c r="X10" s="666"/>
      <c r="Y10" s="3291"/>
      <c r="Z10" s="50" t="str">
        <f t="shared" si="7"/>
        <v>土地使用年限（年）</v>
      </c>
      <c r="AA10" s="50">
        <f t="shared" si="3"/>
        <v>0.93457943925233644</v>
      </c>
      <c r="AB10" s="50">
        <f t="shared" si="4"/>
        <v>0.93457943925233644</v>
      </c>
      <c r="AC10" s="50">
        <f t="shared" si="5"/>
        <v>0.93457943925233644</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5"/>
      <c r="Q11" s="530" t="str">
        <f t="shared" si="6"/>
        <v>容积率</v>
      </c>
      <c r="R11" s="664" t="s">
        <v>14</v>
      </c>
      <c r="S11" s="665" t="e">
        <f t="shared" si="0"/>
        <v>#N/A</v>
      </c>
      <c r="T11" s="664" t="s">
        <v>14</v>
      </c>
      <c r="U11" s="665" t="e">
        <f t="shared" si="1"/>
        <v>#N/A</v>
      </c>
      <c r="V11" s="664" t="s">
        <v>14</v>
      </c>
      <c r="W11" s="665" t="e">
        <f t="shared" si="2"/>
        <v>#N/A</v>
      </c>
      <c r="X11" s="666"/>
      <c r="Y11" s="329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5"/>
      <c r="Q12" s="530" t="str">
        <f t="shared" si="6"/>
        <v>配建</v>
      </c>
      <c r="R12" s="664" t="s">
        <v>14</v>
      </c>
      <c r="S12" s="665">
        <f t="shared" si="0"/>
        <v>100</v>
      </c>
      <c r="T12" s="664" t="s">
        <v>14</v>
      </c>
      <c r="U12" s="665">
        <f t="shared" si="1"/>
        <v>100</v>
      </c>
      <c r="V12" s="664" t="s">
        <v>14</v>
      </c>
      <c r="W12" s="665">
        <f t="shared" si="2"/>
        <v>100</v>
      </c>
      <c r="X12" s="666"/>
      <c r="Y12" s="329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5"/>
      <c r="Q13" s="530">
        <f t="shared" si="6"/>
        <v>111</v>
      </c>
      <c r="R13" s="664" t="s">
        <v>14</v>
      </c>
      <c r="S13" s="665">
        <f t="shared" si="0"/>
        <v>100</v>
      </c>
      <c r="T13" s="664" t="s">
        <v>14</v>
      </c>
      <c r="U13" s="665">
        <f t="shared" si="1"/>
        <v>100</v>
      </c>
      <c r="V13" s="664" t="s">
        <v>14</v>
      </c>
      <c r="W13" s="665">
        <f t="shared" si="2"/>
        <v>100</v>
      </c>
      <c r="X13" s="666"/>
      <c r="Y13" s="329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5"/>
      <c r="Q14" s="530">
        <f t="shared" si="6"/>
        <v>111</v>
      </c>
      <c r="R14" s="664" t="s">
        <v>14</v>
      </c>
      <c r="S14" s="665">
        <f t="shared" si="0"/>
        <v>100</v>
      </c>
      <c r="T14" s="664" t="s">
        <v>14</v>
      </c>
      <c r="U14" s="665">
        <f t="shared" si="1"/>
        <v>100</v>
      </c>
      <c r="V14" s="664" t="s">
        <v>14</v>
      </c>
      <c r="W14" s="665">
        <f t="shared" si="2"/>
        <v>100</v>
      </c>
      <c r="X14" s="666"/>
      <c r="Y14" s="3291"/>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2" t="s">
        <v>1689</v>
      </c>
      <c r="Q15" s="1263" t="str">
        <f t="shared" si="6"/>
        <v>居住社区成熟度</v>
      </c>
      <c r="R15" s="667" t="s">
        <v>14</v>
      </c>
      <c r="S15" s="668">
        <f t="shared" si="0"/>
        <v>100</v>
      </c>
      <c r="T15" s="667" t="s">
        <v>14</v>
      </c>
      <c r="U15" s="668">
        <f t="shared" si="1"/>
        <v>100</v>
      </c>
      <c r="V15" s="667" t="s">
        <v>14</v>
      </c>
      <c r="W15" s="668">
        <f t="shared" si="2"/>
        <v>100</v>
      </c>
      <c r="X15" s="1265"/>
      <c r="Y15" s="339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3"/>
      <c r="Q20" s="1263"/>
      <c r="R20" s="667"/>
      <c r="S20" s="668"/>
      <c r="T20" s="667"/>
      <c r="U20" s="668"/>
      <c r="V20" s="667"/>
      <c r="W20" s="668"/>
      <c r="X20" s="1265"/>
      <c r="Y20" s="3393"/>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3"/>
      <c r="Q24" s="1263"/>
      <c r="R24" s="667"/>
      <c r="S24" s="668"/>
      <c r="T24" s="667"/>
      <c r="U24" s="668"/>
      <c r="V24" s="667"/>
      <c r="W24" s="668"/>
      <c r="X24" s="1265"/>
      <c r="Y24" s="3393"/>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3"/>
      <c r="Q26" s="1263"/>
      <c r="R26" s="667"/>
      <c r="S26" s="668"/>
      <c r="T26" s="667"/>
      <c r="U26" s="668"/>
      <c r="V26" s="667"/>
      <c r="W26" s="668"/>
      <c r="X26" s="1265"/>
      <c r="Y26" s="3393"/>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3"/>
      <c r="Q28" s="530"/>
      <c r="R28" s="664"/>
      <c r="S28" s="665"/>
      <c r="T28" s="664"/>
      <c r="U28" s="665"/>
      <c r="V28" s="664"/>
      <c r="W28" s="665"/>
      <c r="X28" s="666"/>
      <c r="Y28" s="3393"/>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3"/>
      <c r="Q30" s="530"/>
      <c r="R30" s="664"/>
      <c r="S30" s="665"/>
      <c r="T30" s="664"/>
      <c r="U30" s="665"/>
      <c r="V30" s="664"/>
      <c r="W30" s="665"/>
      <c r="X30" s="666"/>
      <c r="Y30" s="339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3"/>
      <c r="Q33" s="1263"/>
      <c r="R33" s="667"/>
      <c r="S33" s="668"/>
      <c r="T33" s="667"/>
      <c r="U33" s="668"/>
      <c r="V33" s="667"/>
      <c r="W33" s="668"/>
      <c r="X33" s="1265"/>
      <c r="Y33" s="339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3" t="s">
        <v>1694</v>
      </c>
      <c r="Q36" s="1263">
        <f t="shared" si="8"/>
        <v>111</v>
      </c>
      <c r="R36" s="667" t="s">
        <v>14</v>
      </c>
      <c r="S36" s="668">
        <f t="shared" si="10"/>
        <v>100</v>
      </c>
      <c r="T36" s="667" t="s">
        <v>14</v>
      </c>
      <c r="U36" s="668">
        <f t="shared" si="11"/>
        <v>100</v>
      </c>
      <c r="V36" s="667" t="s">
        <v>14</v>
      </c>
      <c r="W36" s="668">
        <f t="shared" si="12"/>
        <v>100</v>
      </c>
      <c r="X36" s="1265"/>
      <c r="Y36" s="339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7"/>
      <c r="Q37" s="1263">
        <f t="shared" si="8"/>
        <v>111</v>
      </c>
      <c r="R37" s="669" t="s">
        <v>14</v>
      </c>
      <c r="S37" s="670">
        <f t="shared" si="10"/>
        <v>100</v>
      </c>
      <c r="T37" s="669" t="s">
        <v>14</v>
      </c>
      <c r="U37" s="670">
        <f t="shared" si="11"/>
        <v>100</v>
      </c>
      <c r="V37" s="669" t="s">
        <v>14</v>
      </c>
      <c r="W37" s="670">
        <f t="shared" si="12"/>
        <v>100</v>
      </c>
      <c r="X37" s="671"/>
      <c r="Y37" s="339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7"/>
      <c r="Q38" s="1263" t="str">
        <f>B38</f>
        <v>宗地面积</v>
      </c>
      <c r="R38" s="667" t="s">
        <v>14</v>
      </c>
      <c r="S38" s="668" t="e">
        <f t="shared" si="10"/>
        <v>#N/A</v>
      </c>
      <c r="T38" s="667" t="s">
        <v>14</v>
      </c>
      <c r="U38" s="668" t="e">
        <f t="shared" si="11"/>
        <v>#N/A</v>
      </c>
      <c r="V38" s="667" t="s">
        <v>14</v>
      </c>
      <c r="W38" s="668" t="e">
        <f t="shared" si="12"/>
        <v>#N/A</v>
      </c>
      <c r="X38" s="1265"/>
      <c r="Y38" s="339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7"/>
      <c r="Q39" s="1263" t="str">
        <f t="shared" ref="Q39:Q45" si="14">B39</f>
        <v>宗地形状</v>
      </c>
      <c r="R39" s="667" t="s">
        <v>14</v>
      </c>
      <c r="S39" s="668">
        <f t="shared" si="10"/>
        <v>100</v>
      </c>
      <c r="T39" s="667" t="s">
        <v>14</v>
      </c>
      <c r="U39" s="668">
        <f t="shared" si="11"/>
        <v>100</v>
      </c>
      <c r="V39" s="667" t="s">
        <v>14</v>
      </c>
      <c r="W39" s="668">
        <f t="shared" si="12"/>
        <v>100</v>
      </c>
      <c r="X39" s="1265"/>
      <c r="Y39" s="339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7"/>
      <c r="Q40" s="1263" t="str">
        <f t="shared" si="14"/>
        <v>临街宽度及深度</v>
      </c>
      <c r="R40" s="667" t="s">
        <v>14</v>
      </c>
      <c r="S40" s="668">
        <f t="shared" si="10"/>
        <v>100</v>
      </c>
      <c r="T40" s="667" t="s">
        <v>14</v>
      </c>
      <c r="U40" s="668">
        <f t="shared" si="11"/>
        <v>100</v>
      </c>
      <c r="V40" s="667" t="s">
        <v>14</v>
      </c>
      <c r="W40" s="668">
        <f t="shared" si="12"/>
        <v>100</v>
      </c>
      <c r="X40" s="1265"/>
      <c r="Y40" s="339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7"/>
      <c r="Q41" s="1263" t="str">
        <f t="shared" si="14"/>
        <v>宗地开发程度</v>
      </c>
      <c r="R41" s="664" t="s">
        <v>14</v>
      </c>
      <c r="S41" s="665">
        <f t="shared" si="10"/>
        <v>100</v>
      </c>
      <c r="T41" s="664" t="s">
        <v>14</v>
      </c>
      <c r="U41" s="665">
        <f t="shared" si="11"/>
        <v>100</v>
      </c>
      <c r="V41" s="664" t="s">
        <v>14</v>
      </c>
      <c r="W41" s="665">
        <f t="shared" si="12"/>
        <v>100</v>
      </c>
      <c r="X41" s="666"/>
      <c r="Y41" s="339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7" t="s">
        <v>1694</v>
      </c>
      <c r="Q42" s="1263" t="str">
        <f t="shared" si="14"/>
        <v>工程地质条件</v>
      </c>
      <c r="R42" s="667" t="s">
        <v>14</v>
      </c>
      <c r="S42" s="668">
        <f t="shared" si="10"/>
        <v>100</v>
      </c>
      <c r="T42" s="667" t="s">
        <v>14</v>
      </c>
      <c r="U42" s="668">
        <f t="shared" si="11"/>
        <v>100</v>
      </c>
      <c r="V42" s="667" t="s">
        <v>14</v>
      </c>
      <c r="W42" s="668">
        <f t="shared" si="12"/>
        <v>100</v>
      </c>
      <c r="X42" s="1265"/>
      <c r="Y42" s="339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7"/>
      <c r="Q43" s="1263">
        <f t="shared" si="14"/>
        <v>111</v>
      </c>
      <c r="R43" s="667" t="s">
        <v>14</v>
      </c>
      <c r="S43" s="668">
        <f t="shared" si="10"/>
        <v>100</v>
      </c>
      <c r="T43" s="667" t="s">
        <v>14</v>
      </c>
      <c r="U43" s="668">
        <f t="shared" si="11"/>
        <v>100</v>
      </c>
      <c r="V43" s="667" t="s">
        <v>14</v>
      </c>
      <c r="W43" s="668">
        <f t="shared" si="12"/>
        <v>100</v>
      </c>
      <c r="X43" s="1265"/>
      <c r="Y43" s="33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7"/>
      <c r="Q44" s="1263">
        <f t="shared" si="14"/>
        <v>111</v>
      </c>
      <c r="R44" s="667" t="s">
        <v>14</v>
      </c>
      <c r="S44" s="668">
        <f t="shared" si="10"/>
        <v>100</v>
      </c>
      <c r="T44" s="667" t="s">
        <v>14</v>
      </c>
      <c r="U44" s="668">
        <f t="shared" si="11"/>
        <v>100</v>
      </c>
      <c r="V44" s="667" t="s">
        <v>14</v>
      </c>
      <c r="W44" s="668">
        <f t="shared" si="12"/>
        <v>100</v>
      </c>
      <c r="X44" s="1265"/>
      <c r="Y44" s="339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7"/>
      <c r="Q45" s="1263">
        <f t="shared" si="14"/>
        <v>111</v>
      </c>
      <c r="R45" s="669" t="s">
        <v>14</v>
      </c>
      <c r="S45" s="670">
        <f t="shared" si="10"/>
        <v>100</v>
      </c>
      <c r="T45" s="669" t="s">
        <v>14</v>
      </c>
      <c r="U45" s="670">
        <f t="shared" si="11"/>
        <v>100</v>
      </c>
      <c r="V45" s="669" t="s">
        <v>14</v>
      </c>
      <c r="W45" s="670">
        <f t="shared" si="12"/>
        <v>100</v>
      </c>
      <c r="X45" s="671"/>
      <c r="Y45" s="339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385" t="str">
        <f>A46</f>
        <v>成交单价</v>
      </c>
      <c r="Q46" s="3385"/>
      <c r="R46" s="3386">
        <f>E46</f>
        <v>0</v>
      </c>
      <c r="S46" s="3386"/>
      <c r="T46" s="3386">
        <f>G46</f>
        <v>0</v>
      </c>
      <c r="U46" s="3386"/>
      <c r="V46" s="3386">
        <f>I46</f>
        <v>0</v>
      </c>
      <c r="W46" s="338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385" t="str">
        <f>A47</f>
        <v>比较价值（元/平方米）</v>
      </c>
      <c r="Q47" s="3385"/>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463" t="str">
        <f>A48</f>
        <v>估价对象XX用房的比较价值（楼面单价，元/平方米）</v>
      </c>
      <c r="Q48" s="3464"/>
      <c r="R48" s="3476" t="e">
        <f>ROUND(IF(D47="简单平均",AVERAGE(R47:W47),R47*F47+T47*H47+V47*J47),0)</f>
        <v>#DIV/0!</v>
      </c>
      <c r="S48" s="3476"/>
      <c r="T48" s="3476"/>
      <c r="U48" s="3476"/>
      <c r="V48" s="3476"/>
      <c r="W48" s="347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02" t="s">
        <v>1885</v>
      </c>
      <c r="H55" s="347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85190.51999999999</v>
      </c>
      <c r="F56" s="833" t="e">
        <f t="shared" ref="F56:F64" si="15">ROUND(B56*E56/10000,0)</f>
        <v>#DIV/0!</v>
      </c>
      <c r="G56" s="3384"/>
      <c r="H56" s="338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0.6</v>
      </c>
      <c r="D57" s="891">
        <v>0.25</v>
      </c>
      <c r="E57" s="614"/>
      <c r="F57" s="833" t="e">
        <f t="shared" si="15"/>
        <v>#DIV/0!</v>
      </c>
      <c r="G57" s="2751" t="s">
        <v>1890</v>
      </c>
      <c r="H57" s="834" t="str">
        <f>项目基本情况!B37</f>
        <v>五级</v>
      </c>
      <c r="I57" s="838">
        <f>SUMIF(修正!A59:A70,H57,修正!B59:B70)</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0.3</v>
      </c>
      <c r="D58" s="891">
        <v>0.25</v>
      </c>
      <c r="E58" s="614"/>
      <c r="F58" s="833" t="e">
        <f t="shared" si="15"/>
        <v>#DIV/0!</v>
      </c>
      <c r="G58" s="2752"/>
      <c r="H58" s="834" t="str">
        <f>项目基本情况!B37</f>
        <v>五级</v>
      </c>
      <c r="I58" s="838">
        <f>SUMIF(修正!A59:A70,H58,修正!C59:C70)</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0.25</v>
      </c>
      <c r="D59" s="891">
        <v>0.25</v>
      </c>
      <c r="E59" s="614"/>
      <c r="F59" s="833" t="e">
        <f t="shared" si="15"/>
        <v>#DIV/0!</v>
      </c>
      <c r="G59" s="2752"/>
      <c r="H59" s="834" t="str">
        <f>项目基本情况!B37</f>
        <v>五级</v>
      </c>
      <c r="I59" s="838">
        <f>SUMIF(修正!A59:A70,H59,修正!D59:D70)</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0.25</v>
      </c>
      <c r="D60" s="891">
        <v>0.25</v>
      </c>
      <c r="E60" s="209">
        <f>'数据-汇总表'!E11</f>
        <v>0</v>
      </c>
      <c r="F60" s="833" t="e">
        <f t="shared" si="15"/>
        <v>#DIV/0!</v>
      </c>
      <c r="G60" s="1835" t="s">
        <v>1894</v>
      </c>
      <c r="H60" s="834" t="str">
        <f>项目基本情况!C37</f>
        <v>五级</v>
      </c>
      <c r="I60" s="838">
        <f>SUMIF(修正!A59:A70,H60,修正!E59:E70)</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0.25</v>
      </c>
      <c r="D61" s="891">
        <v>0.25</v>
      </c>
      <c r="E61" s="209">
        <f>'数据-汇总表'!E12</f>
        <v>0</v>
      </c>
      <c r="F61" s="833" t="e">
        <f t="shared" si="15"/>
        <v>#DIV/0!</v>
      </c>
      <c r="G61" s="839" t="s">
        <v>1896</v>
      </c>
      <c r="H61" s="834" t="str">
        <f>IF(G61="商业",项目基本情况!B37,IF(G61="办公",项目基本情况!C37,IF(G61="住宅",项目基本情况!D37,项目基本情况!E37)))</f>
        <v>五级</v>
      </c>
      <c r="I61" s="838">
        <f>SUMIF(修正!A59:A70,H61,修正!F59:F70)</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0.15</v>
      </c>
      <c r="D63" s="891">
        <v>0.25</v>
      </c>
      <c r="E63" s="209">
        <f>'数据-汇总表'!E14</f>
        <v>0</v>
      </c>
      <c r="F63" s="833" t="e">
        <f t="shared" si="15"/>
        <v>#DIV/0!</v>
      </c>
      <c r="G63" s="1835" t="s">
        <v>1890</v>
      </c>
      <c r="H63" s="834" t="str">
        <f>项目基本情况!B37</f>
        <v>五级</v>
      </c>
      <c r="I63" s="838">
        <f>SUMIF(修正!A59:A70,H63,修正!G59:G70)</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0.15</v>
      </c>
      <c r="D64" s="891">
        <v>0.25</v>
      </c>
      <c r="E64" s="209">
        <f>'数据-汇总表'!E15</f>
        <v>0</v>
      </c>
      <c r="F64" s="833" t="e">
        <f t="shared" si="15"/>
        <v>#DIV/0!</v>
      </c>
      <c r="G64" s="1836" t="s">
        <v>1894</v>
      </c>
      <c r="H64" s="844" t="str">
        <f>项目基本情况!C37</f>
        <v>五级</v>
      </c>
      <c r="I64" s="840">
        <f>SUMIF(修正!A59:A70,H64,修正!G59:G70)</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85190.51999999999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2" t="s">
        <v>1768</v>
      </c>
      <c r="D4" s="3403"/>
      <c r="E4" s="3404" t="s">
        <v>1769</v>
      </c>
      <c r="F4" s="3405"/>
      <c r="G4" s="3402" t="s">
        <v>1770</v>
      </c>
      <c r="H4" s="3403"/>
      <c r="I4" s="3402" t="s">
        <v>1771</v>
      </c>
      <c r="J4" s="3403"/>
      <c r="K4" s="537" t="s">
        <v>1772</v>
      </c>
      <c r="L4" s="2487"/>
      <c r="M4" s="2488"/>
      <c r="N4" s="2488"/>
      <c r="O4" s="2488"/>
      <c r="P4" s="3467" t="s">
        <v>1773</v>
      </c>
      <c r="Q4" s="3468"/>
      <c r="R4" s="3471" t="s">
        <v>1769</v>
      </c>
      <c r="S4" s="3472"/>
      <c r="T4" s="3471" t="s">
        <v>1770</v>
      </c>
      <c r="U4" s="3472"/>
      <c r="V4" s="3386" t="s">
        <v>1771</v>
      </c>
      <c r="W4" s="3386"/>
      <c r="X4" s="1265"/>
      <c r="Y4" s="3471" t="s">
        <v>1773</v>
      </c>
      <c r="Z4" s="3472"/>
      <c r="AA4" s="3466" t="s">
        <v>1769</v>
      </c>
      <c r="AB4" s="3430" t="s">
        <v>1770</v>
      </c>
      <c r="AC4" s="3466" t="s">
        <v>1771</v>
      </c>
    </row>
    <row r="5" spans="1:29" ht="15">
      <c r="A5" s="348"/>
      <c r="B5" s="349"/>
      <c r="C5" s="3421" t="s">
        <v>1671</v>
      </c>
      <c r="D5" s="3422"/>
      <c r="E5" s="3432" t="s">
        <v>1672</v>
      </c>
      <c r="F5" s="3433"/>
      <c r="G5" s="3421" t="s">
        <v>1673</v>
      </c>
      <c r="H5" s="3422"/>
      <c r="I5" s="3421" t="s">
        <v>1674</v>
      </c>
      <c r="J5" s="3422"/>
      <c r="K5" s="537"/>
      <c r="L5" s="2487"/>
      <c r="M5" s="2488"/>
      <c r="N5" s="2488"/>
      <c r="O5" s="2488"/>
      <c r="P5" s="3469"/>
      <c r="Q5" s="3409"/>
      <c r="R5" s="3414"/>
      <c r="S5" s="3415"/>
      <c r="T5" s="3414"/>
      <c r="U5" s="3415"/>
      <c r="V5" s="3386"/>
      <c r="W5" s="3386"/>
      <c r="X5" s="1265"/>
      <c r="Y5" s="3414"/>
      <c r="Z5" s="3415"/>
      <c r="AA5" s="3430"/>
      <c r="AB5" s="3430"/>
      <c r="AC5" s="3430"/>
    </row>
    <row r="6" spans="1:29" ht="15.75" thickBot="1">
      <c r="A6" s="350"/>
      <c r="B6" s="351"/>
      <c r="C6" s="3478" t="s">
        <v>1917</v>
      </c>
      <c r="D6" s="3479"/>
      <c r="E6" s="3480" t="s">
        <v>1917</v>
      </c>
      <c r="F6" s="3481"/>
      <c r="G6" s="3478" t="s">
        <v>1917</v>
      </c>
      <c r="H6" s="3479"/>
      <c r="I6" s="3478" t="s">
        <v>1917</v>
      </c>
      <c r="J6" s="3479"/>
      <c r="K6" s="537" t="s">
        <v>1676</v>
      </c>
      <c r="L6" s="2487"/>
      <c r="M6" s="2488"/>
      <c r="N6" s="2488"/>
      <c r="O6" s="2488"/>
      <c r="P6" s="3470"/>
      <c r="Q6" s="3411"/>
      <c r="R6" s="3414"/>
      <c r="S6" s="3415"/>
      <c r="T6" s="3416"/>
      <c r="U6" s="3417"/>
      <c r="V6" s="3386"/>
      <c r="W6" s="3386"/>
      <c r="X6" s="1265"/>
      <c r="Y6" s="3416"/>
      <c r="Z6" s="3417"/>
      <c r="AA6" s="3431"/>
      <c r="AB6" s="3431"/>
      <c r="AC6" s="3431"/>
    </row>
    <row r="7" spans="1:29" s="102" customFormat="1" ht="15.75" thickBot="1">
      <c r="A7" s="352" t="s">
        <v>1677</v>
      </c>
      <c r="B7" s="353"/>
      <c r="C7" s="354">
        <f>'数据-取费表'!B2</f>
        <v>45944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5" t="s">
        <v>1678</v>
      </c>
      <c r="Q7" s="3426"/>
      <c r="R7" s="664" t="s">
        <v>14</v>
      </c>
      <c r="S7" s="665">
        <f t="shared" ref="S7:S15" si="0">F7</f>
        <v>0</v>
      </c>
      <c r="T7" s="664" t="s">
        <v>14</v>
      </c>
      <c r="U7" s="665">
        <f t="shared" ref="U7:U15" si="1">H7</f>
        <v>0</v>
      </c>
      <c r="V7" s="664" t="s">
        <v>14</v>
      </c>
      <c r="W7" s="665">
        <f t="shared" ref="W7:W15" si="2">J7</f>
        <v>0</v>
      </c>
      <c r="X7" s="666"/>
      <c r="Y7" s="3425" t="s">
        <v>1678</v>
      </c>
      <c r="Z7" s="3424"/>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5" t="s">
        <v>1681</v>
      </c>
      <c r="Q8" s="3424"/>
      <c r="R8" s="664" t="s">
        <v>14</v>
      </c>
      <c r="S8" s="665">
        <f t="shared" si="0"/>
        <v>0</v>
      </c>
      <c r="T8" s="664" t="s">
        <v>14</v>
      </c>
      <c r="U8" s="665">
        <f t="shared" si="1"/>
        <v>0</v>
      </c>
      <c r="V8" s="664" t="s">
        <v>14</v>
      </c>
      <c r="W8" s="665">
        <f t="shared" si="2"/>
        <v>0</v>
      </c>
      <c r="X8" s="666"/>
      <c r="Y8" s="3425" t="s">
        <v>1681</v>
      </c>
      <c r="Z8" s="3424"/>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5" t="s">
        <v>1684</v>
      </c>
      <c r="Q9" s="530" t="str">
        <f t="shared" ref="Q9:Q15" si="6">B9</f>
        <v>用途</v>
      </c>
      <c r="R9" s="664" t="s">
        <v>14</v>
      </c>
      <c r="S9" s="665">
        <f t="shared" si="0"/>
        <v>100</v>
      </c>
      <c r="T9" s="664" t="s">
        <v>14</v>
      </c>
      <c r="U9" s="665">
        <f t="shared" si="1"/>
        <v>100</v>
      </c>
      <c r="V9" s="664" t="s">
        <v>14</v>
      </c>
      <c r="W9" s="665">
        <f t="shared" si="2"/>
        <v>100</v>
      </c>
      <c r="X9" s="666"/>
      <c r="Y9" s="329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107</v>
      </c>
      <c r="G10" s="371"/>
      <c r="H10" s="119">
        <f>ROUND(100/'数据-取费表'!G16,0)</f>
        <v>107</v>
      </c>
      <c r="I10" s="371"/>
      <c r="J10" s="119">
        <f>ROUND(100/'数据-取费表'!G16,0)</f>
        <v>107</v>
      </c>
      <c r="K10" s="592"/>
      <c r="L10" s="2490"/>
      <c r="M10" s="2491"/>
      <c r="N10" s="2491"/>
      <c r="O10" s="2542"/>
      <c r="P10" s="3385"/>
      <c r="Q10" s="530" t="str">
        <f t="shared" si="6"/>
        <v>土地使用年限（年）</v>
      </c>
      <c r="R10" s="664" t="s">
        <v>14</v>
      </c>
      <c r="S10" s="665">
        <f t="shared" si="0"/>
        <v>107</v>
      </c>
      <c r="T10" s="664" t="s">
        <v>14</v>
      </c>
      <c r="U10" s="665">
        <f t="shared" si="1"/>
        <v>107</v>
      </c>
      <c r="V10" s="664" t="s">
        <v>14</v>
      </c>
      <c r="W10" s="665">
        <f t="shared" si="2"/>
        <v>107</v>
      </c>
      <c r="X10" s="666"/>
      <c r="Y10" s="3291"/>
      <c r="Z10" s="50" t="str">
        <f t="shared" si="7"/>
        <v>土地使用年限（年）</v>
      </c>
      <c r="AA10" s="50">
        <f t="shared" si="3"/>
        <v>0.93457943925233644</v>
      </c>
      <c r="AB10" s="50">
        <f t="shared" si="4"/>
        <v>0.93457943925233644</v>
      </c>
      <c r="AC10" s="50">
        <f t="shared" si="5"/>
        <v>0.93457943925233644</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5"/>
      <c r="Q11" s="530" t="str">
        <f t="shared" si="6"/>
        <v>容积率</v>
      </c>
      <c r="R11" s="664" t="s">
        <v>14</v>
      </c>
      <c r="S11" s="665" t="e">
        <f t="shared" si="0"/>
        <v>#N/A</v>
      </c>
      <c r="T11" s="664" t="s">
        <v>14</v>
      </c>
      <c r="U11" s="665" t="e">
        <f t="shared" si="1"/>
        <v>#N/A</v>
      </c>
      <c r="V11" s="664" t="s">
        <v>14</v>
      </c>
      <c r="W11" s="665" t="e">
        <f t="shared" si="2"/>
        <v>#N/A</v>
      </c>
      <c r="X11" s="666"/>
      <c r="Y11" s="329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5"/>
      <c r="Q12" s="530">
        <f t="shared" si="6"/>
        <v>111</v>
      </c>
      <c r="R12" s="664" t="s">
        <v>14</v>
      </c>
      <c r="S12" s="665">
        <f t="shared" si="0"/>
        <v>100</v>
      </c>
      <c r="T12" s="664" t="s">
        <v>14</v>
      </c>
      <c r="U12" s="665">
        <f t="shared" si="1"/>
        <v>100</v>
      </c>
      <c r="V12" s="664" t="s">
        <v>14</v>
      </c>
      <c r="W12" s="665">
        <f t="shared" si="2"/>
        <v>100</v>
      </c>
      <c r="X12" s="666"/>
      <c r="Y12" s="329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5"/>
      <c r="Q13" s="530">
        <f t="shared" si="6"/>
        <v>111</v>
      </c>
      <c r="R13" s="664" t="s">
        <v>14</v>
      </c>
      <c r="S13" s="665">
        <f t="shared" si="0"/>
        <v>100</v>
      </c>
      <c r="T13" s="664" t="s">
        <v>14</v>
      </c>
      <c r="U13" s="665">
        <f t="shared" si="1"/>
        <v>100</v>
      </c>
      <c r="V13" s="664" t="s">
        <v>14</v>
      </c>
      <c r="W13" s="665">
        <f t="shared" si="2"/>
        <v>100</v>
      </c>
      <c r="X13" s="666"/>
      <c r="Y13" s="329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5"/>
      <c r="Q14" s="530">
        <f t="shared" si="6"/>
        <v>111</v>
      </c>
      <c r="R14" s="664" t="s">
        <v>14</v>
      </c>
      <c r="S14" s="665">
        <f t="shared" si="0"/>
        <v>100</v>
      </c>
      <c r="T14" s="664" t="s">
        <v>14</v>
      </c>
      <c r="U14" s="665">
        <f t="shared" si="1"/>
        <v>100</v>
      </c>
      <c r="V14" s="664" t="s">
        <v>14</v>
      </c>
      <c r="W14" s="665">
        <f t="shared" si="2"/>
        <v>100</v>
      </c>
      <c r="X14" s="666"/>
      <c r="Y14" s="3291"/>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2" t="s">
        <v>1689</v>
      </c>
      <c r="Q15" s="1263" t="str">
        <f t="shared" si="6"/>
        <v>产业集聚程度</v>
      </c>
      <c r="R15" s="667" t="s">
        <v>14</v>
      </c>
      <c r="S15" s="668">
        <f t="shared" si="0"/>
        <v>100</v>
      </c>
      <c r="T15" s="667" t="s">
        <v>14</v>
      </c>
      <c r="U15" s="668">
        <f t="shared" si="1"/>
        <v>100</v>
      </c>
      <c r="V15" s="667" t="s">
        <v>14</v>
      </c>
      <c r="W15" s="668">
        <f t="shared" si="2"/>
        <v>100</v>
      </c>
      <c r="X15" s="1265"/>
      <c r="Y15" s="339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3"/>
      <c r="Q20" s="1263"/>
      <c r="R20" s="667"/>
      <c r="S20" s="668"/>
      <c r="T20" s="667"/>
      <c r="U20" s="668"/>
      <c r="V20" s="667"/>
      <c r="W20" s="668"/>
      <c r="X20" s="1265"/>
      <c r="Y20" s="3393"/>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3"/>
      <c r="Q24" s="530"/>
      <c r="R24" s="664"/>
      <c r="S24" s="665"/>
      <c r="T24" s="664"/>
      <c r="U24" s="665"/>
      <c r="V24" s="664"/>
      <c r="W24" s="665"/>
      <c r="X24" s="666"/>
      <c r="Y24" s="3393"/>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3"/>
      <c r="Q26" s="530"/>
      <c r="R26" s="664"/>
      <c r="S26" s="665"/>
      <c r="T26" s="664"/>
      <c r="U26" s="665"/>
      <c r="V26" s="664"/>
      <c r="W26" s="665"/>
      <c r="X26" s="666"/>
      <c r="Y26" s="339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3"/>
      <c r="Q29" s="1263"/>
      <c r="R29" s="667"/>
      <c r="S29" s="668"/>
      <c r="T29" s="667"/>
      <c r="U29" s="668"/>
      <c r="V29" s="667"/>
      <c r="W29" s="668"/>
      <c r="X29" s="1265"/>
      <c r="Y29" s="339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3" t="s">
        <v>1694</v>
      </c>
      <c r="Q32" s="1263">
        <f t="shared" si="8"/>
        <v>111</v>
      </c>
      <c r="R32" s="667" t="s">
        <v>14</v>
      </c>
      <c r="S32" s="668">
        <f t="shared" si="10"/>
        <v>100</v>
      </c>
      <c r="T32" s="667" t="s">
        <v>14</v>
      </c>
      <c r="U32" s="668">
        <f t="shared" si="11"/>
        <v>100</v>
      </c>
      <c r="V32" s="667" t="s">
        <v>14</v>
      </c>
      <c r="W32" s="668">
        <f t="shared" si="12"/>
        <v>100</v>
      </c>
      <c r="X32" s="1265"/>
      <c r="Y32" s="339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7"/>
      <c r="Q33" s="1263">
        <f t="shared" si="8"/>
        <v>111</v>
      </c>
      <c r="R33" s="669" t="s">
        <v>14</v>
      </c>
      <c r="S33" s="670">
        <f t="shared" si="10"/>
        <v>100</v>
      </c>
      <c r="T33" s="669" t="s">
        <v>14</v>
      </c>
      <c r="U33" s="670">
        <f t="shared" si="11"/>
        <v>100</v>
      </c>
      <c r="V33" s="669" t="s">
        <v>14</v>
      </c>
      <c r="W33" s="670">
        <f t="shared" si="12"/>
        <v>100</v>
      </c>
      <c r="X33" s="671"/>
      <c r="Y33" s="339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7"/>
      <c r="Q34" s="1263" t="str">
        <f>B34</f>
        <v>宗地面积</v>
      </c>
      <c r="R34" s="667" t="s">
        <v>14</v>
      </c>
      <c r="S34" s="668" t="e">
        <f t="shared" si="10"/>
        <v>#N/A</v>
      </c>
      <c r="T34" s="667" t="s">
        <v>14</v>
      </c>
      <c r="U34" s="668" t="e">
        <f t="shared" si="11"/>
        <v>#N/A</v>
      </c>
      <c r="V34" s="667" t="s">
        <v>14</v>
      </c>
      <c r="W34" s="668" t="e">
        <f t="shared" si="12"/>
        <v>#N/A</v>
      </c>
      <c r="X34" s="1265"/>
      <c r="Y34" s="339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7"/>
      <c r="Q35" s="1263" t="str">
        <f t="shared" ref="Q35:Q40" si="14">B35</f>
        <v>宗地形状</v>
      </c>
      <c r="R35" s="667" t="s">
        <v>14</v>
      </c>
      <c r="S35" s="668">
        <f t="shared" si="10"/>
        <v>100</v>
      </c>
      <c r="T35" s="667" t="s">
        <v>14</v>
      </c>
      <c r="U35" s="668">
        <f t="shared" si="11"/>
        <v>100</v>
      </c>
      <c r="V35" s="667" t="s">
        <v>14</v>
      </c>
      <c r="W35" s="668">
        <f t="shared" si="12"/>
        <v>100</v>
      </c>
      <c r="X35" s="1265"/>
      <c r="Y35" s="339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7"/>
      <c r="Q36" s="1263" t="str">
        <f t="shared" si="14"/>
        <v>宗地开发程度</v>
      </c>
      <c r="R36" s="664" t="s">
        <v>14</v>
      </c>
      <c r="S36" s="665">
        <f t="shared" si="10"/>
        <v>100</v>
      </c>
      <c r="T36" s="664" t="s">
        <v>14</v>
      </c>
      <c r="U36" s="665">
        <f t="shared" si="11"/>
        <v>100</v>
      </c>
      <c r="V36" s="664" t="s">
        <v>14</v>
      </c>
      <c r="W36" s="665">
        <f t="shared" si="12"/>
        <v>100</v>
      </c>
      <c r="X36" s="666"/>
      <c r="Y36" s="339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7" t="s">
        <v>1694</v>
      </c>
      <c r="Q37" s="1263" t="str">
        <f t="shared" si="14"/>
        <v>工程地质条件</v>
      </c>
      <c r="R37" s="667" t="s">
        <v>14</v>
      </c>
      <c r="S37" s="668">
        <f t="shared" si="10"/>
        <v>100</v>
      </c>
      <c r="T37" s="667" t="s">
        <v>14</v>
      </c>
      <c r="U37" s="668">
        <f t="shared" si="11"/>
        <v>100</v>
      </c>
      <c r="V37" s="667" t="s">
        <v>14</v>
      </c>
      <c r="W37" s="668">
        <f t="shared" si="12"/>
        <v>100</v>
      </c>
      <c r="X37" s="1265"/>
      <c r="Y37" s="339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7"/>
      <c r="Q38" s="1263">
        <f t="shared" si="14"/>
        <v>111</v>
      </c>
      <c r="R38" s="667" t="s">
        <v>14</v>
      </c>
      <c r="S38" s="668">
        <f t="shared" si="10"/>
        <v>100</v>
      </c>
      <c r="T38" s="667" t="s">
        <v>14</v>
      </c>
      <c r="U38" s="668">
        <f t="shared" si="11"/>
        <v>100</v>
      </c>
      <c r="V38" s="667" t="s">
        <v>14</v>
      </c>
      <c r="W38" s="668">
        <f t="shared" si="12"/>
        <v>100</v>
      </c>
      <c r="X38" s="1265"/>
      <c r="Y38" s="33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7"/>
      <c r="Q39" s="1263">
        <f t="shared" si="14"/>
        <v>111</v>
      </c>
      <c r="R39" s="667" t="s">
        <v>14</v>
      </c>
      <c r="S39" s="668">
        <f t="shared" si="10"/>
        <v>100</v>
      </c>
      <c r="T39" s="667" t="s">
        <v>14</v>
      </c>
      <c r="U39" s="668">
        <f t="shared" si="11"/>
        <v>100</v>
      </c>
      <c r="V39" s="667" t="s">
        <v>14</v>
      </c>
      <c r="W39" s="668">
        <f t="shared" si="12"/>
        <v>100</v>
      </c>
      <c r="X39" s="1265"/>
      <c r="Y39" s="339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7"/>
      <c r="Q40" s="1263">
        <f t="shared" si="14"/>
        <v>111</v>
      </c>
      <c r="R40" s="669" t="s">
        <v>14</v>
      </c>
      <c r="S40" s="670">
        <f t="shared" si="10"/>
        <v>100</v>
      </c>
      <c r="T40" s="669" t="s">
        <v>14</v>
      </c>
      <c r="U40" s="670">
        <f t="shared" si="11"/>
        <v>100</v>
      </c>
      <c r="V40" s="669" t="s">
        <v>14</v>
      </c>
      <c r="W40" s="670">
        <f t="shared" si="12"/>
        <v>100</v>
      </c>
      <c r="X40" s="671"/>
      <c r="Y40" s="339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385" t="str">
        <f>A41</f>
        <v>成交单价</v>
      </c>
      <c r="Q41" s="3385"/>
      <c r="R41" s="3386">
        <f>E41</f>
        <v>0</v>
      </c>
      <c r="S41" s="3386"/>
      <c r="T41" s="3386">
        <f>G41</f>
        <v>0</v>
      </c>
      <c r="U41" s="3386"/>
      <c r="V41" s="3386">
        <f>I41</f>
        <v>0</v>
      </c>
      <c r="W41" s="338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85" t="str">
        <f>A42</f>
        <v>比较价值（元/平方米）</v>
      </c>
      <c r="Q42" s="3385"/>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63" t="str">
        <f>A43</f>
        <v>估价对象XX用房的比较价值（楼面单价，元/平方米）</v>
      </c>
      <c r="Q43" s="3464"/>
      <c r="R43" s="3476" t="e">
        <f>ROUND(IF(D42="简单平均",AVERAGE(R42:W42),R42*F42+T42*H42+V42*J42),0)</f>
        <v>#DIV/0!</v>
      </c>
      <c r="S43" s="3476"/>
      <c r="T43" s="3476"/>
      <c r="U43" s="3476"/>
      <c r="V43" s="3476"/>
      <c r="W43" s="347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02" t="s">
        <v>1885</v>
      </c>
      <c r="H50" s="347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85190.51999999999</v>
      </c>
      <c r="F51" s="611" t="e">
        <f t="shared" ref="F51:F60" si="15">ROUND(B51*E51/10000,0)</f>
        <v>#DIV/0!</v>
      </c>
      <c r="G51" s="3384"/>
      <c r="H51" s="338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0.6</v>
      </c>
      <c r="D52" s="891">
        <v>0.25</v>
      </c>
      <c r="E52" s="614"/>
      <c r="F52" s="611" t="e">
        <f t="shared" si="15"/>
        <v>#DIV/0!</v>
      </c>
      <c r="G52" s="2751" t="s">
        <v>1890</v>
      </c>
      <c r="H52" s="834" t="str">
        <f>项目基本情况!B37</f>
        <v>五级</v>
      </c>
      <c r="I52" s="727">
        <f>SUMIF(修正!A59:A70,H52,修正!B59:B70)</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0.3</v>
      </c>
      <c r="D53" s="891">
        <v>0.25</v>
      </c>
      <c r="E53" s="614"/>
      <c r="F53" s="611" t="e">
        <f t="shared" si="15"/>
        <v>#DIV/0!</v>
      </c>
      <c r="G53" s="2752"/>
      <c r="H53" s="834" t="str">
        <f>项目基本情况!B37</f>
        <v>五级</v>
      </c>
      <c r="I53" s="727">
        <f>SUMIF(修正!A59:A70,H53,修正!C59:C70)</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0.25</v>
      </c>
      <c r="D54" s="891">
        <v>0.25</v>
      </c>
      <c r="E54" s="614"/>
      <c r="F54" s="611" t="e">
        <f t="shared" si="15"/>
        <v>#DIV/0!</v>
      </c>
      <c r="G54" s="2752"/>
      <c r="H54" s="834" t="str">
        <f>项目基本情况!B37</f>
        <v>五级</v>
      </c>
      <c r="I54" s="727">
        <f>SUMIF(修正!A59:A70,H54,修正!D59:D70)</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0.25</v>
      </c>
      <c r="D56" s="891">
        <v>0.25</v>
      </c>
      <c r="E56" s="209">
        <f>'数据-汇总表'!E11</f>
        <v>0</v>
      </c>
      <c r="F56" s="611" t="e">
        <f t="shared" si="15"/>
        <v>#DIV/0!</v>
      </c>
      <c r="G56" s="1835" t="s">
        <v>1894</v>
      </c>
      <c r="H56" s="834" t="str">
        <f>项目基本情况!C37</f>
        <v>五级</v>
      </c>
      <c r="I56" s="727">
        <f>SUMIF(修正!A59:A70,H56,修正!E59:E70)</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0.25</v>
      </c>
      <c r="D57" s="891">
        <v>0.25</v>
      </c>
      <c r="E57" s="209">
        <f>'数据-汇总表'!E12</f>
        <v>0</v>
      </c>
      <c r="F57" s="611" t="e">
        <f t="shared" si="15"/>
        <v>#DIV/0!</v>
      </c>
      <c r="G57" s="839" t="s">
        <v>1896</v>
      </c>
      <c r="H57" s="834" t="str">
        <f>IF(G57="商业",项目基本情况!B37,IF(G57="办公",项目基本情况!C37,IF(G57="住宅",项目基本情况!D37,项目基本情况!E37)))</f>
        <v>五级</v>
      </c>
      <c r="I57" s="727">
        <f>SUMIF(修正!A59:A70,H57,修正!F59:F70)</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0.15</v>
      </c>
      <c r="D59" s="891">
        <v>0.25</v>
      </c>
      <c r="E59" s="209">
        <f>'数据-汇总表'!E14</f>
        <v>0</v>
      </c>
      <c r="F59" s="611" t="e">
        <f t="shared" si="15"/>
        <v>#DIV/0!</v>
      </c>
      <c r="G59" s="1835" t="s">
        <v>1890</v>
      </c>
      <c r="H59" s="834" t="str">
        <f>项目基本情况!B37</f>
        <v>五级</v>
      </c>
      <c r="I59" s="727">
        <f>SUMIF(修正!A59:A70,H59,修正!G59:G70)</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0.15</v>
      </c>
      <c r="D60" s="891">
        <v>0.25</v>
      </c>
      <c r="E60" s="209">
        <f>'数据-汇总表'!E15</f>
        <v>0</v>
      </c>
      <c r="F60" s="611" t="e">
        <f t="shared" si="15"/>
        <v>#DIV/0!</v>
      </c>
      <c r="G60" s="1836" t="s">
        <v>1894</v>
      </c>
      <c r="H60" s="844" t="str">
        <f>项目基本情况!C37</f>
        <v>五级</v>
      </c>
      <c r="I60" s="727">
        <f>SUMIF(修正!A59:A70,H60,修正!G59:G70)</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48565.52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85" t="s">
        <v>2082</v>
      </c>
      <c r="D1" s="3486"/>
      <c r="E1" s="3486"/>
      <c r="F1" s="3486"/>
      <c r="G1" s="3486"/>
      <c r="H1" s="3486"/>
      <c r="I1" s="3486"/>
      <c r="J1" s="3486"/>
      <c r="K1" s="3486"/>
      <c r="L1" s="3486"/>
      <c r="M1" s="3486"/>
      <c r="N1" s="3486"/>
      <c r="O1" s="3486"/>
      <c r="P1" s="3486"/>
      <c r="Q1" s="3486"/>
      <c r="R1" s="3486"/>
      <c r="S1" s="348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906</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9.5" thickBot="1">
      <c r="A4" s="1391"/>
      <c r="B4" s="3205" t="s">
        <v>915</v>
      </c>
      <c r="C4" s="3205"/>
      <c r="D4" s="3205"/>
      <c r="E4" s="1391"/>
    </row>
    <row r="5" spans="1:5" ht="16.5" thickTop="1">
      <c r="B5" s="3203" t="s">
        <v>907</v>
      </c>
      <c r="C5" s="1392" t="s">
        <v>908</v>
      </c>
      <c r="D5" s="797">
        <f ca="1">结果表!H101</f>
        <v>309511</v>
      </c>
    </row>
    <row r="6" spans="1:5" ht="15.75">
      <c r="B6" s="3203"/>
      <c r="C6" s="1392" t="s">
        <v>909</v>
      </c>
      <c r="D6" s="797" t="str">
        <f ca="1">NUMBERSTRING(INT(D5*10000),2)&amp;"元整"</f>
        <v>叁拾亿玖仟伍佰壹拾壹万元整</v>
      </c>
    </row>
    <row r="7" spans="1:5" ht="15.75">
      <c r="B7" s="3208"/>
      <c r="C7" s="1393" t="s">
        <v>910</v>
      </c>
      <c r="D7" s="798">
        <f ca="1">结果表!H102</f>
        <v>13693</v>
      </c>
    </row>
    <row r="8" spans="1:5" ht="15.75">
      <c r="B8" s="3209" t="str">
        <f>结果表!E103</f>
        <v>2.估价师知悉的法定优先受偿款</v>
      </c>
      <c r="C8" s="1394" t="s">
        <v>911</v>
      </c>
      <c r="D8" s="798">
        <f>结果表!H103</f>
        <v>0</v>
      </c>
    </row>
    <row r="9" spans="1:5" ht="15.75">
      <c r="B9" s="3211"/>
      <c r="C9" s="1392" t="s">
        <v>909</v>
      </c>
      <c r="D9" s="797" t="str">
        <f>NUMBERSTRING(INT(D8*10000),2)&amp;"元整"</f>
        <v>零元整</v>
      </c>
    </row>
    <row r="10" spans="1:5" ht="15">
      <c r="B10" s="1395" t="s">
        <v>914</v>
      </c>
      <c r="C10" s="1396" t="s">
        <v>912</v>
      </c>
      <c r="D10" s="799">
        <f>结果表!H104</f>
        <v>0</v>
      </c>
    </row>
    <row r="11" spans="1:5" ht="15">
      <c r="B11" s="1395" t="s">
        <v>916</v>
      </c>
      <c r="C11" s="1396" t="s">
        <v>917</v>
      </c>
      <c r="D11" s="799">
        <f>结果表!H105</f>
        <v>0</v>
      </c>
    </row>
    <row r="12" spans="1:5" ht="15">
      <c r="B12" s="1395" t="s">
        <v>918</v>
      </c>
      <c r="C12" s="1396" t="s">
        <v>917</v>
      </c>
      <c r="D12" s="799">
        <f>结果表!H106</f>
        <v>0</v>
      </c>
    </row>
    <row r="13" spans="1:5" ht="15.75">
      <c r="B13" s="3202" t="str">
        <f>结果表!E107</f>
        <v>3.房地产抵押价值</v>
      </c>
      <c r="C13" s="1397" t="s">
        <v>908</v>
      </c>
      <c r="D13" s="800">
        <f ca="1">结果表!H107</f>
        <v>309511</v>
      </c>
    </row>
    <row r="14" spans="1:5" ht="15.75">
      <c r="B14" s="3203"/>
      <c r="C14" s="1392" t="s">
        <v>909</v>
      </c>
      <c r="D14" s="797" t="str">
        <f ca="1">NUMBERSTRING(INT(D13*10000),2)&amp;"元整"</f>
        <v>叁拾亿玖仟伍佰壹拾壹万元整</v>
      </c>
    </row>
    <row r="15" spans="1:5" ht="15">
      <c r="B15" s="3208"/>
      <c r="C15" s="1393" t="s">
        <v>919</v>
      </c>
      <c r="D15" s="806">
        <f ca="1">结果表!H108</f>
        <v>13693</v>
      </c>
    </row>
    <row r="16" spans="1:5" ht="15">
      <c r="B16" s="3209" t="str">
        <f>结果表!E109</f>
        <v>——</v>
      </c>
      <c r="C16" s="1397" t="s">
        <v>920</v>
      </c>
      <c r="D16" s="1398" t="str">
        <f>结果表!H109</f>
        <v>——</v>
      </c>
    </row>
    <row r="17" spans="1:5" ht="15.75">
      <c r="B17" s="3210"/>
      <c r="C17" s="1392" t="s">
        <v>921</v>
      </c>
      <c r="D17" s="797" t="e">
        <f>NUMBERSTRING(INT(D16*10000),2)&amp;"元整"</f>
        <v>#VALUE!</v>
      </c>
    </row>
    <row r="18" spans="1:5" ht="15">
      <c r="B18" s="3211"/>
      <c r="C18" s="1393" t="s">
        <v>910</v>
      </c>
      <c r="D18" s="806" t="str">
        <f>结果表!H110</f>
        <v>——</v>
      </c>
    </row>
    <row r="19" spans="1:5" ht="15.75">
      <c r="B19" s="3202" t="str">
        <f>结果表!E111</f>
        <v>——</v>
      </c>
      <c r="C19" s="1397" t="s">
        <v>908</v>
      </c>
      <c r="D19" s="798" t="str">
        <f>结果表!H111</f>
        <v>——</v>
      </c>
    </row>
    <row r="20" spans="1:5" ht="15.75">
      <c r="B20" s="3203"/>
      <c r="C20" s="1392" t="s">
        <v>921</v>
      </c>
      <c r="D20" s="797" t="e">
        <f>NUMBERSTRING(INT(D19*10000),2)&amp;"元整"</f>
        <v>#VALUE!</v>
      </c>
    </row>
    <row r="21" spans="1:5" ht="15.75" thickBot="1">
      <c r="B21" s="3204"/>
      <c r="C21" s="1399" t="s">
        <v>919</v>
      </c>
      <c r="D21" s="807" t="str">
        <f>结果表!H112</f>
        <v>——</v>
      </c>
    </row>
    <row r="22" spans="1:5" ht="15" thickTop="1">
      <c r="B22" s="1400" t="s">
        <v>922</v>
      </c>
    </row>
    <row r="24" spans="1:5" ht="18.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16869</v>
      </c>
      <c r="C2" s="1984" t="s">
        <v>2072</v>
      </c>
      <c r="D2" s="1984" t="s">
        <v>2073</v>
      </c>
      <c r="E2" s="2398">
        <f ca="1">SUMIF(E6:E13,"&lt;&gt;#ref!",E6:E13)</f>
        <v>121804.97</v>
      </c>
      <c r="F2" s="2545"/>
      <c r="G2" s="2545"/>
      <c r="H2" s="2545"/>
      <c r="I2" s="2545"/>
      <c r="J2" s="2545"/>
      <c r="K2" s="2545"/>
      <c r="L2" s="2545"/>
      <c r="M2" s="2545"/>
      <c r="N2" s="2545"/>
      <c r="O2" s="2545"/>
      <c r="P2" s="2545"/>
    </row>
    <row r="3" spans="1:16" ht="15.75">
      <c r="A3" s="1984" t="s">
        <v>2074</v>
      </c>
      <c r="B3" s="2388">
        <f ca="1">ROUND(B2*10000/E2,0)</f>
        <v>1385</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16869</v>
      </c>
      <c r="C6" s="1984" t="s">
        <v>2072</v>
      </c>
      <c r="D6" s="2545"/>
      <c r="E6" s="2398">
        <f ca="1">SUMIF(INDIRECT("'"&amp;A6&amp;"'"&amp;"!C:C"),"建筑面积",INDIRECT("'"&amp;A6&amp;"'"&amp;"!D:D"))</f>
        <v>121804.97</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6B29-3039-41B1-9428-E77AE78ECAFE}">
  <sheetPr>
    <tabColor rgb="FFFF0000"/>
  </sheetPr>
  <dimension ref="A1:AJ512"/>
  <sheetViews>
    <sheetView view="pageBreakPreview" zoomScaleNormal="100" zoomScaleSheetLayoutView="100" zoomScalePageLayoutView="80" workbookViewId="0">
      <selection activeCell="I37" sqref="I3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t="s">
        <v>3533</v>
      </c>
      <c r="D1" s="646"/>
      <c r="E1" s="646"/>
      <c r="F1" s="1621" t="s">
        <v>1261</v>
      </c>
      <c r="G1" s="1453" t="s">
        <v>3538</v>
      </c>
      <c r="H1" s="1621" t="str">
        <f>IF(G1="现房","——","估价对象范围")</f>
        <v>——</v>
      </c>
      <c r="I1" s="1622" t="s">
        <v>3539</v>
      </c>
    </row>
    <row r="2" spans="1:12" ht="21.75" customHeight="1" thickBot="1">
      <c r="A2" s="3324" t="str">
        <f>项目基本情况!S2</f>
        <v>北京市房地产</v>
      </c>
      <c r="B2" s="3325"/>
      <c r="C2" s="3325"/>
      <c r="D2" s="3325"/>
      <c r="E2" s="3325"/>
      <c r="F2" s="3325"/>
      <c r="G2" s="3325"/>
      <c r="H2" s="3325"/>
      <c r="I2" s="3326"/>
    </row>
    <row r="3" spans="1:12" ht="12.75">
      <c r="A3" s="3328" t="s">
        <v>1262</v>
      </c>
      <c r="B3" s="3329"/>
      <c r="C3" s="3329"/>
      <c r="D3" s="3329"/>
      <c r="E3" s="3329"/>
      <c r="F3" s="3329"/>
      <c r="G3" s="3329"/>
      <c r="H3" s="3329"/>
      <c r="I3" s="3329"/>
    </row>
    <row r="4" spans="1:12" ht="14.25">
      <c r="A4" s="1624" t="s">
        <v>1263</v>
      </c>
      <c r="B4" s="1625" t="s">
        <v>1264</v>
      </c>
      <c r="C4" s="1626" t="s">
        <v>3537</v>
      </c>
      <c r="D4" s="1626" t="s">
        <v>3535</v>
      </c>
      <c r="E4" s="3330" t="s">
        <v>1265</v>
      </c>
      <c r="F4" s="3331"/>
      <c r="G4" s="3331"/>
      <c r="H4" s="3331"/>
      <c r="I4" s="3332"/>
      <c r="K4" s="138" t="str">
        <f>IF(ISNUMBER(FIND("比较法",'结果表-地下'!C4)),"比较法",IF(ISNUMBER(FIND("成本法",'结果表-地下'!C4)),"成本法",IF(ISNUMBER(FIND("假设开发法",'结果表-地下'!C4)),"假设开发法",IF(ISNUMBER(FIND("收益法",'结果表-地下'!C4)),"收益法","基准地价系数修正法"))))</f>
        <v>成本法</v>
      </c>
      <c r="L4" s="138"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2.75">
      <c r="A5" s="3304" t="s">
        <v>1266</v>
      </c>
      <c r="B5" s="3291">
        <v>25</v>
      </c>
      <c r="C5" s="3307"/>
      <c r="D5" s="3327"/>
      <c r="E5" s="123" t="s">
        <v>1267</v>
      </c>
      <c r="F5" s="1627"/>
      <c r="G5" s="1627"/>
      <c r="H5" s="1627"/>
      <c r="I5" s="1281"/>
    </row>
    <row r="6" spans="1:12" ht="12.75">
      <c r="A6" s="3304"/>
      <c r="B6" s="3291"/>
      <c r="C6" s="3308"/>
      <c r="D6" s="3327"/>
      <c r="E6" s="123" t="s">
        <v>1268</v>
      </c>
      <c r="F6" s="1627"/>
      <c r="G6" s="1627"/>
      <c r="H6" s="1627"/>
      <c r="I6" s="1281"/>
    </row>
    <row r="7" spans="1:12" ht="12.75">
      <c r="A7" s="3304"/>
      <c r="B7" s="3291"/>
      <c r="C7" s="3309"/>
      <c r="D7" s="3327"/>
      <c r="E7" s="123" t="s">
        <v>1269</v>
      </c>
      <c r="F7" s="1627"/>
      <c r="G7" s="1627"/>
      <c r="H7" s="1627"/>
      <c r="I7" s="1281"/>
    </row>
    <row r="8" spans="1:12" ht="12.75">
      <c r="A8" s="3304" t="s">
        <v>1270</v>
      </c>
      <c r="B8" s="3291">
        <v>15</v>
      </c>
      <c r="C8" s="3307"/>
      <c r="D8" s="3327"/>
      <c r="E8" s="123" t="s">
        <v>1271</v>
      </c>
      <c r="F8" s="1627"/>
      <c r="G8" s="1627"/>
      <c r="H8" s="1627"/>
      <c r="I8" s="1281"/>
    </row>
    <row r="9" spans="1:12" ht="12.75">
      <c r="A9" s="3304"/>
      <c r="B9" s="3291"/>
      <c r="C9" s="3309"/>
      <c r="D9" s="3327"/>
      <c r="E9" s="123" t="s">
        <v>1272</v>
      </c>
      <c r="F9" s="1627"/>
      <c r="G9" s="1627"/>
      <c r="H9" s="1627"/>
      <c r="I9" s="1281"/>
    </row>
    <row r="10" spans="1:12" ht="12.75">
      <c r="A10" s="3304" t="s">
        <v>1273</v>
      </c>
      <c r="B10" s="3291">
        <v>15</v>
      </c>
      <c r="C10" s="3307"/>
      <c r="D10" s="3327"/>
      <c r="E10" s="123" t="s">
        <v>1274</v>
      </c>
      <c r="F10" s="1627"/>
      <c r="G10" s="1627"/>
      <c r="H10" s="1627"/>
      <c r="I10" s="1281"/>
    </row>
    <row r="11" spans="1:12" ht="12.75">
      <c r="A11" s="3304"/>
      <c r="B11" s="3291"/>
      <c r="C11" s="3309"/>
      <c r="D11" s="3327"/>
      <c r="E11" s="123" t="s">
        <v>1275</v>
      </c>
      <c r="F11" s="1627"/>
      <c r="G11" s="1627"/>
      <c r="H11" s="1627"/>
      <c r="I11" s="1281"/>
    </row>
    <row r="12" spans="1:12" ht="12.75">
      <c r="A12" s="3304" t="s">
        <v>1276</v>
      </c>
      <c r="B12" s="3291">
        <v>15</v>
      </c>
      <c r="C12" s="3307"/>
      <c r="D12" s="3327"/>
      <c r="E12" s="123" t="s">
        <v>1277</v>
      </c>
      <c r="F12" s="1627"/>
      <c r="G12" s="1627"/>
      <c r="H12" s="1627"/>
      <c r="I12" s="1281"/>
    </row>
    <row r="13" spans="1:12" ht="12.75">
      <c r="A13" s="3304"/>
      <c r="B13" s="3291"/>
      <c r="C13" s="3309"/>
      <c r="D13" s="3327"/>
      <c r="E13" s="123" t="s">
        <v>1278</v>
      </c>
      <c r="F13" s="1627"/>
      <c r="G13" s="1627"/>
      <c r="H13" s="1627"/>
      <c r="I13" s="1281"/>
    </row>
    <row r="14" spans="1:12" ht="12.75">
      <c r="A14" s="3304" t="s">
        <v>1279</v>
      </c>
      <c r="B14" s="3291">
        <v>30</v>
      </c>
      <c r="C14" s="3307">
        <v>6</v>
      </c>
      <c r="D14" s="3327">
        <v>4</v>
      </c>
      <c r="E14" s="123" t="s">
        <v>1280</v>
      </c>
      <c r="F14" s="1627"/>
      <c r="G14" s="1627"/>
      <c r="H14" s="1627"/>
      <c r="I14" s="1281"/>
    </row>
    <row r="15" spans="1:12" ht="12.75">
      <c r="A15" s="3304"/>
      <c r="B15" s="3291"/>
      <c r="C15" s="3308"/>
      <c r="D15" s="3327"/>
      <c r="E15" s="123" t="s">
        <v>1281</v>
      </c>
      <c r="F15" s="1627"/>
      <c r="G15" s="1627"/>
      <c r="H15" s="1627"/>
      <c r="I15" s="1281"/>
    </row>
    <row r="16" spans="1:12" ht="12.75">
      <c r="A16" s="3304"/>
      <c r="B16" s="3291"/>
      <c r="C16" s="3309"/>
      <c r="D16" s="3327"/>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314" t="s">
        <v>2129</v>
      </c>
      <c r="F18" s="3315"/>
      <c r="G18" s="3315"/>
      <c r="H18" s="3315"/>
      <c r="I18" s="3315"/>
      <c r="K18" s="294" t="s">
        <v>1287</v>
      </c>
      <c r="L18" s="294">
        <f>IF(C1="",'数据-汇总表'!E3,SUMIF(项目类型,C1,'数据-汇总表'!E17:E26)+SUMIF(项目类型,C1,'数据-汇总表'!I17:I26))</f>
        <v>133012.65</v>
      </c>
      <c r="M18" s="294">
        <f>IF(C1="",'数据-汇总表'!E3,SUMIF(项目类型,C1,'数据-汇总表'!E17:E26))</f>
        <v>121804.97</v>
      </c>
    </row>
    <row r="19" spans="1:36" ht="15">
      <c r="A19" s="1630" t="s">
        <v>1288</v>
      </c>
      <c r="B19" s="1631" t="s">
        <v>1289</v>
      </c>
      <c r="C19" s="126">
        <f ca="1">SUMIF(INDIRECT("'"&amp;C4&amp;"'"&amp;"!A:A"),'结果表-地下'!B19,INDIRECT("'"&amp;C4&amp;"'"&amp;"!B:B"))</f>
        <v>123821</v>
      </c>
      <c r="D19" s="127">
        <f ca="1">SUMIF(INDIRECT("'"&amp;D4&amp;"'"&amp;"!A:A"),'结果表-地下'!B19,INDIRECT("'"&amp;D4&amp;"'"&amp;"!B:B"))</f>
        <v>91593</v>
      </c>
      <c r="E19" s="1630" t="s">
        <v>1290</v>
      </c>
      <c r="F19" s="1631" t="s">
        <v>1289</v>
      </c>
      <c r="G19" s="128">
        <f ca="1">ROUND(C19*$C$18+D19*$D$18,0)</f>
        <v>110930</v>
      </c>
      <c r="H19" s="1632" t="s">
        <v>1291</v>
      </c>
      <c r="I19" s="121"/>
      <c r="K19" s="294" t="s">
        <v>1292</v>
      </c>
      <c r="L19" s="294">
        <f>IF(C1="",'数据-汇总表'!D3,SUMIF(项目类型,C1,'数据-汇总表'!D17:D26)+SUMIF(项目类型,C1,'数据-汇总表'!H17:H27))</f>
        <v>28578.019999999997</v>
      </c>
      <c r="M19" s="294">
        <f>IF(C1="",'数据-汇总表'!D3,SUMIF(项目类型,C1,'数据-汇总表'!D17:D26))</f>
        <v>26170.03</v>
      </c>
    </row>
    <row r="20" spans="1:36" ht="15">
      <c r="A20" s="1633"/>
      <c r="B20" s="43" t="s">
        <v>1293</v>
      </c>
      <c r="C20" s="129">
        <f ca="1">SUMIF(INDIRECT("'"&amp;C4&amp;"'"&amp;"!A:A"),'结果表-地下'!B20,INDIRECT("'"&amp;C4&amp;"'"&amp;"!B:B"))</f>
        <v>10166</v>
      </c>
      <c r="D20" s="130">
        <f ca="1">SUMIF(INDIRECT("'"&amp;D4&amp;"'"&amp;"!A:A"),'结果表-地下'!B20,INDIRECT("'"&amp;D4&amp;"'"&amp;"!B:B"))</f>
        <v>7520</v>
      </c>
      <c r="E20" s="1633"/>
      <c r="F20" s="43" t="s">
        <v>1293</v>
      </c>
      <c r="G20" s="131">
        <f ca="1">ROUND(C20*$C$18+D20*$D$18,0)</f>
        <v>9108</v>
      </c>
      <c r="H20" s="760" t="s">
        <v>1294</v>
      </c>
      <c r="I20" s="121"/>
    </row>
    <row r="21" spans="1:36" ht="15" customHeight="1" thickBot="1">
      <c r="A21" s="449"/>
      <c r="B21" s="93" t="s">
        <v>1295</v>
      </c>
      <c r="C21" s="678">
        <f ca="1">ROUND(C19*10000/L19,0)</f>
        <v>43327</v>
      </c>
      <c r="D21" s="679">
        <f ca="1">ROUND(D19*10000/L19,0)</f>
        <v>32050</v>
      </c>
      <c r="E21" s="449"/>
      <c r="F21" s="93" t="s">
        <v>1295</v>
      </c>
      <c r="G21" s="132">
        <f ca="1">ROUND(G19*10000/L19,0)</f>
        <v>38817</v>
      </c>
      <c r="H21" s="1634" t="s">
        <v>1294</v>
      </c>
      <c r="I21" s="121"/>
    </row>
    <row r="22" spans="1:36" ht="15" thickBot="1">
      <c r="A22" s="1564" t="s">
        <v>1296</v>
      </c>
      <c r="B22" s="1635"/>
      <c r="C22" s="1636"/>
      <c r="D22" s="680">
        <f ca="1">IF(C19&lt;D19,D19/C19-1,C19/D19-1)</f>
        <v>0.35186095007260376</v>
      </c>
      <c r="E22" s="121"/>
      <c r="F22" s="121"/>
      <c r="G22" s="121"/>
      <c r="H22" s="121"/>
      <c r="I22" s="121"/>
    </row>
    <row r="23" spans="1:36" ht="13.5" thickBot="1">
      <c r="A23" s="646"/>
      <c r="B23" s="646"/>
      <c r="C23" s="646"/>
      <c r="D23" s="646"/>
      <c r="E23" s="121"/>
      <c r="F23" s="121"/>
      <c r="G23" s="121"/>
      <c r="H23" s="121"/>
      <c r="I23" s="121"/>
    </row>
    <row r="24" spans="1:36" ht="14.25">
      <c r="A24" s="3298" t="s">
        <v>1297</v>
      </c>
      <c r="B24" s="1631" t="s">
        <v>1289</v>
      </c>
      <c r="C24" s="128">
        <f>IF(B30=0,0,D30)</f>
        <v>0</v>
      </c>
      <c r="D24" s="1637"/>
      <c r="E24" s="121"/>
      <c r="F24" s="121"/>
      <c r="G24" s="121"/>
      <c r="H24" s="121"/>
      <c r="I24" s="121"/>
    </row>
    <row r="25" spans="1:36" ht="14.25">
      <c r="A25" s="329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110930</v>
      </c>
      <c r="D32" s="1641" t="s">
        <v>3690</v>
      </c>
      <c r="E32" s="121"/>
      <c r="F32" s="121"/>
      <c r="G32" s="121"/>
      <c r="H32" s="121"/>
      <c r="I32" s="121"/>
    </row>
    <row r="33" spans="1:15" ht="15">
      <c r="A33" s="740" t="s">
        <v>1304</v>
      </c>
      <c r="B33" s="123"/>
      <c r="C33" s="1642" t="s">
        <v>3691</v>
      </c>
      <c r="D33" s="1643" t="s">
        <v>3537</v>
      </c>
      <c r="E33" s="1644" t="s">
        <v>1305</v>
      </c>
      <c r="F33" s="1645" t="str">
        <f>IF(D32="楼面单价","取值（单价）","取值（总价）")</f>
        <v>取值（总价）</v>
      </c>
      <c r="G33" s="121"/>
      <c r="H33" s="121"/>
      <c r="I33" s="121"/>
    </row>
    <row r="34" spans="1:15" ht="15">
      <c r="A34" s="1646"/>
      <c r="B34" s="1647" t="s">
        <v>1306</v>
      </c>
      <c r="C34" s="140">
        <f ca="1">IF(C33="自定义",F34,C32-C35)</f>
        <v>23295</v>
      </c>
      <c r="D34" s="808">
        <f ca="1">IF(C33="自定义",ROUND(C34/C32,3),IF(C33="收益比率",SUMIF(INDIRECT("'"&amp;D33&amp;"'"&amp;"!b:b"),"土地收益比率",INDIRECT("'"&amp;D33&amp;"'"&amp;"!c:c")),SUMIF(INDIRECT("'"&amp;D33&amp;"'"&amp;"!b:b"),"土地成本比率",INDIRECT("'"&amp;D33&amp;"'"&amp;"!c:c"))))</f>
        <v>0.20999999999999996</v>
      </c>
      <c r="E34" s="1648" t="s">
        <v>1307</v>
      </c>
      <c r="F34" s="1243"/>
      <c r="G34" s="121"/>
      <c r="H34" s="121"/>
      <c r="I34" s="121"/>
    </row>
    <row r="35" spans="1:15" ht="15.75" thickBot="1">
      <c r="A35" s="1649"/>
      <c r="B35" s="1650" t="s">
        <v>1308</v>
      </c>
      <c r="C35" s="1090">
        <f ca="1">IF(C33="自定义",F35,ROUND(C32*D35,0))</f>
        <v>87635</v>
      </c>
      <c r="D35" s="1091">
        <f ca="1">IF(C33="自定义",ROUND(C35/C32,3),IF(C33="收益比率",SUMIF(INDIRECT("'"&amp;D33&amp;"'"&amp;"!b:b"),"建筑物收益比率",INDIRECT("'"&amp;D33&amp;"'"&amp;"!c:c")),SUMIF(INDIRECT("'"&amp;D33&amp;"'"&amp;"!b:b"),"建筑物成本比率",INDIRECT("'"&amp;D33&amp;"'"&amp;"!c:c"))))</f>
        <v>0.79</v>
      </c>
      <c r="E35" s="1651" t="s">
        <v>1309</v>
      </c>
      <c r="F35" s="146"/>
      <c r="G35" s="121"/>
      <c r="H35" s="121"/>
      <c r="I35" s="121"/>
    </row>
    <row r="36" spans="1:15" ht="15.75" thickBot="1">
      <c r="A36" s="3318" t="s">
        <v>1310</v>
      </c>
      <c r="B36" s="1652" t="s">
        <v>1311</v>
      </c>
      <c r="C36" s="137"/>
      <c r="D36" s="1653"/>
      <c r="E36" s="1567"/>
      <c r="F36" s="1654"/>
      <c r="G36" s="121"/>
      <c r="H36" s="121"/>
      <c r="I36" s="121"/>
    </row>
    <row r="37" spans="1:15" ht="15.75" thickBot="1">
      <c r="A37" s="3319"/>
      <c r="B37" s="1555" t="s">
        <v>1312</v>
      </c>
      <c r="C37" s="139"/>
      <c r="D37" s="1071"/>
      <c r="E37" s="1071"/>
      <c r="F37" s="1654"/>
      <c r="G37" s="121"/>
      <c r="H37" s="121"/>
      <c r="I37" s="121"/>
    </row>
    <row r="38" spans="1:15" ht="15.75" thickBot="1">
      <c r="A38" s="3320"/>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95" t="s">
        <v>1324</v>
      </c>
      <c r="B45" s="3296"/>
      <c r="C45" s="3297"/>
      <c r="D45" s="147">
        <f ca="1">ROUND(H101*F45,0)</f>
        <v>110930</v>
      </c>
      <c r="E45" s="148" t="s">
        <v>1325</v>
      </c>
      <c r="F45" s="149">
        <v>1</v>
      </c>
      <c r="G45" s="150" t="s">
        <v>1326</v>
      </c>
      <c r="H45" s="121"/>
      <c r="I45" s="121"/>
      <c r="J45" s="3373" t="s">
        <v>1327</v>
      </c>
      <c r="K45" s="3373"/>
      <c r="L45" s="3373"/>
      <c r="M45" s="3373"/>
      <c r="N45" s="3373"/>
      <c r="O45" s="3373"/>
    </row>
    <row r="46" spans="1:15" ht="14.25" customHeight="1">
      <c r="A46" s="3292" t="s">
        <v>1328</v>
      </c>
      <c r="B46" s="3293"/>
      <c r="C46" s="3293"/>
      <c r="D46" s="3293"/>
      <c r="E46" s="3293"/>
      <c r="F46" s="3293"/>
      <c r="G46" s="3294"/>
      <c r="H46" s="1668"/>
      <c r="I46" s="151"/>
      <c r="J46" s="2310">
        <v>1</v>
      </c>
      <c r="K46" s="3354" t="s">
        <v>1329</v>
      </c>
      <c r="L46" s="3354"/>
      <c r="M46" s="3374"/>
      <c r="N46" s="3374"/>
      <c r="O46" s="3374"/>
    </row>
    <row r="47" spans="1:15" ht="12" customHeight="1">
      <c r="A47" s="152" t="s">
        <v>1330</v>
      </c>
      <c r="B47" s="153"/>
      <c r="C47" s="154"/>
      <c r="D47" s="1024" t="s">
        <v>1331</v>
      </c>
      <c r="E47" s="294" t="s">
        <v>1332</v>
      </c>
      <c r="F47" s="155" t="s">
        <v>1333</v>
      </c>
      <c r="G47" s="2333" t="s">
        <v>1334</v>
      </c>
      <c r="H47" s="2334"/>
      <c r="I47" s="151"/>
      <c r="J47" s="2310">
        <v>2</v>
      </c>
      <c r="K47" s="3354" t="s">
        <v>1335</v>
      </c>
      <c r="L47" s="3354"/>
      <c r="M47" s="3375">
        <f>'数据-取费表'!B2</f>
        <v>45944</v>
      </c>
      <c r="N47" s="3375"/>
      <c r="O47" s="3375"/>
    </row>
    <row r="48" spans="1:15" ht="25.5">
      <c r="A48" s="3323" t="s">
        <v>1336</v>
      </c>
      <c r="B48" s="3306"/>
      <c r="C48" s="330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54" t="s">
        <v>1338</v>
      </c>
      <c r="L48" s="3354"/>
      <c r="M48" s="3376">
        <f ca="1">H101</f>
        <v>110930</v>
      </c>
      <c r="N48" s="3376"/>
      <c r="O48" s="3376"/>
    </row>
    <row r="49" spans="1:35" ht="25.5" customHeight="1">
      <c r="A49" s="2152" t="s">
        <v>1339</v>
      </c>
      <c r="B49" s="3290" t="s">
        <v>1340</v>
      </c>
      <c r="C49" s="3290"/>
      <c r="D49" s="1478">
        <v>0</v>
      </c>
      <c r="E49" s="316" t="s">
        <v>1341</v>
      </c>
      <c r="F49" s="2233" t="s">
        <v>28</v>
      </c>
      <c r="G49" s="3360"/>
      <c r="H49" s="2134" t="s">
        <v>2132</v>
      </c>
      <c r="I49" s="2135"/>
      <c r="J49" s="2310">
        <v>4</v>
      </c>
      <c r="K49" s="3354" t="str">
        <f>IF(项目基本情况!E8="房地产抵押价值","房地产抵押价值","抵押担保权已注销时的房地产抵押价值")</f>
        <v>房地产抵押价值</v>
      </c>
      <c r="L49" s="3354"/>
      <c r="M49" s="3376">
        <f ca="1">IF(项目基本情况!E8="房地产抵押价值",H107,H109)</f>
        <v>110930</v>
      </c>
      <c r="N49" s="3376"/>
      <c r="O49" s="3376"/>
    </row>
    <row r="50" spans="1:35" ht="25.5" customHeight="1">
      <c r="A50" s="2338"/>
      <c r="B50" s="3290" t="s">
        <v>1342</v>
      </c>
      <c r="C50" s="3290"/>
      <c r="D50" s="2189"/>
      <c r="E50" s="323"/>
      <c r="F50" s="2233"/>
      <c r="G50" s="3361"/>
      <c r="H50" s="2136" t="s">
        <v>2133</v>
      </c>
      <c r="I50" s="2135"/>
      <c r="J50" s="3373" t="s">
        <v>1343</v>
      </c>
      <c r="K50" s="3373"/>
      <c r="L50" s="3373"/>
      <c r="M50" s="3373"/>
      <c r="N50" s="3373"/>
      <c r="O50" s="3373"/>
    </row>
    <row r="51" spans="1:35" ht="20.45" customHeight="1">
      <c r="A51" s="2339"/>
      <c r="B51" s="3290" t="s">
        <v>1344</v>
      </c>
      <c r="C51" s="3290"/>
      <c r="D51" s="1024"/>
      <c r="E51" s="319"/>
      <c r="F51" s="2233"/>
      <c r="G51" s="3362"/>
      <c r="H51" s="2136" t="s">
        <v>2134</v>
      </c>
      <c r="I51" s="2135"/>
      <c r="J51" s="2311" t="s">
        <v>1345</v>
      </c>
      <c r="K51" s="3354" t="s">
        <v>1346</v>
      </c>
      <c r="L51" s="3354"/>
      <c r="M51" s="2311" t="s">
        <v>1347</v>
      </c>
      <c r="N51" s="2311" t="s">
        <v>1348</v>
      </c>
      <c r="O51" s="2311" t="s">
        <v>1349</v>
      </c>
    </row>
    <row r="52" spans="1:35" ht="24" customHeight="1">
      <c r="A52" s="2153" t="s">
        <v>1350</v>
      </c>
      <c r="B52" s="3290" t="s">
        <v>1351</v>
      </c>
      <c r="C52" s="3290"/>
      <c r="D52" s="1024">
        <f ca="1">ROUND(D45*'数据-取费表'!B41/(1+'数据-取费表'!C42),0)</f>
        <v>5916</v>
      </c>
      <c r="E52" s="1256" t="s">
        <v>1352</v>
      </c>
      <c r="F52" s="2340">
        <f>'数据-取费表'!B41</f>
        <v>5.6000000000000001E-2</v>
      </c>
      <c r="G52" s="2341"/>
      <c r="H52" s="2331"/>
      <c r="I52" s="1669"/>
      <c r="J52" s="2310">
        <v>1</v>
      </c>
      <c r="K52" s="3355" t="s">
        <v>1353</v>
      </c>
      <c r="L52" s="3355"/>
      <c r="M52" s="2312" t="b">
        <f>D48</f>
        <v>0</v>
      </c>
      <c r="N52" s="2310" t="str">
        <f>E48</f>
        <v>销售额×税（费）率</v>
      </c>
      <c r="O52" s="2313">
        <f>F48</f>
        <v>5.6000000000000001E-2</v>
      </c>
    </row>
    <row r="53" spans="1:35" ht="12" customHeight="1">
      <c r="A53" s="2153" t="s">
        <v>1354</v>
      </c>
      <c r="B53" s="3316" t="s">
        <v>2280</v>
      </c>
      <c r="C53" s="3317"/>
      <c r="D53" s="1024">
        <f ca="1">ROUND(D45*'数据-取费表'!B41/(1+'数据-取费表'!C42),0)</f>
        <v>5916</v>
      </c>
      <c r="E53" s="1256" t="s">
        <v>1352</v>
      </c>
      <c r="F53" s="2340">
        <f>'数据-取费表'!B41</f>
        <v>5.6000000000000001E-2</v>
      </c>
      <c r="G53" s="2341"/>
      <c r="H53" s="2331"/>
      <c r="I53" s="1669"/>
      <c r="J53" s="2310">
        <v>2</v>
      </c>
      <c r="K53" s="3355" t="s">
        <v>1355</v>
      </c>
      <c r="L53" s="3355"/>
      <c r="M53" s="2312">
        <f t="shared" ref="M53:O54" ca="1" si="0">D55</f>
        <v>55</v>
      </c>
      <c r="N53" s="2310" t="str">
        <f t="shared" si="0"/>
        <v>销售额×税（费）率</v>
      </c>
      <c r="O53" s="2313" t="str">
        <f t="shared" si="0"/>
        <v>免征</v>
      </c>
    </row>
    <row r="54" spans="1:35" ht="12" customHeight="1">
      <c r="A54" s="2153" t="s">
        <v>1356</v>
      </c>
      <c r="B54" s="3316" t="s">
        <v>2281</v>
      </c>
      <c r="C54" s="3317"/>
      <c r="D54" s="1024">
        <f ca="1">C68</f>
        <v>5916</v>
      </c>
      <c r="E54" s="319" t="s">
        <v>1357</v>
      </c>
      <c r="F54" s="2340">
        <f>'数据-取费表'!B41</f>
        <v>5.6000000000000001E-2</v>
      </c>
      <c r="G54" s="2341"/>
      <c r="H54" s="2342"/>
      <c r="I54" s="1669"/>
      <c r="J54" s="2310">
        <v>3</v>
      </c>
      <c r="K54" s="3355" t="s">
        <v>1358</v>
      </c>
      <c r="L54" s="3355"/>
      <c r="M54" s="2312">
        <f t="shared" ca="1" si="0"/>
        <v>62787</v>
      </c>
      <c r="N54" s="2310" t="str">
        <f t="shared" si="0"/>
        <v>增值额×税（费）率</v>
      </c>
      <c r="O54" s="2314" t="str">
        <f t="shared" si="0"/>
        <v>免征</v>
      </c>
    </row>
    <row r="55" spans="1:35" ht="24" customHeight="1">
      <c r="A55" s="3305" t="s">
        <v>1359</v>
      </c>
      <c r="B55" s="3306"/>
      <c r="C55" s="3306"/>
      <c r="D55" s="12">
        <f ca="1">IF(H55="个人住宅",0,ROUND(D45*I55,0))</f>
        <v>55</v>
      </c>
      <c r="E55" s="1256" t="s">
        <v>1360</v>
      </c>
      <c r="F55" s="2340" t="str">
        <f>IF(H55="正常",I55,"免征")</f>
        <v>免征</v>
      </c>
      <c r="G55" s="2341"/>
      <c r="H55" s="2337"/>
      <c r="I55" s="157">
        <f>'数据-取费表'!B49</f>
        <v>5.0000000000000001E-4</v>
      </c>
      <c r="J55" s="2310">
        <f>IF(H59="非个人房产","",4)</f>
        <v>4</v>
      </c>
      <c r="K55" s="3355" t="str">
        <f>IF(H59="非个人房产","——","个人所得税")</f>
        <v>个人所得税</v>
      </c>
      <c r="L55" s="3355"/>
      <c r="M55" s="2315">
        <f ca="1">D59</f>
        <v>1056</v>
      </c>
      <c r="N55" s="1883" t="str">
        <f>E59</f>
        <v>差额计税</v>
      </c>
      <c r="O55" s="2316">
        <f>F59</f>
        <v>0.01</v>
      </c>
    </row>
    <row r="56" spans="1:35" ht="24.75">
      <c r="A56" s="3305" t="s">
        <v>1361</v>
      </c>
      <c r="B56" s="3306"/>
      <c r="C56" s="3306"/>
      <c r="D56" s="12">
        <f ca="1">IF(H56="个人住宅",D57,D58)</f>
        <v>62787</v>
      </c>
      <c r="E56" s="1256" t="s">
        <v>1362</v>
      </c>
      <c r="F56" s="2340" t="str">
        <f>IF(H56="正常",F58,"免征")</f>
        <v>免征</v>
      </c>
      <c r="G56" s="2343" t="s">
        <v>1363</v>
      </c>
      <c r="H56" s="2344"/>
      <c r="I56" s="1670"/>
      <c r="J56" s="2310" t="str">
        <f>IF(项目基本情况!K6="上海银行",IF(J55="",4,J55+1),"")</f>
        <v/>
      </c>
      <c r="K56" s="3378" t="str">
        <f>IF(项目基本情况!K6="上海银行","其他处置费用","")</f>
        <v/>
      </c>
      <c r="L56" s="3379"/>
      <c r="M56" s="2312" t="str">
        <f>IF(项目基本情况!K6="上海银行",M69,"")</f>
        <v/>
      </c>
      <c r="N56" s="3378" t="str">
        <f>IF(项目基本情况!K6="上海银行","包含处置中涉及的律师、诉讼、拍卖、评估等费用","")</f>
        <v/>
      </c>
      <c r="O56" s="3381"/>
    </row>
    <row r="57" spans="1:35" ht="12.75">
      <c r="A57" s="2153" t="s">
        <v>1339</v>
      </c>
      <c r="B57" s="3316" t="s">
        <v>1364</v>
      </c>
      <c r="C57" s="3317"/>
      <c r="D57" s="1478">
        <v>0</v>
      </c>
      <c r="E57" s="316" t="s">
        <v>1341</v>
      </c>
      <c r="F57" s="294"/>
      <c r="G57" s="2341"/>
      <c r="H57" s="2345"/>
      <c r="I57" s="1670"/>
      <c r="J57" s="3355">
        <f>IF(AND(J55="",J56=""),4,IF(项目基本情况!K6="上海银行",'结果表-地下'!J56+1,'结果表-地下'!J55+1))</f>
        <v>5</v>
      </c>
      <c r="K57" s="3355" t="s">
        <v>1365</v>
      </c>
      <c r="L57" s="2317" t="s">
        <v>1366</v>
      </c>
      <c r="M57" s="2318"/>
      <c r="N57" s="2319">
        <f ca="1">SUMIF(M52:M56,"&lt;9e307")</f>
        <v>63898</v>
      </c>
      <c r="O57" s="2320"/>
      <c r="P57" s="2465">
        <f ca="1">N57/M49</f>
        <v>0.5760209140899667</v>
      </c>
    </row>
    <row r="58" spans="1:35" ht="24.75">
      <c r="A58" s="2153" t="s">
        <v>1350</v>
      </c>
      <c r="B58" s="3316" t="s">
        <v>1367</v>
      </c>
      <c r="C58" s="3290"/>
      <c r="D58" s="12">
        <f ca="1">IF(H58="转让取得",C81,C97)</f>
        <v>62787</v>
      </c>
      <c r="E58" s="1256" t="s">
        <v>1362</v>
      </c>
      <c r="F58" s="294" t="s">
        <v>28</v>
      </c>
      <c r="G58" s="2341"/>
      <c r="H58" s="2344"/>
      <c r="I58" s="1670"/>
      <c r="J58" s="3355"/>
      <c r="K58" s="3355"/>
      <c r="L58" s="2317" t="s">
        <v>1368</v>
      </c>
      <c r="M58" s="2321"/>
      <c r="N58" s="2322" t="str">
        <f ca="1">NUMBERSTRING(INT(N57*10000),2)&amp;"元整"</f>
        <v>陆亿叁仟捌佰玖拾捌万元整</v>
      </c>
      <c r="O58" s="2323"/>
    </row>
    <row r="59" spans="1:35" ht="24.75" thickBot="1">
      <c r="A59" s="3358" t="s">
        <v>1369</v>
      </c>
      <c r="B59" s="3359"/>
      <c r="C59" s="3359"/>
      <c r="D59" s="2346">
        <f ca="1">IF(H59="非个人房产","——",IF(H59="个人住宅（满五唯一有凭证）",0,IF(H59="个人其他（无凭证）",ROUND(D45/(1+'数据-取费表'!C42)*F59,0),ROUND(C67*F59,0))))</f>
        <v>1056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56">
        <f>J57+1</f>
        <v>6</v>
      </c>
      <c r="K59" s="3355" t="s">
        <v>1370</v>
      </c>
      <c r="L59" s="2310" t="s">
        <v>1366</v>
      </c>
      <c r="M59" s="2324"/>
      <c r="N59" s="2325">
        <f ca="1">M49-N57</f>
        <v>47032</v>
      </c>
      <c r="O59" s="2326"/>
    </row>
    <row r="60" spans="1:35" ht="12" customHeight="1">
      <c r="A60" s="1671"/>
      <c r="B60" s="646"/>
      <c r="C60" s="646"/>
      <c r="D60" s="646"/>
      <c r="E60" s="1466"/>
      <c r="F60" s="1670"/>
      <c r="G60" s="1670"/>
      <c r="H60" s="151"/>
      <c r="I60" s="121"/>
      <c r="J60" s="3357"/>
      <c r="K60" s="3355"/>
      <c r="L60" s="2317" t="s">
        <v>1368</v>
      </c>
      <c r="M60" s="2321"/>
      <c r="N60" s="2322" t="str">
        <f ca="1">NUMBERSTRING(INT(N59*10000),2)&amp;"元整"</f>
        <v>肆亿柒仟零叁拾贰万元整</v>
      </c>
      <c r="O60" s="2323"/>
    </row>
    <row r="61" spans="1:35" ht="13.5" thickBot="1">
      <c r="A61" s="3303" t="s">
        <v>1371</v>
      </c>
      <c r="B61" s="3303"/>
      <c r="C61" s="3303"/>
      <c r="D61" s="3303"/>
      <c r="E61" s="3303"/>
      <c r="F61" s="1670"/>
      <c r="G61" s="1670"/>
      <c r="H61" s="151"/>
      <c r="I61" s="121"/>
      <c r="J61" s="2310">
        <f>J59+1</f>
        <v>7</v>
      </c>
      <c r="K61" s="3355" t="s">
        <v>1372</v>
      </c>
      <c r="L61" s="3355"/>
      <c r="M61" s="2327"/>
      <c r="N61" s="2328">
        <f ca="1">ROUND(N59*10000/'数据-汇总表'!E3,0)</f>
        <v>2081</v>
      </c>
      <c r="O61" s="2329"/>
    </row>
    <row r="62" spans="1:35" ht="12.75">
      <c r="A62" s="3321" t="s">
        <v>1373</v>
      </c>
      <c r="B62" s="3322"/>
      <c r="C62" s="1865"/>
      <c r="D62" s="1865" t="s">
        <v>1374</v>
      </c>
      <c r="E62" s="158" t="s">
        <v>1375</v>
      </c>
      <c r="F62" s="1670"/>
      <c r="G62" s="1670"/>
      <c r="H62" s="151"/>
      <c r="I62" s="121"/>
    </row>
    <row r="63" spans="1:35" ht="12.75">
      <c r="A63" s="165" t="s">
        <v>330</v>
      </c>
      <c r="B63" s="159" t="s">
        <v>1376</v>
      </c>
      <c r="C63" s="2350">
        <f ca="1">ROUND((C64+C65)/(1+'数据-取费表'!C42),0)</f>
        <v>105648</v>
      </c>
      <c r="D63" s="159"/>
      <c r="E63" s="160"/>
      <c r="F63" s="1670"/>
      <c r="G63" s="1670"/>
      <c r="H63" s="151"/>
      <c r="I63" s="121"/>
      <c r="J63" s="3380" t="s">
        <v>1377</v>
      </c>
      <c r="K63" s="1245" t="s">
        <v>1378</v>
      </c>
      <c r="L63" s="1245">
        <f ca="1">IF(M49&gt;10000,M49*0.5%,IF(AND(M49&gt;1000,M49&lt;=10000),M49*1%,IF(AND(M49&gt;100,M49&lt;=1000),M49*3%,IF(AND(M49&gt;10,M49&lt;=100),M49*5%,M49*8%))))</f>
        <v>554.65</v>
      </c>
      <c r="M63" s="294">
        <f ca="1">ROUND(L63,1)</f>
        <v>554.70000000000005</v>
      </c>
      <c r="N63" s="2330"/>
      <c r="Z63" s="1623"/>
      <c r="AI63" s="1561"/>
    </row>
    <row r="64" spans="1:35" ht="14.25" customHeight="1">
      <c r="A64" s="161" t="s">
        <v>325</v>
      </c>
      <c r="B64" s="162" t="s">
        <v>1379</v>
      </c>
      <c r="C64" s="2351">
        <f ca="1">D45</f>
        <v>110930</v>
      </c>
      <c r="D64" s="162" t="s">
        <v>26</v>
      </c>
      <c r="E64" s="164"/>
      <c r="F64" s="1670"/>
      <c r="G64" s="1670"/>
      <c r="H64" s="151"/>
      <c r="I64" s="121"/>
      <c r="J64" s="3380"/>
      <c r="K64" s="1245" t="s">
        <v>1380</v>
      </c>
      <c r="L64" s="1245">
        <f ca="1">IF(M49&gt;2000,M49*0.5%,IF(AND(M49&gt;1000,M49&lt;=2000),M49*0.6%,IF(AND(M49&gt;500,M49&lt;=1000),M49*0.7%,IF(AND(M49&gt;200,M49&lt;=500),M49*0.8%,IF(AND(M49&gt;100,M49&lt;=200),M49*0.9%,IF(AND(M49&gt;50,M49&lt;=100),M49*1%,IF(AND(M49&gt;20,M49&lt;=50),M49*1.5%,IF(AND(M49&gt;10,M49&lt;=20),M49*2%,IF(AND(M49&gt;1,M49&lt;=10),M49*2.5%)))))))))</f>
        <v>554.65</v>
      </c>
      <c r="M64" s="294">
        <f t="shared" ref="M64:M65" ca="1" si="1">ROUND(L64,1)</f>
        <v>554.70000000000005</v>
      </c>
      <c r="N64" s="2331" t="s">
        <v>1381</v>
      </c>
      <c r="Z64" s="1623"/>
      <c r="AI64" s="1561"/>
    </row>
    <row r="65" spans="1:35" ht="14.25" customHeight="1">
      <c r="A65" s="161" t="s">
        <v>326</v>
      </c>
      <c r="B65" s="162" t="s">
        <v>1382</v>
      </c>
      <c r="C65" s="2352"/>
      <c r="D65" s="162"/>
      <c r="E65" s="164"/>
      <c r="F65" s="1670"/>
      <c r="G65" s="1670"/>
      <c r="H65" s="151"/>
      <c r="I65" s="121"/>
      <c r="J65" s="3380"/>
      <c r="K65" s="1245" t="s">
        <v>1383</v>
      </c>
      <c r="L65" s="1245">
        <f ca="1">IF(M49&gt;1000,M49*0.1%,IF(AND(M49&gt;500,M49&lt;=1000),M49*0.5%,IF(AND(M49&gt;50,M49&lt;=500),M49*1%,IF(AND(M49&gt;1,M49&lt;=50),M49*1.5%))))</f>
        <v>110.93</v>
      </c>
      <c r="M65" s="294">
        <f t="shared" ca="1" si="1"/>
        <v>110.9</v>
      </c>
      <c r="N65" s="2331" t="s">
        <v>1381</v>
      </c>
      <c r="Z65" s="1623"/>
      <c r="AI65" s="1561"/>
    </row>
    <row r="66" spans="1:35" ht="14.25" customHeight="1">
      <c r="A66" s="165" t="s">
        <v>327</v>
      </c>
      <c r="B66" s="166" t="s">
        <v>1384</v>
      </c>
      <c r="C66" s="2353"/>
      <c r="D66" s="166" t="s">
        <v>26</v>
      </c>
      <c r="E66" s="1251" t="s">
        <v>669</v>
      </c>
      <c r="F66" s="1670"/>
      <c r="G66" s="1670"/>
      <c r="H66" s="151"/>
      <c r="I66" s="121"/>
      <c r="J66" s="3380"/>
      <c r="K66" s="1245" t="s">
        <v>1385</v>
      </c>
      <c r="L66" s="1245">
        <f ca="1">M49*0.5%</f>
        <v>554.65</v>
      </c>
      <c r="M66" s="294">
        <f ca="1">IF(L66&gt;0.5,0.5,ROUND(L66,0))</f>
        <v>0.5</v>
      </c>
      <c r="N66" s="2331" t="s">
        <v>1386</v>
      </c>
      <c r="Z66" s="1623"/>
      <c r="AI66" s="1561"/>
    </row>
    <row r="67" spans="1:35" ht="14.25" customHeight="1">
      <c r="A67" s="165" t="s">
        <v>328</v>
      </c>
      <c r="B67" s="166" t="s">
        <v>1387</v>
      </c>
      <c r="C67" s="2354">
        <f ca="1">C63-C66</f>
        <v>105648</v>
      </c>
      <c r="D67" s="162" t="s">
        <v>26</v>
      </c>
      <c r="E67" s="164"/>
      <c r="F67" s="1670"/>
      <c r="G67" s="1670"/>
      <c r="H67" s="151"/>
      <c r="I67" s="121"/>
      <c r="J67" s="3380"/>
      <c r="K67" s="1245" t="s">
        <v>1388</v>
      </c>
      <c r="L67" s="1245">
        <f ca="1">IF(M49&gt;=10000,(8.25+(M49-10000)*0.01%),IF(AND(M49&gt;=8000,M49&lt;10000),(7.85+(M49-8000)*0.02%),IF(AND(M49&gt;=5000,M49&lt;8000),(6.65+(M49-5000)*0.04%),IF(AND(M49&gt;=2000,M49&lt;5000),(4.25+(PM49-2000)*0.08%),IF(AND(M49&gt;=1000,M49&lt;2000),(2.75+(M49-1000)*0.15%),IF(AND(M49&gt;=100,M49&lt;1000),(0.5+(M49-100)*0.25%),IF(AND(M49&gt;0,M49&lt;100),M49*0.5%)))))))</f>
        <v>18.343</v>
      </c>
      <c r="M67" s="294">
        <f ca="1">ROUND(L67*0.9,1)</f>
        <v>16.5</v>
      </c>
      <c r="N67" s="2330"/>
      <c r="Z67" s="1623"/>
      <c r="AI67" s="1561"/>
    </row>
    <row r="68" spans="1:35" ht="14.25" customHeight="1" thickBot="1">
      <c r="A68" s="168" t="s">
        <v>329</v>
      </c>
      <c r="B68" s="169" t="s">
        <v>1389</v>
      </c>
      <c r="C68" s="2355">
        <f ca="1">IF(C67&lt;=0,0,ROUND(C67*D68,0))</f>
        <v>5916</v>
      </c>
      <c r="D68" s="2356">
        <f>'数据-取费表'!B41</f>
        <v>5.6000000000000001E-2</v>
      </c>
      <c r="E68" s="170"/>
      <c r="F68" s="1670"/>
      <c r="G68" s="1670"/>
      <c r="H68" s="151"/>
      <c r="I68" s="121"/>
      <c r="J68" s="3380"/>
      <c r="K68" s="1245" t="s">
        <v>1390</v>
      </c>
      <c r="L68" s="1245">
        <f ca="1">IF(M49&gt;10000,M49*0.5%,IF(AND(M49&gt;5000,M49&lt;=10000),M49*1%,IF(AND(M49&gt;1000,M49&lt;=5000),M49*2%,IF(AND(M49&gt;200,M49&lt;=1000),M49*3%,M49*5%))))</f>
        <v>554.65</v>
      </c>
      <c r="M68" s="294">
        <f ca="1">ROUND(L68,1)</f>
        <v>554.70000000000005</v>
      </c>
      <c r="N68" s="2330"/>
      <c r="Z68" s="1623"/>
      <c r="AI68" s="1561"/>
    </row>
    <row r="69" spans="1:35" ht="16.5" customHeight="1">
      <c r="A69" s="1672"/>
      <c r="B69" s="1673"/>
      <c r="C69" s="1674"/>
      <c r="D69" s="1675"/>
      <c r="E69" s="1676"/>
      <c r="F69" s="1466"/>
      <c r="G69" s="1466"/>
      <c r="H69" s="1467"/>
      <c r="I69" s="646"/>
      <c r="J69" s="3380"/>
      <c r="K69" s="1245" t="s">
        <v>1391</v>
      </c>
      <c r="L69" s="1245"/>
      <c r="M69" s="294">
        <f ca="1">ROUND(SUM(M63:M68),0)</f>
        <v>1792</v>
      </c>
      <c r="N69" s="2332">
        <f ca="1">M69/M49</f>
        <v>1.6154331560443522E-2</v>
      </c>
      <c r="Z69" s="1623"/>
      <c r="AI69" s="1561"/>
    </row>
    <row r="70" spans="1:35" s="642" customFormat="1" ht="15" thickBot="1">
      <c r="A70" s="3342" t="s">
        <v>1392</v>
      </c>
      <c r="B70" s="3343"/>
      <c r="C70" s="3343"/>
      <c r="D70" s="3343"/>
      <c r="E70" s="3343"/>
      <c r="F70" s="3343"/>
      <c r="G70" s="3343"/>
      <c r="H70" s="334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1373</v>
      </c>
      <c r="B71" s="332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f ca="1">ROUND(D45/(1+'数据-取费表'!C42),0)</f>
        <v>105648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f ca="1">C74+C78</f>
        <v>634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16" t="s">
        <v>1400</v>
      </c>
      <c r="F76" s="3290"/>
      <c r="G76" s="3290"/>
      <c r="H76" s="334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f ca="1">ROUND(D45*D78/(1+'数据-取费表'!C42),0)</f>
        <v>634</v>
      </c>
      <c r="D78" s="2363">
        <f>'数据-取费表'!B43</f>
        <v>6.000000000000001E-3</v>
      </c>
      <c r="E78" s="3300" t="s">
        <v>1404</v>
      </c>
      <c r="F78" s="3301"/>
      <c r="G78" s="3301"/>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f ca="1">C72-C73</f>
        <v>105014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f ca="1">IF(C79&lt;=0,0,C79/C73)</f>
        <v>165.6372239747634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f ca="1">ROUND(IF(C79&lt;=0,0,IF(C80&gt;=200%,C79*60%-C73*35%,IF(C80&gt;=100%,C79*50%-C73*15%,IF(C80&gt;=50%,C79*40%-C73*5%,IF(C80&lt;50%,C79*30%,0))))),0)</f>
        <v>62787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2" t="s">
        <v>1408</v>
      </c>
      <c r="B83" s="3343"/>
      <c r="C83" s="3343"/>
      <c r="D83" s="3343"/>
      <c r="E83" s="3343"/>
      <c r="F83" s="3343"/>
      <c r="G83" s="3343"/>
      <c r="H83" s="334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1373</v>
      </c>
      <c r="B84" s="332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f ca="1">ROUND(D45/(1+'数据-取费表'!C42),0)</f>
        <v>105648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f ca="1">IF(H88="仅含出让金",C87+C90+C91+C92+C93+C94,C87+C91+C92+C93+C94)</f>
        <v>634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82" t="s">
        <v>2127</v>
      </c>
      <c r="H90" s="3383"/>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00" t="s">
        <v>1417</v>
      </c>
      <c r="F91" s="3301"/>
      <c r="G91" s="330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00" t="s">
        <v>1420</v>
      </c>
      <c r="F92" s="3301"/>
      <c r="G92" s="3301"/>
      <c r="H92" s="3310"/>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f ca="1">ROUND(D45*D93/(1+'数据-取费表'!C42),0)</f>
        <v>634</v>
      </c>
      <c r="D93" s="2363">
        <f>'数据-取费表'!B43</f>
        <v>6.000000000000001E-3</v>
      </c>
      <c r="E93" s="3300" t="s">
        <v>1404</v>
      </c>
      <c r="F93" s="3301"/>
      <c r="G93" s="3301"/>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11" t="s">
        <v>1424</v>
      </c>
      <c r="F94" s="3312"/>
      <c r="G94" s="3312"/>
      <c r="H94" s="331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f ca="1">ROUND(C85-C86,0)</f>
        <v>105014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f ca="1">IF(C95&lt;=0,0,C95/C86)</f>
        <v>165.6372239747634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f ca="1">ROUND(IF(C95&lt;=0,0,IF(C96&gt;=200%,C95*60%-C86*35%,IF(C96&gt;=100%,C95*50%-C86*15%,IF(C96&gt;=50%,C95*40%-C86*5%,IF(C96&lt;50%,C95*30%,0))))),0)</f>
        <v>62787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4" t="s">
        <v>1426</v>
      </c>
      <c r="B100" s="3285"/>
      <c r="C100" s="3285"/>
      <c r="D100" s="3302"/>
      <c r="E100" s="3285" t="s">
        <v>1427</v>
      </c>
      <c r="F100" s="3285"/>
      <c r="G100" s="3285"/>
      <c r="H100" s="3302"/>
      <c r="I100" s="121"/>
    </row>
    <row r="101" spans="1:35" ht="18.75" customHeight="1">
      <c r="A101" s="3363" t="s">
        <v>1428</v>
      </c>
      <c r="B101" s="3364"/>
      <c r="C101" s="2371" t="str">
        <f>C4</f>
        <v>成本法</v>
      </c>
      <c r="D101" s="2372" t="str">
        <f>D4</f>
        <v>收益法地下</v>
      </c>
      <c r="E101" s="3377" t="s">
        <v>1429</v>
      </c>
      <c r="F101" s="3334"/>
      <c r="G101" s="1687" t="s">
        <v>1430</v>
      </c>
      <c r="H101" s="2381">
        <f ca="1">H118</f>
        <v>110930</v>
      </c>
      <c r="I101" s="121"/>
    </row>
    <row r="102" spans="1:35" ht="18.75" customHeight="1">
      <c r="A102" s="3336" t="s">
        <v>1431</v>
      </c>
      <c r="B102" s="2370" t="s">
        <v>1430</v>
      </c>
      <c r="C102" s="2371">
        <f ca="1">IF(D32="楼面单价",ROUND(C19,0),C19)</f>
        <v>123821</v>
      </c>
      <c r="D102" s="2372">
        <f ca="1">IF(D32="楼面单价",ROUND(D19,0),D19)</f>
        <v>91593</v>
      </c>
      <c r="E102" s="3377"/>
      <c r="F102" s="3334"/>
      <c r="G102" s="1687" t="s">
        <v>1432</v>
      </c>
      <c r="H102" s="2341">
        <f ca="1">I118</f>
        <v>9107</v>
      </c>
      <c r="I102" s="121"/>
    </row>
    <row r="103" spans="1:35" ht="42.75" customHeight="1">
      <c r="A103" s="3336"/>
      <c r="B103" s="2370" t="s">
        <v>1432</v>
      </c>
      <c r="C103" s="2373">
        <f ca="1">C20</f>
        <v>10166</v>
      </c>
      <c r="D103" s="2374">
        <f ca="1">D20</f>
        <v>7520</v>
      </c>
      <c r="E103" s="3371" t="s">
        <v>1433</v>
      </c>
      <c r="F103" s="3372"/>
      <c r="G103" s="1688" t="s">
        <v>1434</v>
      </c>
      <c r="H103" s="2381">
        <f>IF(D36="正常操作",H104+H105+H106,H105+H106)</f>
        <v>0</v>
      </c>
      <c r="I103" s="121"/>
    </row>
    <row r="104" spans="1:35" ht="18.75" customHeight="1">
      <c r="A104" s="3336" t="s">
        <v>1435</v>
      </c>
      <c r="B104" s="2375" t="s">
        <v>1430</v>
      </c>
      <c r="C104" s="2376">
        <f ca="1">H118</f>
        <v>110930</v>
      </c>
      <c r="D104" s="2377"/>
      <c r="E104" s="1555" t="s">
        <v>1436</v>
      </c>
      <c r="F104" s="1548"/>
      <c r="G104" s="1688" t="s">
        <v>1434</v>
      </c>
      <c r="H104" s="2382">
        <f>IF(D36="同一抵押权人同一抵押物续贷",C36&amp;"（续贷，未扣减，详见特别提示）",C36)</f>
        <v>0</v>
      </c>
      <c r="I104" s="121"/>
    </row>
    <row r="105" spans="1:35" ht="18.75" customHeight="1" thickBot="1">
      <c r="A105" s="3337"/>
      <c r="B105" s="2378" t="s">
        <v>1432</v>
      </c>
      <c r="C105" s="2379">
        <f ca="1">I118</f>
        <v>9107</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3" t="str">
        <f>IF(项目基本情况!E8="已注销","——","3.房地产抵押价值")</f>
        <v>3.房地产抵押价值</v>
      </c>
      <c r="F107" s="3334"/>
      <c r="G107" s="1687" t="s">
        <v>1430</v>
      </c>
      <c r="H107" s="2381">
        <f ca="1">IF(E107="——","——",H101-H103)</f>
        <v>110930</v>
      </c>
      <c r="I107" s="121"/>
    </row>
    <row r="108" spans="1:35" ht="18.75" customHeight="1">
      <c r="A108" s="121"/>
      <c r="B108" s="121"/>
      <c r="C108" s="121"/>
      <c r="D108" s="121"/>
      <c r="E108" s="3333"/>
      <c r="F108" s="3334"/>
      <c r="G108" s="1687" t="s">
        <v>1432</v>
      </c>
      <c r="H108" s="2341">
        <f ca="1">IF(H107=H101,H102,ROUND(H107*10000/'数据-汇总表'!E3,0))</f>
        <v>9107</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34"/>
      <c r="G109" s="1687" t="s">
        <v>1430</v>
      </c>
      <c r="H109" s="2384" t="str">
        <f>IF(E109="——","——",H101-H105-H106)</f>
        <v>——</v>
      </c>
      <c r="I109" s="121"/>
    </row>
    <row r="110" spans="1:35" ht="18.75" customHeight="1">
      <c r="A110" s="121"/>
      <c r="B110" s="121"/>
      <c r="C110" s="121"/>
      <c r="D110" s="121"/>
      <c r="E110" s="3333"/>
      <c r="F110" s="3334"/>
      <c r="G110" s="1687" t="s">
        <v>1432</v>
      </c>
      <c r="H110" s="2341" t="str">
        <f>IF(H109="——","——",ROUND(H109*10000/'数据-汇总表'!E3,0))</f>
        <v>——</v>
      </c>
      <c r="I110" s="121"/>
    </row>
    <row r="111" spans="1:35" ht="18.75" customHeight="1">
      <c r="A111" s="121"/>
      <c r="B111" s="121"/>
      <c r="C111" s="121"/>
      <c r="D111" s="121"/>
      <c r="E111" s="3365" t="str">
        <f>IF(项目基本情况!E9="抵押净值",IF(OR(项目基本情况!E8="已注销",项目基本情况!E8="房地产抵押价值"),"4.抵押净值","5.抵押净值"),"——")</f>
        <v>——</v>
      </c>
      <c r="F111" s="3335"/>
      <c r="G111" s="1687" t="s">
        <v>1430</v>
      </c>
      <c r="H111" s="2381" t="str">
        <f>IF(E111="——","——",N59)</f>
        <v>——</v>
      </c>
      <c r="I111" s="121"/>
    </row>
    <row r="112" spans="1:35" ht="18.75" customHeight="1" thickBot="1">
      <c r="A112" s="121"/>
      <c r="B112" s="121"/>
      <c r="C112" s="121"/>
      <c r="D112" s="121"/>
      <c r="E112" s="3366"/>
      <c r="F112" s="3367"/>
      <c r="G112" s="1690" t="s">
        <v>1432</v>
      </c>
      <c r="H112" s="2385" t="str">
        <f>IF(E111="——","——",N61)</f>
        <v>——</v>
      </c>
      <c r="I112" s="121"/>
    </row>
    <row r="113" spans="1:27" ht="18.75" customHeight="1">
      <c r="A113" s="121"/>
      <c r="B113" s="121"/>
      <c r="C113" s="121"/>
      <c r="D113" s="121"/>
      <c r="E113" s="3338" t="s">
        <v>1438</v>
      </c>
      <c r="F113" s="3338"/>
      <c r="G113" s="3338"/>
      <c r="H113" s="3338"/>
      <c r="I113" s="121"/>
    </row>
    <row r="114" spans="1:27" ht="3.75" customHeight="1">
      <c r="A114" s="646"/>
      <c r="B114" s="646"/>
      <c r="C114" s="646"/>
      <c r="D114" s="646"/>
      <c r="E114" s="1671"/>
      <c r="F114" s="1671"/>
      <c r="G114" s="1671"/>
      <c r="H114" s="1671"/>
      <c r="I114" s="646"/>
    </row>
    <row r="115" spans="1:27" ht="18.75" customHeight="1">
      <c r="A115" s="3348" t="s">
        <v>1440</v>
      </c>
      <c r="B115" s="3349"/>
      <c r="C115" s="3349"/>
      <c r="D115" s="3349"/>
      <c r="E115" s="3349"/>
      <c r="F115" s="3349"/>
      <c r="G115" s="3349"/>
      <c r="H115" s="3349"/>
      <c r="I115" s="3350"/>
    </row>
    <row r="116" spans="1:27" ht="27" customHeight="1">
      <c r="A116" s="3304" t="s">
        <v>1441</v>
      </c>
      <c r="B116" s="3339" t="s">
        <v>1442</v>
      </c>
      <c r="C116" s="3339" t="s">
        <v>1443</v>
      </c>
      <c r="D116" s="3352" t="s">
        <v>1444</v>
      </c>
      <c r="E116" s="3353"/>
      <c r="F116" s="3347" t="s">
        <v>1445</v>
      </c>
      <c r="G116" s="3347"/>
      <c r="H116" s="3304" t="s">
        <v>1446</v>
      </c>
      <c r="I116" s="3304"/>
    </row>
    <row r="117" spans="1:27" ht="18.75" customHeight="1">
      <c r="A117" s="3304"/>
      <c r="B117" s="3340"/>
      <c r="C117" s="3340"/>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121804.97</v>
      </c>
      <c r="C118" s="2150">
        <f>M19</f>
        <v>26170.03</v>
      </c>
      <c r="D118" s="2150">
        <f ca="1">ROUND(IF(D32="总价",C34,E118*B118/10000),0)</f>
        <v>23295</v>
      </c>
      <c r="E118" s="2150">
        <f ca="1">ROUND(IF(C33="自定义",IF(D32="楼面单价",C34,D118*10000/B118),I118-G118),0)</f>
        <v>1912</v>
      </c>
      <c r="F118" s="2150">
        <f ca="1">ROUND(IF(D32="总价",C35,G118*B118/10000),0)</f>
        <v>87635</v>
      </c>
      <c r="G118" s="2150">
        <f ca="1">ROUND(IF(D32="楼面单价",C35,F118*10000/B118),0)</f>
        <v>7195</v>
      </c>
      <c r="H118" s="2150">
        <f ca="1">ROUND(IF(D32="总价",C32,I118*B118/10000),0)</f>
        <v>110930</v>
      </c>
      <c r="I118" s="2150">
        <f ca="1">ROUND(IF(D32="楼面单价",C32,H118*10000/B118),0)</f>
        <v>9107</v>
      </c>
    </row>
    <row r="119" spans="1:27" ht="18.75" customHeight="1">
      <c r="A119" s="3304" t="s">
        <v>1450</v>
      </c>
      <c r="B119" s="3304"/>
      <c r="C119" s="3304"/>
      <c r="D119" s="3344" t="str">
        <f ca="1">NUMBERSTRING(INT(D118*10000),2)&amp;"元整"</f>
        <v>贰亿叁仟贰佰玖拾伍万元整</v>
      </c>
      <c r="E119" s="3346"/>
      <c r="F119" s="3344" t="str">
        <f ca="1">NUMBERSTRING(INT(F118*10000),2)&amp;"元整"</f>
        <v>捌亿柒仟陆佰叁拾伍万元整</v>
      </c>
      <c r="G119" s="3346"/>
      <c r="H119" s="3344" t="str">
        <f ca="1">NUMBERSTRING(INT(H118*10000),2)&amp;"元整"</f>
        <v>壹拾壹亿零玖佰叁拾万元整</v>
      </c>
      <c r="I119" s="3346"/>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4" t="s">
        <v>1450</v>
      </c>
      <c r="B121" s="3345"/>
      <c r="C121" s="3346"/>
      <c r="D121" s="3344" t="str">
        <f>IF(D120=0,"零元整",NUMBERSTRING(INT(D120*10000),2)&amp;"元整")</f>
        <v>零元整</v>
      </c>
      <c r="E121" s="3345"/>
      <c r="F121" s="3345"/>
      <c r="G121" s="3345"/>
      <c r="H121" s="3345"/>
      <c r="I121" s="3346"/>
      <c r="AA121" s="684"/>
    </row>
    <row r="122" spans="1:27" ht="18.75" customHeight="1">
      <c r="A122" s="3335" t="str">
        <f>IF(项目基本情况!B9="房地产市场价值","",MID(E107,3,LEN(E107)-2))</f>
        <v>房地产抵押价值</v>
      </c>
      <c r="B122" s="3335"/>
      <c r="C122" s="3335"/>
      <c r="D122" s="3368">
        <f ca="1">H107</f>
        <v>110930</v>
      </c>
      <c r="E122" s="3369"/>
      <c r="F122" s="3369"/>
      <c r="G122" s="3369"/>
      <c r="H122" s="3369"/>
      <c r="I122" s="3370"/>
      <c r="AA122" s="684"/>
    </row>
    <row r="123" spans="1:27" ht="18.75" customHeight="1">
      <c r="A123" s="3304" t="s">
        <v>1450</v>
      </c>
      <c r="B123" s="3304"/>
      <c r="C123" s="3304"/>
      <c r="D123" s="3344" t="str">
        <f ca="1">NUMBERSTRING(INT(D122*10000),2)&amp;"元整"</f>
        <v>壹拾壹亿零玖佰叁拾万元整</v>
      </c>
      <c r="E123" s="3345"/>
      <c r="F123" s="3345"/>
      <c r="G123" s="3345"/>
      <c r="H123" s="3345"/>
      <c r="I123" s="3346"/>
      <c r="AA123" s="684"/>
    </row>
    <row r="124" spans="1:27" ht="18.75" customHeight="1">
      <c r="A124" s="3335" t="str">
        <f>IF(项目基本情况!B9="房地产市场价值","",MID(E109,3,LEN(E109)-2))</f>
        <v/>
      </c>
      <c r="B124" s="3335"/>
      <c r="C124" s="3335"/>
      <c r="D124" s="3368" t="str">
        <f>H109</f>
        <v>——</v>
      </c>
      <c r="E124" s="3369"/>
      <c r="F124" s="3369"/>
      <c r="G124" s="3369"/>
      <c r="H124" s="3369"/>
      <c r="I124" s="3370"/>
      <c r="AA124" s="684"/>
    </row>
    <row r="125" spans="1:27" ht="18.75" customHeight="1">
      <c r="A125" s="3304" t="s">
        <v>1450</v>
      </c>
      <c r="B125" s="3304"/>
      <c r="C125" s="3304"/>
      <c r="D125" s="3344" t="e">
        <f>NUMBERSTRING(INT(D124*10000),2)&amp;"元整"</f>
        <v>#VALUE!</v>
      </c>
      <c r="E125" s="3345"/>
      <c r="F125" s="3345"/>
      <c r="G125" s="3345"/>
      <c r="H125" s="3345"/>
      <c r="I125" s="3346"/>
      <c r="AA125" s="684"/>
    </row>
    <row r="126" spans="1:27" ht="18.75" customHeight="1">
      <c r="A126" s="3335" t="str">
        <f>IF(项目基本情况!B9="房地产市场价值","",MID(E111,3,LEN(E111)-2))</f>
        <v/>
      </c>
      <c r="B126" s="3335"/>
      <c r="C126" s="3335"/>
      <c r="D126" s="3368" t="str">
        <f>H111</f>
        <v>——</v>
      </c>
      <c r="E126" s="3369"/>
      <c r="F126" s="3369"/>
      <c r="G126" s="3369"/>
      <c r="H126" s="3369"/>
      <c r="I126" s="3370"/>
      <c r="AA126" s="684"/>
    </row>
    <row r="127" spans="1:27" ht="18.75" customHeight="1">
      <c r="A127" s="3304" t="s">
        <v>1450</v>
      </c>
      <c r="B127" s="3304"/>
      <c r="C127" s="3304"/>
      <c r="D127" s="3344" t="e">
        <f>NUMBERSTRING(INT(D126*10000),2)&amp;"元整"</f>
        <v>#VALUE!</v>
      </c>
      <c r="E127" s="3345"/>
      <c r="F127" s="3345"/>
      <c r="G127" s="3345"/>
      <c r="H127" s="3345"/>
      <c r="I127" s="3346"/>
      <c r="AA127" s="684"/>
    </row>
    <row r="128" spans="1:27" ht="21.75" customHeight="1">
      <c r="A128" s="3351" t="s">
        <v>1451</v>
      </c>
      <c r="B128" s="3351"/>
      <c r="C128" s="3351"/>
      <c r="D128" s="3351"/>
      <c r="E128" s="3351"/>
      <c r="F128" s="3351"/>
      <c r="G128" s="3351"/>
      <c r="H128" s="3351"/>
      <c r="I128" s="335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xr:uid="{8264A85A-5E7A-4324-895D-615C7834A1C9}">
      <formula1>"0,5%,10%"</formula1>
    </dataValidation>
    <dataValidation type="list" allowBlank="1" showInputMessage="1" showErrorMessage="1" sqref="H59" xr:uid="{9A240939-D13A-4A3A-9DCC-62E21B8FB94B}">
      <formula1>"非个人房产,个人住宅（满五唯一有凭证）,个人其他（有凭证）,个人其他（无凭证）"</formula1>
    </dataValidation>
    <dataValidation type="list" allowBlank="1" showInputMessage="1" showErrorMessage="1" sqref="E103" xr:uid="{CFA2CB11-A27A-4462-AA35-8F74326CB155}">
      <formula1>"2.估价师知悉的法定优先受偿款,2.估价师知悉的除抵押担保权以外的法定优先受偿款"</formula1>
    </dataValidation>
    <dataValidation type="list" allowBlank="1" showInputMessage="1" showErrorMessage="1" sqref="G77" xr:uid="{56BFA662-E2BE-442A-BDC5-3D0EC0CC21CA}">
      <formula1>"个人住宅,2016年5月1日前购买,2016年5月1日后购买"</formula1>
    </dataValidation>
    <dataValidation type="list" allowBlank="1" showInputMessage="1" showErrorMessage="1" sqref="C1" xr:uid="{FE272A66-EF07-4523-89F7-5C347DEF5203}">
      <formula1>项目类型</formula1>
    </dataValidation>
    <dataValidation type="list" allowBlank="1" showInputMessage="1" showErrorMessage="1" sqref="I1" xr:uid="{ED9E9D88-CEC3-439F-9C8C-70C21847D9FB}">
      <formula1>"项目局部,项目全部,——"</formula1>
    </dataValidation>
    <dataValidation type="list" showInputMessage="1" showErrorMessage="1" sqref="G1" xr:uid="{DB8D9B30-2213-498D-9B89-2E16696D0E77}">
      <formula1>"现房,在建,土地,-"</formula1>
    </dataValidation>
    <dataValidation type="list" allowBlank="1" showInputMessage="1" showErrorMessage="1" sqref="C129" xr:uid="{EEE5A609-40F7-44C2-BC33-82A6CC3F5967}">
      <formula1>"无,有"</formula1>
    </dataValidation>
    <dataValidation type="list" allowBlank="1" showInputMessage="1" showErrorMessage="1" sqref="F116:G116" xr:uid="{F2486656-718A-4887-86AD-6912FB290ED7}">
      <formula1>"建筑物价值,在建建筑物价值,建筑物/在建建筑物价值"</formula1>
    </dataValidation>
    <dataValidation type="list" allowBlank="1" showInputMessage="1" showErrorMessage="1" sqref="D116:E116" xr:uid="{B336521F-C5E3-4B02-9FF3-BDD8A462B074}">
      <formula1>"出让国有建设用地使用权价值,划拨国有建设用地使用权价值"</formula1>
    </dataValidation>
    <dataValidation type="list" allowBlank="1" showInputMessage="1" showErrorMessage="1" sqref="C116:C117" xr:uid="{E985182F-E5EE-498B-A362-1A7AA7EDACA0}">
      <formula1>"土地面积,分摊土地面积,（分摊）土地面积"</formula1>
    </dataValidation>
    <dataValidation type="list" allowBlank="1" showInputMessage="1" showErrorMessage="1" sqref="B116:B117" xr:uid="{E4A9D445-D7AF-4A8C-A663-0B82EB435A64}">
      <formula1>"建筑面积,规划建筑面积,（规划）建筑面积"</formula1>
    </dataValidation>
    <dataValidation type="list" allowBlank="1" showInputMessage="1" showErrorMessage="1" sqref="D36" xr:uid="{457DED3D-B9B7-48FF-9707-1A406389ADCB}">
      <formula1>"同一抵押权人同一抵押物续贷,注销后放款,正常操作"</formula1>
    </dataValidation>
    <dataValidation type="list" allowBlank="1" showInputMessage="1" showErrorMessage="1" sqref="F75" xr:uid="{E7F82C02-7C64-4298-B3BB-1358A1B5B540}">
      <formula1>"买卖合同,购房发票"</formula1>
    </dataValidation>
    <dataValidation type="list" allowBlank="1" showInputMessage="1" showErrorMessage="1" sqref="H88" xr:uid="{8DEEBA4C-8B3B-48D8-A8C4-415317EBDE39}">
      <formula1>"仅含出让金,出让金+开发费"</formula1>
    </dataValidation>
    <dataValidation type="list" allowBlank="1" showInputMessage="1" showErrorMessage="1" sqref="H91" xr:uid="{97CD6FD5-C8F9-421E-A4F7-306191C59E8C}">
      <formula1>"企业提供（在右侧录入）,——"</formula1>
    </dataValidation>
    <dataValidation type="list" allowBlank="1" showInputMessage="1" showErrorMessage="1" sqref="C33" xr:uid="{889AAF42-4821-4B9B-B3C5-34EF81B46BE4}">
      <formula1>"成本比率,收益比率,自定义"</formula1>
    </dataValidation>
    <dataValidation type="list" allowBlank="1" showInputMessage="1" showErrorMessage="1" sqref="F45" xr:uid="{A5FD0B90-FDE5-4023-BEF2-1D4380FD8787}">
      <formula1>"100%,70%,56%"</formula1>
    </dataValidation>
    <dataValidation type="list" allowBlank="1" showInputMessage="1" showErrorMessage="1" sqref="D32" xr:uid="{BA2A16A0-CD60-45BC-AD1A-BCD0BCEA1964}">
      <formula1>"总价,楼面单价"</formula1>
    </dataValidation>
    <dataValidation type="list" allowBlank="1" showInputMessage="1" showErrorMessage="1" sqref="H58" xr:uid="{6D6A9ED9-F67B-429E-9683-D8580A046BF0}">
      <formula1>"转让取得,自行开发建设"</formula1>
    </dataValidation>
    <dataValidation type="list" allowBlank="1" showInputMessage="1" showErrorMessage="1" sqref="H48" xr:uid="{0AC812F0-B5DA-45AA-83C0-D7365F46B633}">
      <formula1>"情况1,情况2,情况3,情况4"</formula1>
    </dataValidation>
    <dataValidation type="list" allowBlank="1" showInputMessage="1" showErrorMessage="1" sqref="H55:H56" xr:uid="{59BD8B3A-CDC7-4171-B925-CE796B01B9D2}">
      <formula1>"个人住宅,正常"</formula1>
    </dataValidation>
    <dataValidation type="list" allowBlank="1" showInputMessage="1" showErrorMessage="1" sqref="C4:D4 D33" xr:uid="{CC79957D-7EB6-4129-9238-5C6CCFD72CA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t="s">
        <v>3533</v>
      </c>
      <c r="C1" s="190"/>
      <c r="D1" s="190"/>
      <c r="E1" s="190"/>
      <c r="F1" s="190"/>
      <c r="G1" s="1062">
        <f>MATCH(B1,'数据-取费表'!A6:A16,0)+5</f>
        <v>7</v>
      </c>
    </row>
    <row r="2" spans="1:9" s="192" customFormat="1" ht="18" customHeight="1">
      <c r="A2" s="193" t="s">
        <v>1460</v>
      </c>
      <c r="B2" s="194">
        <f ca="1">IF(D2="——",C52,C52-E2)</f>
        <v>123821</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10166</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20044</v>
      </c>
      <c r="D5" s="203" t="s">
        <v>1467</v>
      </c>
      <c r="E5" s="204" t="s">
        <v>1468</v>
      </c>
      <c r="F5" s="204" t="s">
        <v>1469</v>
      </c>
      <c r="G5" s="205"/>
    </row>
    <row r="6" spans="1:9" s="206" customFormat="1" ht="13.5" customHeight="1">
      <c r="A6" s="732" t="s">
        <v>1470</v>
      </c>
      <c r="B6" s="207" t="s">
        <v>1471</v>
      </c>
      <c r="C6" s="208">
        <f>基准地价修正!B2</f>
        <v>16869</v>
      </c>
      <c r="D6" s="209"/>
      <c r="E6" s="210"/>
      <c r="F6" s="210"/>
      <c r="G6" s="211"/>
    </row>
    <row r="7" spans="1:9" s="206" customFormat="1" ht="13.5" customHeight="1">
      <c r="A7" s="732" t="s">
        <v>1472</v>
      </c>
      <c r="B7" s="207" t="s">
        <v>1473</v>
      </c>
      <c r="C7" s="212">
        <f>ROUND(C6*F7,0)</f>
        <v>515</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2660</v>
      </c>
      <c r="D8" s="214"/>
      <c r="E8" s="212"/>
      <c r="F8" s="213"/>
      <c r="G8" s="1714" t="s">
        <v>3530</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3531</v>
      </c>
      <c r="H9" s="1070"/>
      <c r="I9" s="1716" t="s">
        <v>1477</v>
      </c>
    </row>
    <row r="10" spans="1:9" s="206" customFormat="1" ht="13.5" customHeight="1">
      <c r="A10" s="733" t="s">
        <v>356</v>
      </c>
      <c r="B10" s="216" t="s">
        <v>1478</v>
      </c>
      <c r="C10" s="217">
        <f ca="1">ROUND(D10*E10/10000,0)</f>
        <v>2660</v>
      </c>
      <c r="D10" s="795">
        <f ca="1">IF(B1="",'数据-汇总表'!E6,IF(INDIRECT("'数据-取费表'!c"&amp;$G$1)="住宅",INDIRECT("'数据-取费表'!s"&amp;$G$1),INDIRECT("'数据-取费表'!k"&amp;$G$1)+INDIRECT("'数据-取费表'!s"&amp;$G$1)))</f>
        <v>133012.65</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133012.65</v>
      </c>
      <c r="E19" s="203">
        <f>'数据-取费表'!B31</f>
        <v>200</v>
      </c>
      <c r="F19" s="223"/>
      <c r="G19" s="1714" t="s">
        <v>3532</v>
      </c>
    </row>
    <row r="20" spans="1:7" s="206" customFormat="1" ht="13.5" customHeight="1">
      <c r="A20" s="247" t="s">
        <v>1491</v>
      </c>
      <c r="B20" s="202" t="s">
        <v>1492</v>
      </c>
      <c r="C20" s="224">
        <f ca="1">ROUND((C5+C19)*F20,0)</f>
        <v>601</v>
      </c>
      <c r="D20" s="224"/>
      <c r="E20" s="224"/>
      <c r="F20" s="225">
        <f>'数据-取费表'!B37</f>
        <v>0.03</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2048</v>
      </c>
      <c r="D22" s="227">
        <f ca="1">C26</f>
        <v>1.5E-3</v>
      </c>
      <c r="E22" s="228" t="s">
        <v>1496</v>
      </c>
      <c r="F22" s="229">
        <f ca="1">'数据-取费表'!B40</f>
        <v>3.2500000000000001E-2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2018</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30</v>
      </c>
      <c r="D25" s="230"/>
      <c r="E25" s="233"/>
      <c r="F25" s="231"/>
      <c r="G25" s="234" t="s">
        <v>1508</v>
      </c>
    </row>
    <row r="26" spans="1:7" s="206" customFormat="1">
      <c r="A26" s="734" t="s">
        <v>350</v>
      </c>
      <c r="B26" s="207" t="s">
        <v>1509</v>
      </c>
      <c r="C26" s="230">
        <f ca="1">ROUND(IF('数据-取费表'!B22&lt;=1,F21*F22*'数据-取费表'!B23/2,F21*(POWER((1+F22),'数据-取费表'!B23/2)-1)),4)</f>
        <v>1.5E-3</v>
      </c>
      <c r="D26" s="230"/>
      <c r="E26" s="233"/>
      <c r="F26" s="231"/>
      <c r="G26" s="235"/>
    </row>
    <row r="27" spans="1:7" s="206" customFormat="1" ht="24.75">
      <c r="A27" s="247" t="s">
        <v>1510</v>
      </c>
      <c r="B27" s="236" t="s">
        <v>1511</v>
      </c>
      <c r="C27" s="237">
        <f ca="1">C28</f>
        <v>1032</v>
      </c>
      <c r="D27" s="227">
        <f ca="1">C29</f>
        <v>1.5E-3</v>
      </c>
      <c r="E27" s="228" t="s">
        <v>1512</v>
      </c>
      <c r="F27" s="238">
        <f ca="1">IF(B1="",'数据-取费表'!Q16,INDIRECT("'数据-取费表'!q"&amp;$G$1))</f>
        <v>0.05</v>
      </c>
      <c r="G27" s="239" t="s">
        <v>1513</v>
      </c>
    </row>
    <row r="28" spans="1:7" s="206" customFormat="1" ht="13.5" customHeight="1">
      <c r="A28" s="734" t="s">
        <v>346</v>
      </c>
      <c r="B28" s="240" t="s">
        <v>1514</v>
      </c>
      <c r="C28" s="241">
        <f ca="1">ROUND((C5+C19+C20)*F27*'数据-取费表'!B21/'数据-取费表'!B20,0)</f>
        <v>1032</v>
      </c>
      <c r="D28" s="227"/>
      <c r="E28" s="228"/>
      <c r="F28" s="238"/>
      <c r="G28" s="239"/>
    </row>
    <row r="29" spans="1:7" s="206" customFormat="1" ht="13.5" customHeight="1">
      <c r="A29" s="734" t="s">
        <v>347</v>
      </c>
      <c r="B29" s="240" t="s">
        <v>1515</v>
      </c>
      <c r="C29" s="230">
        <f ca="1">ROUND(C21*F27*'数据-取费表'!B21/'数据-取费表'!B20,4)</f>
        <v>1.5E-3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25966</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83133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73157</v>
      </c>
      <c r="D34" s="209"/>
      <c r="E34" s="212"/>
      <c r="F34" s="249">
        <f ca="1">IF('数据-取费表'!B24=0,1,IF(B1="",'数据-取费表'!N16,INDIRECT("'数据-取费表'!n"&amp;$G$1)))</f>
        <v>1</v>
      </c>
      <c r="G34" s="211" t="s">
        <v>1524</v>
      </c>
    </row>
    <row r="35" spans="1:7" ht="13.5" customHeight="1">
      <c r="A35" s="734" t="s">
        <v>351</v>
      </c>
      <c r="B35" s="207" t="s">
        <v>1525</v>
      </c>
      <c r="C35" s="212">
        <f ca="1">ROUND(C34*F35,0)</f>
        <v>5853</v>
      </c>
      <c r="D35" s="212"/>
      <c r="E35" s="212"/>
      <c r="F35" s="251">
        <f>'数据-取费表'!B33</f>
        <v>0.08</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2660</v>
      </c>
      <c r="D37" s="209">
        <f ca="1">D19</f>
        <v>133012.65</v>
      </c>
      <c r="E37" s="241">
        <f>'数据-取费表'!B35</f>
        <v>200</v>
      </c>
      <c r="F37" s="251"/>
      <c r="G37" s="253" t="s">
        <v>1530</v>
      </c>
    </row>
    <row r="38" spans="1:7" ht="13.5" customHeight="1">
      <c r="A38" s="734" t="s">
        <v>354</v>
      </c>
      <c r="B38" s="207" t="s">
        <v>1531</v>
      </c>
      <c r="C38" s="212">
        <f ca="1">ROUND(C34*F38,0)</f>
        <v>1463</v>
      </c>
      <c r="D38" s="212"/>
      <c r="E38" s="212"/>
      <c r="F38" s="251">
        <f>'数据-取费表'!B36</f>
        <v>0.02</v>
      </c>
      <c r="G38" s="211" t="s">
        <v>1526</v>
      </c>
    </row>
    <row r="39" spans="1:7" s="206" customFormat="1" ht="13.5" customHeight="1">
      <c r="A39" s="247" t="s">
        <v>1532</v>
      </c>
      <c r="B39" s="202" t="s">
        <v>1533</v>
      </c>
      <c r="C39" s="224">
        <f ca="1">ROUND(C33*F20,0)</f>
        <v>2494</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4208</v>
      </c>
      <c r="D41" s="227">
        <f ca="1">C44</f>
        <v>1.5E-3</v>
      </c>
      <c r="E41" s="228" t="s">
        <v>1537</v>
      </c>
      <c r="F41" s="229">
        <f ca="1">F22</f>
        <v>3.2500000000000001E-2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4085</v>
      </c>
      <c r="D42" s="230"/>
      <c r="E42" s="230"/>
      <c r="F42" s="231"/>
      <c r="G42" s="3439" t="s">
        <v>1542</v>
      </c>
    </row>
    <row r="43" spans="1:7" ht="13.5" customHeight="1">
      <c r="A43" s="734" t="s">
        <v>347</v>
      </c>
      <c r="B43" s="207" t="s">
        <v>1543</v>
      </c>
      <c r="C43" s="230">
        <f ca="1">ROUND(IF('数据-取费表'!B22&lt;=1,C39*F22*'数据-取费表'!B21/2,C39*(POWER((1+F22),'数据-取费表'!B21/2)-1)),0)</f>
        <v>123</v>
      </c>
      <c r="D43" s="230"/>
      <c r="E43" s="230"/>
      <c r="F43" s="231"/>
      <c r="G43" s="3440"/>
    </row>
    <row r="44" spans="1:7" ht="13.5" customHeight="1">
      <c r="A44" s="734" t="s">
        <v>348</v>
      </c>
      <c r="B44" s="207" t="s">
        <v>1544</v>
      </c>
      <c r="C44" s="230">
        <f ca="1">ROUND(IF('数据-取费表'!B22&lt;=1,C40*F22*'数据-取费表'!B21/2,C40*(POWER((1+F22),'数据-取费表'!B21/2)-1)),4)</f>
        <v>1.5E-3</v>
      </c>
      <c r="D44" s="230"/>
      <c r="E44" s="230"/>
      <c r="F44" s="231"/>
      <c r="G44" s="3441"/>
    </row>
    <row r="45" spans="1:7" s="206" customFormat="1" ht="13.5" customHeight="1">
      <c r="A45" s="247" t="s">
        <v>1545</v>
      </c>
      <c r="B45" s="236" t="s">
        <v>1511</v>
      </c>
      <c r="C45" s="237">
        <f ca="1">C46</f>
        <v>4281</v>
      </c>
      <c r="D45" s="227">
        <f ca="1">C47</f>
        <v>1.5E-3</v>
      </c>
      <c r="E45" s="228" t="s">
        <v>1537</v>
      </c>
      <c r="F45" s="238">
        <f ca="1">F27</f>
        <v>0.05</v>
      </c>
      <c r="G45" s="239" t="s">
        <v>1546</v>
      </c>
    </row>
    <row r="46" spans="1:7" s="206" customFormat="1" ht="13.5" customHeight="1">
      <c r="A46" s="734" t="s">
        <v>346</v>
      </c>
      <c r="B46" s="240" t="s">
        <v>1547</v>
      </c>
      <c r="C46" s="241">
        <f ca="1">ROUND((C33+C39)*F27,0)</f>
        <v>4281</v>
      </c>
      <c r="D46" s="255"/>
      <c r="E46" s="228"/>
      <c r="F46" s="238"/>
      <c r="G46" s="239"/>
    </row>
    <row r="47" spans="1:7" s="206" customFormat="1" ht="13.5" customHeight="1">
      <c r="A47" s="734" t="s">
        <v>347</v>
      </c>
      <c r="B47" s="240" t="s">
        <v>1548</v>
      </c>
      <c r="C47" s="230">
        <f ca="1">ROUND(C40*F27,4)</f>
        <v>1.5E-3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103005</v>
      </c>
      <c r="D49" s="224"/>
      <c r="E49" s="224"/>
      <c r="F49" s="256"/>
      <c r="G49" s="226" t="s">
        <v>1552</v>
      </c>
    </row>
    <row r="50" spans="1:7" s="250" customFormat="1" ht="24">
      <c r="A50" s="247" t="s">
        <v>1553</v>
      </c>
      <c r="B50" s="202" t="s">
        <v>1554</v>
      </c>
      <c r="C50" s="224"/>
      <c r="D50" s="224"/>
      <c r="E50" s="224"/>
      <c r="F50" s="256">
        <f>IF('数据-取费表'!B24=0,'数据-取费表'!N16,1)</f>
        <v>0.95</v>
      </c>
      <c r="G50" s="239" t="s">
        <v>1555</v>
      </c>
    </row>
    <row r="51" spans="1:7" ht="16.5" customHeight="1">
      <c r="A51" s="247" t="s">
        <v>1556</v>
      </c>
      <c r="B51" s="202" t="s">
        <v>1557</v>
      </c>
      <c r="C51" s="224">
        <f ca="1">ROUND(C49*F50,0)</f>
        <v>97855</v>
      </c>
      <c r="D51" s="224"/>
      <c r="E51" s="224"/>
      <c r="F51" s="256"/>
      <c r="G51" s="226" t="s">
        <v>1558</v>
      </c>
    </row>
    <row r="52" spans="1:7" s="200" customFormat="1" ht="16.5" thickBot="1">
      <c r="A52" s="257" t="s">
        <v>1559</v>
      </c>
      <c r="B52" s="258"/>
      <c r="C52" s="259">
        <f ca="1">C31+C51</f>
        <v>123821</v>
      </c>
      <c r="D52" s="258"/>
      <c r="E52" s="258"/>
      <c r="F52" s="258"/>
      <c r="G52" s="260"/>
    </row>
    <row r="55" spans="1:7" ht="15">
      <c r="B55" s="262" t="s">
        <v>1560</v>
      </c>
      <c r="C55" s="263"/>
    </row>
    <row r="56" spans="1:7">
      <c r="B56" s="265" t="s">
        <v>800</v>
      </c>
      <c r="C56" s="267">
        <f ca="1">1-C57</f>
        <v>0.20999999999999996</v>
      </c>
    </row>
    <row r="57" spans="1:7">
      <c r="B57" s="265" t="s">
        <v>801</v>
      </c>
      <c r="C57" s="266">
        <f ca="1">ROUND(C51/C52,3)</f>
        <v>0.79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0" zoomScaleNormal="80" zoomScaleSheetLayoutView="100" workbookViewId="0">
      <selection activeCell="G23" sqref="G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121804.97</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16869</v>
      </c>
      <c r="C2" s="1846" t="s">
        <v>1933</v>
      </c>
      <c r="D2" s="162" t="s">
        <v>1934</v>
      </c>
      <c r="E2" s="3121" t="s">
        <v>3394</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Ⅴ-17</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11068</v>
      </c>
      <c r="U2" s="1130"/>
      <c r="V2" s="3064">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1385</v>
      </c>
      <c r="C3" s="1846" t="s">
        <v>1939</v>
      </c>
      <c r="D3" s="162" t="s">
        <v>1940</v>
      </c>
      <c r="E3" s="3119" t="s">
        <v>2447</v>
      </c>
      <c r="F3" s="1848" t="s">
        <v>3516</v>
      </c>
      <c r="G3" s="708">
        <f>IF(F3="宗地容积率",'数据-汇总表'!I4,IF(F3="估价对象容积率",'数据-汇总表'!I6,'数据-汇总表'!I7))</f>
        <v>1.75</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8724</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95"/>
      <c r="B4" s="3496"/>
      <c r="C4" s="3496"/>
      <c r="D4" s="3497"/>
      <c r="E4" s="3497"/>
      <c r="F4" s="3497"/>
      <c r="G4" s="3497"/>
      <c r="H4" s="3497"/>
      <c r="I4" s="3497"/>
      <c r="J4" s="349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7373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9585</v>
      </c>
      <c r="D5" s="1252">
        <f>ROUND(C6*C17+C20,0)</f>
        <v>9585</v>
      </c>
      <c r="E5" s="1252"/>
      <c r="F5" s="1851"/>
      <c r="G5" s="1852"/>
      <c r="H5" s="1852"/>
      <c r="I5" s="1852"/>
      <c r="J5" s="1853"/>
      <c r="K5" s="1854"/>
      <c r="L5" s="1847" t="s">
        <v>1946</v>
      </c>
      <c r="M5" s="811">
        <f>SUMPRODUCT((区片价!B87:B126=I2)*(区片价!C3:G3=E2)*(区片价!C87:G126))</f>
        <v>9610</v>
      </c>
      <c r="N5" s="813">
        <f>SUMPRODUCT((因素修正幅度!B87:B126=I2)*(因素修正幅度!C3:G3=E2)*(因素修正幅度!C87:G126))</f>
        <v>0.1</v>
      </c>
      <c r="O5" s="1056"/>
      <c r="P5" s="1056"/>
      <c r="Q5" s="1056"/>
      <c r="R5" s="1129">
        <v>4</v>
      </c>
      <c r="S5" s="3064">
        <f>ROUND(SUMPRODUCT((B106:B110=R5)*(C105:N105=G2)*(C106:N110)),4)</f>
        <v>0.88239999999999996</v>
      </c>
      <c r="T5" s="3064">
        <f t="shared" si="0"/>
        <v>6503</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9610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6249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五级</v>
      </c>
      <c r="Y7" s="1131" t="s">
        <v>1954</v>
      </c>
      <c r="Z7" s="1132">
        <f>G3</f>
        <v>1.75</v>
      </c>
      <c r="AA7" s="1133"/>
      <c r="AB7" s="1133"/>
      <c r="AC7" s="1134"/>
      <c r="AD7" s="1135"/>
      <c r="AE7" s="1135"/>
      <c r="AF7" s="1135"/>
      <c r="AG7" s="1135"/>
      <c r="AH7" s="1135"/>
      <c r="AI7" s="1135"/>
      <c r="AJ7" s="1136"/>
    </row>
    <row r="8" spans="1:36" ht="25.5">
      <c r="A8" s="3010"/>
      <c r="B8" s="162" t="s">
        <v>1955</v>
      </c>
      <c r="C8" s="1870" t="s">
        <v>3517</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92" t="s">
        <v>1958</v>
      </c>
      <c r="X8" s="349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94"/>
      <c r="X9" s="3065" t="s">
        <v>3255</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9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99" t="s">
        <v>3243</v>
      </c>
      <c r="B20" s="159" t="s">
        <v>1992</v>
      </c>
      <c r="C20" s="3032">
        <f>ROUND(IF(F21="与级别开发程度一致",0,(G21-E21)/C21),0)</f>
        <v>-25</v>
      </c>
      <c r="D20" s="3047" t="s">
        <v>1996</v>
      </c>
      <c r="E20" s="3048"/>
      <c r="F20" s="3505" t="s">
        <v>1993</v>
      </c>
      <c r="G20" s="3506"/>
      <c r="H20" s="3033" t="s">
        <v>3519</v>
      </c>
      <c r="I20" s="3033" t="s">
        <v>3520</v>
      </c>
      <c r="J20" s="3034" t="s">
        <v>3521</v>
      </c>
      <c r="K20" s="1889" t="s">
        <v>3522</v>
      </c>
      <c r="L20" s="1889" t="s">
        <v>3523</v>
      </c>
      <c r="M20" s="1889" t="s">
        <v>3524</v>
      </c>
      <c r="N20" s="1889" t="s">
        <v>3525</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00"/>
      <c r="B21" s="2002" t="s">
        <v>1995</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t="s">
        <v>3518</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SUMIF(修正!C20:C53,E3,修正!E20:E53)</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96" t="s">
        <v>2000</v>
      </c>
      <c r="E23" s="717">
        <v>44197</v>
      </c>
      <c r="F23" s="1896" t="s">
        <v>2001</v>
      </c>
      <c r="G23" s="718">
        <f>'数据-取费表'!B2</f>
        <v>45944</v>
      </c>
      <c r="H23" s="3049" t="s">
        <v>3526</v>
      </c>
      <c r="I23" s="3050" t="str">
        <f>IF(H23="季度增幅（自定义）",SUMIF(N25:N28,E2,O25:O28),"")</f>
        <v/>
      </c>
      <c r="J23" s="3142" t="s">
        <v>3527</v>
      </c>
      <c r="K23" s="1061"/>
      <c r="L23" s="1897" t="s">
        <v>2002</v>
      </c>
      <c r="M23" s="1241">
        <f>ROUND(SUMIF(地价!B2:G2,E2,地价!B16:G16),0)</f>
        <v>0</v>
      </c>
      <c r="N23" s="1898" t="s">
        <v>2003</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0.9385</v>
      </c>
      <c r="D24" s="1902" t="s">
        <v>2005</v>
      </c>
      <c r="E24" s="1248">
        <f>存贷款利率!E28/100</f>
        <v>4.3499999999999997E-2</v>
      </c>
      <c r="F24" s="1902" t="s">
        <v>1997</v>
      </c>
      <c r="G24" s="724">
        <f>SUMIF(M30:Q30,E2,M33:Q33)</f>
        <v>0.05</v>
      </c>
      <c r="H24" s="1902" t="s">
        <v>2006</v>
      </c>
      <c r="I24" s="725">
        <f>SUMIF('数据-取费表'!C6:C15,E2,'数据-取费表'!F6:F15)/COUNTIF('数据-取费表'!C6:C15,E2)</f>
        <v>39.81</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3322</v>
      </c>
      <c r="C25" s="461">
        <f>IF(B25="容积率修正",IF(G3&lt;10,D26,J26),C27)</f>
        <v>1.0309999999999999</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3244</v>
      </c>
      <c r="D26" s="1263">
        <f>IF(E26=G26,F26,IF(G3&lt;10,ROUND(F26+(H26-F26)*(G3-E26)/(G26-E26),4),"——"))</f>
        <v>1.0309999999999999</v>
      </c>
      <c r="E26" s="708">
        <f>ROUNDDOWN(G3,1)</f>
        <v>1.7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1.0376000000000001</v>
      </c>
      <c r="G26" s="708">
        <f>ROUNDUP(G3,1)</f>
        <v>1.8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1.0243</v>
      </c>
      <c r="I26" s="1912" t="s">
        <v>3245</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1.044</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16869</v>
      </c>
      <c r="D30" s="1925"/>
      <c r="E30" s="1842"/>
      <c r="F30" s="1926"/>
      <c r="G30" s="1842"/>
      <c r="H30" s="1842"/>
      <c r="I30" s="1842"/>
      <c r="J30" s="1927"/>
      <c r="K30" s="1056"/>
      <c r="L30" s="3056" t="s">
        <v>1934</v>
      </c>
      <c r="M30" s="3057" t="s">
        <v>1988</v>
      </c>
      <c r="N30" s="3057" t="s">
        <v>1989</v>
      </c>
      <c r="O30" s="3057" t="s">
        <v>1990</v>
      </c>
      <c r="P30" s="3057" t="s">
        <v>1991</v>
      </c>
      <c r="Q30" s="3060" t="s">
        <v>3249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4217</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7598</v>
      </c>
      <c r="D33" s="1940"/>
      <c r="E33" s="727">
        <f>ROUND(C33*D33/10000,0)</f>
        <v>0</v>
      </c>
      <c r="F33" s="3051" t="s">
        <v>3247</v>
      </c>
      <c r="G33" s="1941"/>
      <c r="H33" s="1941"/>
      <c r="I33" s="1941"/>
      <c r="J33" s="1942"/>
      <c r="K33" s="1056"/>
      <c r="L33" s="3054" t="s">
        <v>3250</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1900</v>
      </c>
      <c r="D34" s="1945"/>
      <c r="E34" s="727">
        <f>ROUND(IF(B25="楼层修正",SUM(V2:V16)*M40,C34*D34/10000),0)</f>
        <v>0</v>
      </c>
      <c r="F34" s="1946" t="s">
        <v>2030</v>
      </c>
      <c r="G34" s="1947"/>
      <c r="H34" s="1947"/>
      <c r="I34" s="1947"/>
      <c r="J34" s="1948"/>
      <c r="K34" s="1056"/>
      <c r="L34" s="3054" t="s">
        <v>3251</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3248</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3252</v>
      </c>
      <c r="L36" s="3143">
        <f ca="1">'数据-取费表'!B40</f>
        <v>3.2500000000000001E-2</v>
      </c>
      <c r="M36" s="2366">
        <f ca="1">ROUND($L$36*(1+M31),3)</f>
        <v>4.1000000000000002E-2</v>
      </c>
      <c r="N36" s="2366">
        <f ca="1">ROUND($L$36*(1+N31),3)</f>
        <v>3.9E-2</v>
      </c>
      <c r="O36" s="2366">
        <f ca="1">ROUND($L$36*(1+O31),3)</f>
        <v>3.6999999999999998E-2</v>
      </c>
      <c r="P36" s="2366">
        <f ca="1">ROUND($L$36*(1+P31),3)</f>
        <v>3.5999999999999997E-2</v>
      </c>
      <c r="Q36" s="2366">
        <f ca="1">ROUND($L$36*(1+Q31),3)</f>
        <v>3.6999999999999998E-2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3"/>
      <c r="B37" s="1955" t="s">
        <v>2034</v>
      </c>
      <c r="C37" s="167">
        <f>ROUND(D5*C22*C23*C24*C28*F37,0)</f>
        <v>4422</v>
      </c>
      <c r="D37" s="1940"/>
      <c r="E37" s="163">
        <f>ROUND(C37*D37/10000,0)</f>
        <v>0</v>
      </c>
      <c r="F37" s="163">
        <f>SUMIF(修正!A59:A70,G2,修正!B59:B70)</f>
        <v>0.6</v>
      </c>
      <c r="G37" s="163">
        <f>ROUND(IF(E2="工业",C37*$M$42,C37*$M$41),0)</f>
        <v>1106</v>
      </c>
      <c r="H37" s="163">
        <f>D37</f>
        <v>0</v>
      </c>
      <c r="I37" s="163">
        <f>ROUND(G37*H37/10000,0)</f>
        <v>0</v>
      </c>
      <c r="J37" s="2755"/>
      <c r="K37" s="3062" t="s">
        <v>3253</v>
      </c>
      <c r="L37" s="1964">
        <f ca="1">L36+K38</f>
        <v>3.7499999999999999E-2</v>
      </c>
      <c r="M37" s="2366">
        <f ca="1">ROUND($L$37*(1+M31),3)</f>
        <v>4.7E-2</v>
      </c>
      <c r="N37" s="2366">
        <f t="shared" ref="N37:Q37" ca="1" si="3">ROUND($L$37*(1+N31),3)</f>
        <v>4.4999999999999998E-2</v>
      </c>
      <c r="O37" s="2366">
        <f t="shared" ca="1" si="3"/>
        <v>4.2999999999999997E-2</v>
      </c>
      <c r="P37" s="2366">
        <f t="shared" ca="1" si="3"/>
        <v>4.1000000000000002E-2</v>
      </c>
      <c r="Q37" s="2366">
        <f t="shared" ca="1" si="3"/>
        <v>4.2999999999999997E-2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4"/>
      <c r="B38" s="1884" t="s">
        <v>2035</v>
      </c>
      <c r="C38" s="167">
        <f>ROUND(D5*C22*C23*C24*C28*F38,0)</f>
        <v>2211</v>
      </c>
      <c r="D38" s="1940"/>
      <c r="E38" s="163">
        <f t="shared" ref="E38:E42" si="4">ROUND(C38*D38/10000,0)</f>
        <v>0</v>
      </c>
      <c r="F38" s="163">
        <f>SUMIF(修正!A59:A70,G2,修正!C59:C70)</f>
        <v>0.3</v>
      </c>
      <c r="G38" s="163">
        <f>ROUND(IF(E2="工业",C38*$M$42,C38*$M$41),0)</f>
        <v>553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4"/>
      <c r="B39" s="1884" t="s">
        <v>3246</v>
      </c>
      <c r="C39" s="167">
        <f>ROUND(D5*C22*C23*C24*C28*F39,0)</f>
        <v>1842</v>
      </c>
      <c r="D39" s="1940"/>
      <c r="E39" s="163">
        <f t="shared" si="4"/>
        <v>0</v>
      </c>
      <c r="F39" s="163">
        <f>SUMIF(修正!A59:A70,G2,修正!D59:D70)</f>
        <v>0.25</v>
      </c>
      <c r="G39" s="163">
        <f>ROUND(IF(E2="工业",C39*$M$42,C39*$M$41),0)</f>
        <v>461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1842</v>
      </c>
      <c r="D40" s="1940">
        <f>Sheet1!L9</f>
        <v>40850.480000000003</v>
      </c>
      <c r="E40" s="163">
        <f t="shared" si="4"/>
        <v>7525</v>
      </c>
      <c r="F40" s="167">
        <f>SUMIF(修正!A59:A70,G2,修正!E59:E70)</f>
        <v>0.25</v>
      </c>
      <c r="G40" s="163">
        <f>ROUND(IF(E2="工业",C40*$M$42,C40*$M$41),0)</f>
        <v>461</v>
      </c>
      <c r="H40" s="163">
        <f t="shared" si="5"/>
        <v>40850.480000000003</v>
      </c>
      <c r="I40" s="163">
        <f t="shared" si="6"/>
        <v>1883</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1842</v>
      </c>
      <c r="D41" s="1940">
        <f>Sheet1!L10</f>
        <v>5408.11</v>
      </c>
      <c r="E41" s="163">
        <f t="shared" si="4"/>
        <v>996</v>
      </c>
      <c r="F41" s="167">
        <f>SUMIF(修正!A59:A70,G2,修正!F59:F70)</f>
        <v>0.25</v>
      </c>
      <c r="G41" s="163">
        <f>ROUND(IF(E2="工业",C41*$M$42,C41*$M$41),0)</f>
        <v>461</v>
      </c>
      <c r="H41" s="163">
        <f t="shared" si="5"/>
        <v>5408.11</v>
      </c>
      <c r="I41" s="163">
        <f t="shared" si="6"/>
        <v>249</v>
      </c>
      <c r="J41" s="939"/>
      <c r="L41" s="3063" t="s">
        <v>3254</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1105</v>
      </c>
      <c r="D42" s="1945">
        <f>Sheet1!L8</f>
        <v>75546.38</v>
      </c>
      <c r="E42" s="179">
        <f t="shared" si="4"/>
        <v>8348</v>
      </c>
      <c r="F42" s="723">
        <f>SUMIF(修正!A59:A70,G2,修正!G59:G70)</f>
        <v>0.15</v>
      </c>
      <c r="G42" s="179">
        <f>ROUND(IF(E2="工业",C42*$M$42,C42*$M$41),0)</f>
        <v>276</v>
      </c>
      <c r="H42" s="179">
        <f t="shared" si="5"/>
        <v>75546.38</v>
      </c>
      <c r="I42" s="179">
        <f t="shared" si="6"/>
        <v>2085</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0.9385</v>
      </c>
      <c r="D44" s="163" t="s">
        <v>1997</v>
      </c>
      <c r="E44" s="1991">
        <f>G24</f>
        <v>0.05</v>
      </c>
      <c r="F44" s="163" t="s">
        <v>2006</v>
      </c>
      <c r="G44" s="175">
        <f>I24</f>
        <v>39.81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hidden="1">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hidden="1">
      <c r="A51" s="1970" t="s">
        <v>2051</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3256</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2057</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2058</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hidden="1" thickBot="1">
      <c r="A58" s="1977" t="s">
        <v>2059</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hidden="1">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hidden="1">
      <c r="A62" s="1970" t="s">
        <v>2051</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3256</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hidden="1">
      <c r="A67" s="1970" t="s">
        <v>2057</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70" t="s">
        <v>2058</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hidden="1" thickBot="1">
      <c r="A69" s="1977" t="s">
        <v>2059</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hidden="1">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hidden="1">
      <c r="A73" s="1970" t="s">
        <v>2051</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1" t="s">
        <v>3256</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hidden="1">
      <c r="A76" s="1970" t="s">
        <v>2057</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hidden="1">
      <c r="A77" s="1970" t="s">
        <v>2058</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hidden="1">
      <c r="A79" s="1970" t="s">
        <v>2059</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hidden="1">
      <c r="A81" s="1967" t="s">
        <v>2067</v>
      </c>
      <c r="B81" s="1968">
        <f>1+E83</f>
        <v>1</v>
      </c>
      <c r="C81" s="699"/>
      <c r="D81" s="699"/>
      <c r="E81" s="700"/>
      <c r="F81" s="1969"/>
      <c r="G81" s="3"/>
      <c r="H81" s="3"/>
      <c r="I81" s="3"/>
      <c r="J81" s="4"/>
      <c r="K81" s="4"/>
      <c r="L81" s="4"/>
      <c r="M81" s="4"/>
      <c r="N81" s="4"/>
      <c r="Z81" s="1845"/>
      <c r="AA81" s="1895"/>
      <c r="AG81" s="1058"/>
      <c r="AK81" s="1895"/>
    </row>
    <row r="82" spans="1:37" ht="24.75" hidden="1">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hidden="1">
      <c r="A83" s="1970" t="s">
        <v>2068</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hidden="1">
      <c r="A84" s="1970" t="s">
        <v>2051</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hidden="1">
      <c r="A85" s="3071" t="s">
        <v>3257</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hidden="1">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hidden="1">
      <c r="A87" s="1970" t="s">
        <v>2057</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hidden="1">
      <c r="A88" s="1970" t="s">
        <v>2058</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hidden="1">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hidden="1" thickBot="1">
      <c r="A90" s="1977" t="s">
        <v>2070</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2601</v>
      </c>
      <c r="B91" s="3080">
        <f>1+E93</f>
        <v>1.044</v>
      </c>
      <c r="C91" s="3073"/>
      <c r="D91" s="3074"/>
      <c r="E91" s="1675"/>
      <c r="F91" s="1675"/>
      <c r="G91" s="3075"/>
      <c r="H91" s="3076"/>
      <c r="I91" s="3077"/>
      <c r="J91" s="3078"/>
      <c r="K91" s="3078"/>
      <c r="L91" s="3078"/>
      <c r="M91" s="3078"/>
      <c r="N91" s="3078"/>
    </row>
    <row r="92" spans="1:37" ht="24.75">
      <c r="A92" s="3081" t="s">
        <v>3258</v>
      </c>
      <c r="B92" s="2310"/>
      <c r="C92" s="2310" t="s">
        <v>3267</v>
      </c>
      <c r="D92" s="2310" t="s">
        <v>3268</v>
      </c>
      <c r="E92" s="3053" t="s">
        <v>3269</v>
      </c>
      <c r="F92" s="3083" t="s">
        <v>3270</v>
      </c>
      <c r="G92" s="2310" t="s">
        <v>3271</v>
      </c>
      <c r="H92" s="3090" t="s">
        <v>3274</v>
      </c>
      <c r="I92" s="2310" t="s">
        <v>3275</v>
      </c>
      <c r="J92" s="2150" t="s">
        <v>3276</v>
      </c>
      <c r="K92" s="2150" t="s">
        <v>3277</v>
      </c>
      <c r="L92" s="2150" t="s">
        <v>3278</v>
      </c>
      <c r="M92" s="2150" t="s">
        <v>3279</v>
      </c>
      <c r="N92" s="2150" t="s">
        <v>3280</v>
      </c>
    </row>
    <row r="93" spans="1:37" ht="24">
      <c r="A93" s="3071" t="s">
        <v>3259</v>
      </c>
      <c r="B93" s="1221"/>
      <c r="C93" s="1887" t="s">
        <v>3528</v>
      </c>
      <c r="D93" s="2310">
        <f>SUMIF($J$92:$N$92,C93,J93:N93)</f>
        <v>1.2500000000000001E-2</v>
      </c>
      <c r="E93" s="3084">
        <f>ROUND(SUM(D93:D101),4)</f>
        <v>4.3999999999999997E-2</v>
      </c>
      <c r="F93" s="1675">
        <f>IF(E2="公共服务",SUMIF(L1:L12,G2,N1:N12),"——")</f>
        <v>0.1</v>
      </c>
      <c r="G93" s="3075">
        <f>H93</f>
        <v>1.2500000000000001E-2</v>
      </c>
      <c r="H93" s="3120">
        <f>IFERROR(ROUNDDOWN($F$93*I93/2,4),"——")</f>
        <v>1.2500000000000001E-2</v>
      </c>
      <c r="I93" s="3069">
        <v>0.25</v>
      </c>
      <c r="J93" s="1912">
        <f t="shared" ref="J93:J101" si="27">K93+$G93</f>
        <v>2.5000000000000001E-2</v>
      </c>
      <c r="K93" s="1912">
        <f t="shared" ref="K93:K101" si="28">$L93+$G93</f>
        <v>1.2500000000000001E-2</v>
      </c>
      <c r="L93" s="1912">
        <v>0</v>
      </c>
      <c r="M93" s="1912">
        <f t="shared" ref="M93:N101" si="29">L93-$G93</f>
        <v>-1.2500000000000001E-2</v>
      </c>
      <c r="N93" s="1912">
        <f t="shared" si="29"/>
        <v>-2.5000000000000001E-2</v>
      </c>
    </row>
    <row r="94" spans="1:37" ht="14.25">
      <c r="A94" s="3081" t="s">
        <v>3260</v>
      </c>
      <c r="B94" s="3072">
        <f>估价对象房地状况!C18</f>
        <v>0</v>
      </c>
      <c r="C94" s="1887" t="s">
        <v>3528</v>
      </c>
      <c r="D94" s="2310">
        <f t="shared" ref="D94:D101" si="30">SUMIF($J$60:$N$60,C94,J94:N94)</f>
        <v>1.2999999999999999E-2</v>
      </c>
      <c r="E94" s="3085"/>
      <c r="F94" s="1675"/>
      <c r="G94" s="3075">
        <f t="shared" ref="G94:G101" si="31">H94</f>
        <v>1.2999999999999999E-2</v>
      </c>
      <c r="H94" s="3120">
        <f>IFERROR(ROUNDDOWN($F$93*I94/2,4),"——")</f>
        <v>1.2999999999999999E-2</v>
      </c>
      <c r="I94" s="3069">
        <v>0.26</v>
      </c>
      <c r="J94" s="1912">
        <f t="shared" si="27"/>
        <v>2.5999999999999999E-2</v>
      </c>
      <c r="K94" s="1912">
        <f t="shared" si="28"/>
        <v>1.2999999999999999E-2</v>
      </c>
      <c r="L94" s="1912">
        <v>0</v>
      </c>
      <c r="M94" s="1912">
        <f t="shared" si="29"/>
        <v>-1.2999999999999999E-2</v>
      </c>
      <c r="N94" s="1912">
        <f t="shared" si="29"/>
        <v>-2.5999999999999999E-2</v>
      </c>
    </row>
    <row r="95" spans="1:37" ht="36">
      <c r="A95" s="3071" t="s">
        <v>3256</v>
      </c>
      <c r="B95" s="3072">
        <f>估价对象房地状况!C19</f>
        <v>0</v>
      </c>
      <c r="C95" s="1887" t="s">
        <v>3528</v>
      </c>
      <c r="D95" s="2310">
        <f t="shared" si="30"/>
        <v>5.4999999999999997E-3</v>
      </c>
      <c r="E95" s="3085"/>
      <c r="F95" s="1675"/>
      <c r="G95" s="3075">
        <f t="shared" si="31"/>
        <v>5.4999999999999997E-3</v>
      </c>
      <c r="H95" s="3120">
        <f t="shared" ref="H95:H101" si="32">IFERROR(ROUNDDOWN($F$93*I95/2,4),"——")</f>
        <v>5.4999999999999997E-3</v>
      </c>
      <c r="I95" s="3069">
        <v>0.11</v>
      </c>
      <c r="J95" s="1912">
        <f t="shared" si="27"/>
        <v>1.0999999999999999E-2</v>
      </c>
      <c r="K95" s="1912">
        <f t="shared" si="28"/>
        <v>5.4999999999999997E-3</v>
      </c>
      <c r="L95" s="1912">
        <v>0</v>
      </c>
      <c r="M95" s="1912">
        <f t="shared" si="29"/>
        <v>-5.4999999999999997E-3</v>
      </c>
      <c r="N95" s="1912">
        <f t="shared" si="29"/>
        <v>-1.0999999999999999E-2</v>
      </c>
    </row>
    <row r="96" spans="1:37" ht="36.75">
      <c r="A96" s="3081" t="s">
        <v>3261</v>
      </c>
      <c r="B96" s="3087" t="s">
        <v>3272</v>
      </c>
      <c r="C96" s="1887" t="s">
        <v>3528</v>
      </c>
      <c r="D96" s="2310">
        <f t="shared" si="30"/>
        <v>2.5000000000000001E-3</v>
      </c>
      <c r="E96" s="3085"/>
      <c r="F96" s="1675"/>
      <c r="G96" s="3075">
        <f t="shared" si="31"/>
        <v>2.5000000000000001E-3</v>
      </c>
      <c r="H96" s="3120">
        <f t="shared" si="32"/>
        <v>2.5000000000000001E-3</v>
      </c>
      <c r="I96" s="3069">
        <v>0.05</v>
      </c>
      <c r="J96" s="1912">
        <f t="shared" si="27"/>
        <v>5.0000000000000001E-3</v>
      </c>
      <c r="K96" s="1912">
        <f t="shared" si="28"/>
        <v>2.5000000000000001E-3</v>
      </c>
      <c r="L96" s="1912">
        <v>0</v>
      </c>
      <c r="M96" s="1912">
        <f t="shared" si="29"/>
        <v>-2.5000000000000001E-3</v>
      </c>
      <c r="N96" s="1912">
        <f t="shared" si="29"/>
        <v>-5.0000000000000001E-3</v>
      </c>
    </row>
    <row r="97" spans="1:14" ht="24">
      <c r="A97" s="3081" t="s">
        <v>3262</v>
      </c>
      <c r="B97" s="3072">
        <f>估价对象房地状况!C24</f>
        <v>0</v>
      </c>
      <c r="C97" s="1887" t="s">
        <v>3529</v>
      </c>
      <c r="D97" s="2310">
        <f t="shared" si="30"/>
        <v>0</v>
      </c>
      <c r="E97" s="3085"/>
      <c r="F97" s="1675"/>
      <c r="G97" s="3075">
        <f t="shared" si="31"/>
        <v>2.5000000000000001E-3</v>
      </c>
      <c r="H97" s="3120">
        <f t="shared" si="32"/>
        <v>2.5000000000000001E-3</v>
      </c>
      <c r="I97" s="3069">
        <v>0.05</v>
      </c>
      <c r="J97" s="1912">
        <f t="shared" si="27"/>
        <v>5.0000000000000001E-3</v>
      </c>
      <c r="K97" s="1912">
        <f t="shared" si="28"/>
        <v>2.5000000000000001E-3</v>
      </c>
      <c r="L97" s="1912">
        <v>0</v>
      </c>
      <c r="M97" s="1912">
        <f t="shared" si="29"/>
        <v>-2.5000000000000001E-3</v>
      </c>
      <c r="N97" s="1912">
        <f t="shared" si="29"/>
        <v>-5.0000000000000001E-3</v>
      </c>
    </row>
    <row r="98" spans="1:14" ht="24">
      <c r="A98" s="3081" t="s">
        <v>3263</v>
      </c>
      <c r="B98" s="3088" t="s">
        <v>3273</v>
      </c>
      <c r="C98" s="1887" t="s">
        <v>3528</v>
      </c>
      <c r="D98" s="2310">
        <f t="shared" si="30"/>
        <v>3.0000000000000001E-3</v>
      </c>
      <c r="E98" s="3085"/>
      <c r="F98" s="1675"/>
      <c r="G98" s="3075">
        <f t="shared" si="31"/>
        <v>3.0000000000000001E-3</v>
      </c>
      <c r="H98" s="3120">
        <f t="shared" si="32"/>
        <v>3.0000000000000001E-3</v>
      </c>
      <c r="I98" s="3069">
        <v>0.06</v>
      </c>
      <c r="J98" s="1912">
        <f t="shared" si="27"/>
        <v>6.0000000000000001E-3</v>
      </c>
      <c r="K98" s="1912">
        <f t="shared" si="28"/>
        <v>3.0000000000000001E-3</v>
      </c>
      <c r="L98" s="1912">
        <v>0</v>
      </c>
      <c r="M98" s="1912">
        <f t="shared" si="29"/>
        <v>-3.0000000000000001E-3</v>
      </c>
      <c r="N98" s="1912">
        <f t="shared" si="29"/>
        <v>-6.0000000000000001E-3</v>
      </c>
    </row>
    <row r="99" spans="1:14" ht="24">
      <c r="A99" s="3081" t="s">
        <v>3264</v>
      </c>
      <c r="B99" s="3072">
        <f>估价对象房地状况!C21</f>
        <v>0</v>
      </c>
      <c r="C99" s="1887" t="s">
        <v>3528</v>
      </c>
      <c r="D99" s="2310">
        <f t="shared" si="30"/>
        <v>3.0000000000000001E-3</v>
      </c>
      <c r="E99" s="3085"/>
      <c r="F99" s="1675"/>
      <c r="G99" s="3075">
        <f t="shared" si="31"/>
        <v>3.0000000000000001E-3</v>
      </c>
      <c r="H99" s="3120">
        <f t="shared" si="32"/>
        <v>3.0000000000000001E-3</v>
      </c>
      <c r="I99" s="3069">
        <v>0.06</v>
      </c>
      <c r="J99" s="1912">
        <f t="shared" si="27"/>
        <v>6.0000000000000001E-3</v>
      </c>
      <c r="K99" s="1912">
        <f t="shared" si="28"/>
        <v>3.0000000000000001E-3</v>
      </c>
      <c r="L99" s="1912">
        <v>0</v>
      </c>
      <c r="M99" s="1912">
        <f t="shared" si="29"/>
        <v>-3.0000000000000001E-3</v>
      </c>
      <c r="N99" s="1912">
        <f t="shared" si="29"/>
        <v>-6.0000000000000001E-3</v>
      </c>
    </row>
    <row r="100" spans="1:14" ht="24">
      <c r="A100" s="3081" t="s">
        <v>3265</v>
      </c>
      <c r="B100" s="3072">
        <f>估价对象房地状况!C22</f>
        <v>0</v>
      </c>
      <c r="C100" s="1887" t="s">
        <v>3528</v>
      </c>
      <c r="D100" s="2310">
        <f t="shared" si="30"/>
        <v>4.4999999999999997E-3</v>
      </c>
      <c r="E100" s="3085"/>
      <c r="F100" s="1675"/>
      <c r="G100" s="3075">
        <f t="shared" si="31"/>
        <v>4.4999999999999997E-3</v>
      </c>
      <c r="H100" s="3120">
        <f t="shared" si="32"/>
        <v>4.4999999999999997E-3</v>
      </c>
      <c r="I100" s="3069">
        <v>0.09</v>
      </c>
      <c r="J100" s="1912">
        <f t="shared" si="27"/>
        <v>8.9999999999999993E-3</v>
      </c>
      <c r="K100" s="1912">
        <f t="shared" si="28"/>
        <v>4.4999999999999997E-3</v>
      </c>
      <c r="L100" s="1912">
        <v>0</v>
      </c>
      <c r="M100" s="1912">
        <f t="shared" si="29"/>
        <v>-4.4999999999999997E-3</v>
      </c>
      <c r="N100" s="1912">
        <f t="shared" si="29"/>
        <v>-8.9999999999999993E-3</v>
      </c>
    </row>
    <row r="101" spans="1:14" ht="24.75" thickBot="1">
      <c r="A101" s="3082" t="s">
        <v>3266</v>
      </c>
      <c r="B101" s="3089">
        <f>估价对象房地状况!C20</f>
        <v>0</v>
      </c>
      <c r="C101" s="1887" t="s">
        <v>3529</v>
      </c>
      <c r="D101" s="2310">
        <f t="shared" si="30"/>
        <v>0</v>
      </c>
      <c r="E101" s="3086"/>
      <c r="F101" s="1675"/>
      <c r="G101" s="3075">
        <f t="shared" si="31"/>
        <v>3.5000000000000001E-3</v>
      </c>
      <c r="H101" s="3120">
        <f t="shared" si="32"/>
        <v>3.5000000000000001E-3</v>
      </c>
      <c r="I101" s="3070">
        <v>7.0000000000000007E-2</v>
      </c>
      <c r="J101" s="1912">
        <f t="shared" si="27"/>
        <v>7.0000000000000001E-3</v>
      </c>
      <c r="K101" s="1912">
        <f t="shared" si="28"/>
        <v>3.5000000000000001E-3</v>
      </c>
      <c r="L101" s="1912">
        <v>0</v>
      </c>
      <c r="M101" s="1912">
        <f t="shared" si="29"/>
        <v>-3.5000000000000001E-3</v>
      </c>
      <c r="N101" s="1912">
        <f t="shared" si="29"/>
        <v>-7.0000000000000001E-3</v>
      </c>
    </row>
    <row r="103" spans="1:14">
      <c r="A103" s="3501" t="s">
        <v>3281</v>
      </c>
      <c r="B103" s="3501"/>
      <c r="C103" s="3501"/>
      <c r="D103" s="3501"/>
      <c r="E103" s="3501"/>
      <c r="F103" s="3501"/>
      <c r="G103" s="3501"/>
      <c r="H103" s="3501"/>
      <c r="I103" s="3501"/>
      <c r="J103" s="3501"/>
      <c r="K103" s="1667"/>
      <c r="L103" s="1667"/>
      <c r="M103" s="1667"/>
      <c r="N103" s="1667"/>
    </row>
    <row r="104" spans="1:14">
      <c r="A104" s="3502" t="s">
        <v>3282</v>
      </c>
      <c r="B104" s="3502" t="s">
        <v>3283</v>
      </c>
      <c r="C104" s="3091" t="s">
        <v>3284</v>
      </c>
      <c r="D104" s="3092"/>
      <c r="E104" s="3092"/>
      <c r="F104" s="3092"/>
      <c r="G104" s="3092"/>
      <c r="H104" s="3092"/>
      <c r="I104" s="3092"/>
      <c r="J104" s="3093"/>
      <c r="K104" s="3094"/>
      <c r="L104" s="3094"/>
      <c r="M104" s="3094"/>
      <c r="N104" s="3094"/>
    </row>
    <row r="105" spans="1:14">
      <c r="A105" s="3502"/>
      <c r="B105" s="3502"/>
      <c r="C105" s="3095" t="s">
        <v>3285</v>
      </c>
      <c r="D105" s="3095" t="s">
        <v>3286</v>
      </c>
      <c r="E105" s="3095" t="s">
        <v>3287</v>
      </c>
      <c r="F105" s="3095" t="s">
        <v>3288</v>
      </c>
      <c r="G105" s="3095" t="s">
        <v>3289</v>
      </c>
      <c r="H105" s="3095" t="s">
        <v>3290</v>
      </c>
      <c r="I105" s="3095" t="s">
        <v>3291</v>
      </c>
      <c r="J105" s="3095" t="s">
        <v>3292</v>
      </c>
      <c r="K105" s="3095" t="s">
        <v>3293</v>
      </c>
      <c r="L105" s="3095" t="s">
        <v>3294</v>
      </c>
      <c r="M105" s="3095" t="s">
        <v>3295</v>
      </c>
      <c r="N105" s="3095" t="s">
        <v>3296</v>
      </c>
    </row>
    <row r="106" spans="1:14">
      <c r="A106" s="3488" t="s">
        <v>3297</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8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8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8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8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89"/>
      <c r="B111" s="3095" t="s">
        <v>3255</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90"/>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91" t="s">
        <v>3298</v>
      </c>
      <c r="B113" s="3491"/>
      <c r="C113" s="3491"/>
      <c r="D113" s="3491"/>
      <c r="E113" s="3491"/>
      <c r="F113" s="3491"/>
      <c r="G113" s="3491"/>
      <c r="H113" s="3491"/>
      <c r="I113" s="3491"/>
      <c r="J113" s="349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3299</v>
      </c>
      <c r="B116" s="3115">
        <f>G3</f>
        <v>1.75</v>
      </c>
      <c r="C116" s="3100" t="s">
        <v>3300</v>
      </c>
      <c r="D116" s="3101">
        <f>SUMPRODUCT((A118:A122=F116)*(B117:M117=H116)*B118:M122)</f>
        <v>0.87190000000000001</v>
      </c>
      <c r="E116" s="162" t="s">
        <v>3301</v>
      </c>
      <c r="F116" s="3102" t="str">
        <f>E2</f>
        <v>公共服务</v>
      </c>
      <c r="G116" s="162" t="s">
        <v>3302</v>
      </c>
      <c r="H116" s="3102" t="str">
        <f>G2</f>
        <v>五级</v>
      </c>
      <c r="I116" s="162"/>
      <c r="J116" s="3103"/>
      <c r="K116" s="3103"/>
      <c r="L116" s="3103"/>
      <c r="M116" s="3103"/>
      <c r="N116" s="3098"/>
    </row>
    <row r="117" spans="1:14">
      <c r="A117" s="3104"/>
      <c r="B117" s="3105" t="s">
        <v>3303</v>
      </c>
      <c r="C117" s="3105" t="s">
        <v>3304</v>
      </c>
      <c r="D117" s="3105" t="s">
        <v>3305</v>
      </c>
      <c r="E117" s="3106" t="s">
        <v>3306</v>
      </c>
      <c r="F117" s="3106" t="s">
        <v>3307</v>
      </c>
      <c r="G117" s="3106" t="s">
        <v>3308</v>
      </c>
      <c r="H117" s="3107" t="s">
        <v>3309</v>
      </c>
      <c r="I117" s="3107" t="s">
        <v>3310</v>
      </c>
      <c r="J117" s="3108" t="s">
        <v>3311</v>
      </c>
      <c r="K117" s="3108" t="s">
        <v>3312</v>
      </c>
      <c r="L117" s="3108" t="s">
        <v>3313</v>
      </c>
      <c r="M117" s="3109" t="s">
        <v>3314</v>
      </c>
      <c r="N117" s="3098"/>
    </row>
    <row r="118" spans="1:14">
      <c r="A118" s="3058" t="s">
        <v>3315</v>
      </c>
      <c r="B118" s="3090">
        <f>ROUND(0.9968-0.011*B116,4)</f>
        <v>0.97760000000000002</v>
      </c>
      <c r="C118" s="3090">
        <f>B118</f>
        <v>0.97760000000000002</v>
      </c>
      <c r="D118" s="3090">
        <f>ROUND(0.949-0.014*B116,4)</f>
        <v>0.92449999999999999</v>
      </c>
      <c r="E118" s="3090">
        <f>D118</f>
        <v>0.92449999999999999</v>
      </c>
      <c r="F118" s="3090">
        <f>E118</f>
        <v>0.92449999999999999</v>
      </c>
      <c r="G118" s="3090">
        <f>F118</f>
        <v>0.92449999999999999</v>
      </c>
      <c r="H118" s="3090">
        <f>G118</f>
        <v>0.92449999999999999</v>
      </c>
      <c r="I118" s="3090">
        <f>ROUND(0.8486-0.018*B116,4)</f>
        <v>0.81710000000000005</v>
      </c>
      <c r="J118" s="3090">
        <f t="shared" ref="J118:M122" si="36">I118</f>
        <v>0.81710000000000005</v>
      </c>
      <c r="K118" s="3090">
        <f t="shared" si="36"/>
        <v>0.81710000000000005</v>
      </c>
      <c r="L118" s="3090">
        <f t="shared" si="36"/>
        <v>0.81710000000000005</v>
      </c>
      <c r="M118" s="3110">
        <f t="shared" si="36"/>
        <v>0.81710000000000005</v>
      </c>
      <c r="N118" s="3098"/>
    </row>
    <row r="119" spans="1:14">
      <c r="A119" s="3058" t="s">
        <v>3316</v>
      </c>
      <c r="B119" s="3090">
        <f>ROUND(0.993-0.0112*B116,4)</f>
        <v>0.97340000000000004</v>
      </c>
      <c r="C119" s="3090">
        <f>B119</f>
        <v>0.97340000000000004</v>
      </c>
      <c r="D119" s="3090">
        <f>ROUND(0.9415-0.0142*B116,4)</f>
        <v>0.91669999999999996</v>
      </c>
      <c r="E119" s="3090">
        <f t="shared" ref="E119:H120" si="37">D119</f>
        <v>0.91669999999999996</v>
      </c>
      <c r="F119" s="3090">
        <f t="shared" si="37"/>
        <v>0.91669999999999996</v>
      </c>
      <c r="G119" s="3090">
        <f t="shared" si="37"/>
        <v>0.91669999999999996</v>
      </c>
      <c r="H119" s="3090">
        <f t="shared" si="37"/>
        <v>0.91669999999999996</v>
      </c>
      <c r="I119" s="3090">
        <f>ROUND(0.838-0.0182*B116,4)</f>
        <v>0.80620000000000003</v>
      </c>
      <c r="J119" s="3090">
        <f t="shared" si="36"/>
        <v>0.80620000000000003</v>
      </c>
      <c r="K119" s="3090">
        <f t="shared" si="36"/>
        <v>0.80620000000000003</v>
      </c>
      <c r="L119" s="3090">
        <f t="shared" si="36"/>
        <v>0.80620000000000003</v>
      </c>
      <c r="M119" s="3110">
        <f t="shared" si="36"/>
        <v>0.80620000000000003</v>
      </c>
      <c r="N119" s="3098"/>
    </row>
    <row r="120" spans="1:14">
      <c r="A120" s="3058" t="s">
        <v>3317</v>
      </c>
      <c r="B120" s="3090">
        <f>ROUND(0.9448-0.0115*B116,4)</f>
        <v>0.92469999999999997</v>
      </c>
      <c r="C120" s="3090">
        <f>B120</f>
        <v>0.92469999999999997</v>
      </c>
      <c r="D120" s="3090">
        <f>ROUND(0.937-0.0145*B116,4)</f>
        <v>0.91159999999999997</v>
      </c>
      <c r="E120" s="3090">
        <f t="shared" si="37"/>
        <v>0.91159999999999997</v>
      </c>
      <c r="F120" s="3090">
        <f t="shared" si="37"/>
        <v>0.91159999999999997</v>
      </c>
      <c r="G120" s="3090">
        <f t="shared" si="37"/>
        <v>0.91159999999999997</v>
      </c>
      <c r="H120" s="3090">
        <f t="shared" si="37"/>
        <v>0.91159999999999997</v>
      </c>
      <c r="I120" s="3090">
        <f>ROUND(0.7965-0.0185*B116,4)</f>
        <v>0.7641</v>
      </c>
      <c r="J120" s="3090">
        <f t="shared" si="36"/>
        <v>0.7641</v>
      </c>
      <c r="K120" s="3090">
        <f t="shared" si="36"/>
        <v>0.7641</v>
      </c>
      <c r="L120" s="3090">
        <f t="shared" si="36"/>
        <v>0.7641</v>
      </c>
      <c r="M120" s="3110">
        <f t="shared" si="36"/>
        <v>0.7641</v>
      </c>
      <c r="N120" s="3098"/>
    </row>
    <row r="121" spans="1:14" ht="13.5" thickBot="1">
      <c r="A121" s="3111" t="s">
        <v>3318</v>
      </c>
      <c r="B121" s="3112">
        <f>ROUND(0.7836-0.012*B116,4)</f>
        <v>0.76259999999999994</v>
      </c>
      <c r="C121" s="3112">
        <f>B121</f>
        <v>0.76259999999999994</v>
      </c>
      <c r="D121" s="3112">
        <f>ROUND(0.753-0.015*B116,4)</f>
        <v>0.7268</v>
      </c>
      <c r="E121" s="3112">
        <f>D121</f>
        <v>0.7268</v>
      </c>
      <c r="F121" s="3112">
        <f>E121</f>
        <v>0.7268</v>
      </c>
      <c r="G121" s="3112">
        <f>ROUND(0.6612-0.018*B116,4)</f>
        <v>0.62970000000000004</v>
      </c>
      <c r="H121" s="3112">
        <f>G121</f>
        <v>0.62970000000000004</v>
      </c>
      <c r="I121" s="3112">
        <f>ROUND(0.5905-0.019*B116,4)</f>
        <v>0.55730000000000002</v>
      </c>
      <c r="J121" s="3112">
        <f t="shared" si="36"/>
        <v>0.55730000000000002</v>
      </c>
      <c r="K121" s="3112">
        <f t="shared" si="36"/>
        <v>0.55730000000000002</v>
      </c>
      <c r="L121" s="3112">
        <f t="shared" si="36"/>
        <v>0.55730000000000002</v>
      </c>
      <c r="M121" s="3113">
        <f t="shared" si="36"/>
        <v>0.55730000000000002</v>
      </c>
      <c r="N121" s="3098"/>
    </row>
    <row r="122" spans="1:14">
      <c r="A122" s="3114" t="s">
        <v>2601</v>
      </c>
      <c r="B122" s="3090">
        <f>ROUND(0.9404-0.0106*B116,4)</f>
        <v>0.92190000000000005</v>
      </c>
      <c r="C122" s="3090">
        <f>B122</f>
        <v>0.92190000000000005</v>
      </c>
      <c r="D122" s="3090">
        <f>ROUND(0.8955-0.0135*B116,4)</f>
        <v>0.87190000000000001</v>
      </c>
      <c r="E122" s="3090">
        <f t="shared" ref="E122:H122" si="38">D122</f>
        <v>0.87190000000000001</v>
      </c>
      <c r="F122" s="3090">
        <f t="shared" si="38"/>
        <v>0.87190000000000001</v>
      </c>
      <c r="G122" s="3090">
        <f t="shared" si="38"/>
        <v>0.87190000000000001</v>
      </c>
      <c r="H122" s="3090">
        <f t="shared" si="38"/>
        <v>0.87190000000000001</v>
      </c>
      <c r="I122" s="3090">
        <f>ROUND(0.7632-0.0166*B116,4)</f>
        <v>0.73419999999999996</v>
      </c>
      <c r="J122" s="3090">
        <f t="shared" si="36"/>
        <v>0.73419999999999996</v>
      </c>
      <c r="K122" s="3090">
        <f t="shared" si="36"/>
        <v>0.73419999999999996</v>
      </c>
      <c r="L122" s="3090">
        <f t="shared" si="36"/>
        <v>0.73419999999999996</v>
      </c>
      <c r="M122" s="3110">
        <f t="shared" si="36"/>
        <v>0.73419999999999996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D084A-46B9-4C5A-A3C8-07D62D7BEBAF}">
  <sheetPr>
    <tabColor rgb="FF92D050"/>
  </sheetPr>
  <dimension ref="A1:AK83"/>
  <sheetViews>
    <sheetView view="pageBreakPreview" topLeftCell="A18" zoomScale="70" zoomScaleNormal="70" zoomScaleSheetLayoutView="70" workbookViewId="0">
      <selection activeCell="I33" sqref="I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t="s">
        <v>3533</v>
      </c>
      <c r="D1" s="1271" t="s">
        <v>43</v>
      </c>
      <c r="E1" s="1272" t="s">
        <v>676</v>
      </c>
      <c r="F1" s="999">
        <f ca="1">J53</f>
        <v>39.81</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f ca="1">C40+J29+L46</f>
        <v>91593</v>
      </c>
      <c r="C2" s="1289" t="s">
        <v>803</v>
      </c>
      <c r="D2" s="1289"/>
      <c r="E2" s="1295"/>
      <c r="F2" s="1296"/>
      <c r="G2" s="2479"/>
      <c r="H2" s="2469"/>
      <c r="I2" s="2469"/>
      <c r="J2" s="2469"/>
      <c r="K2" s="2470"/>
      <c r="L2" s="2469"/>
      <c r="M2" s="2469"/>
    </row>
    <row r="3" spans="1:37" ht="18" customHeight="1" thickBot="1">
      <c r="A3" s="1297" t="s">
        <v>804</v>
      </c>
      <c r="B3" s="1298">
        <f ca="1">IF(ISERROR(B2*10000/F43),0,ROUND(B2*10000/F43,0))</f>
        <v>7520</v>
      </c>
      <c r="C3" s="1289" t="s">
        <v>805</v>
      </c>
      <c r="D3" s="1289"/>
      <c r="E3" s="1295"/>
      <c r="F3" s="1296"/>
      <c r="G3" s="2479"/>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5209</v>
      </c>
      <c r="D5" s="1273" t="s">
        <v>691</v>
      </c>
      <c r="E5" s="1008"/>
      <c r="F5" s="1009"/>
      <c r="G5" s="1292"/>
      <c r="H5" s="291">
        <v>1</v>
      </c>
      <c r="I5" s="292" t="s">
        <v>690</v>
      </c>
      <c r="J5" s="1007">
        <f ca="1">J6+J10+J12</f>
        <v>6362</v>
      </c>
      <c r="K5" s="1273" t="s">
        <v>691</v>
      </c>
      <c r="L5" s="1008"/>
      <c r="M5" s="1009"/>
    </row>
    <row r="6" spans="1:37" ht="18" customHeight="1">
      <c r="A6" s="1006" t="s">
        <v>398</v>
      </c>
      <c r="B6" s="3436" t="s">
        <v>692</v>
      </c>
      <c r="C6" s="1011">
        <f ca="1">ROUND(F6*F8*F7*(1-F9)/10000,0)</f>
        <v>5202</v>
      </c>
      <c r="D6" s="147" t="s">
        <v>2107</v>
      </c>
      <c r="E6" s="294" t="s">
        <v>694</v>
      </c>
      <c r="F6" s="295">
        <f ca="1">INDIRECT("'数据-取费表'!u"&amp;$G$1)</f>
        <v>1.17</v>
      </c>
      <c r="G6" s="1292"/>
      <c r="H6" s="1006" t="s">
        <v>398</v>
      </c>
      <c r="I6" s="3436" t="s">
        <v>692</v>
      </c>
      <c r="J6" s="293">
        <f ca="1">ROUND(M6*M8*M7*(1-M9)/10000,0)</f>
        <v>6362</v>
      </c>
      <c r="K6" s="147" t="s">
        <v>2106</v>
      </c>
      <c r="L6" s="294" t="s">
        <v>694</v>
      </c>
      <c r="M6" s="295">
        <f ca="1">INDIRECT("'数据-取费表'!z"&amp;$G$1)</f>
        <v>1.59</v>
      </c>
    </row>
    <row r="7" spans="1:37" ht="18" customHeight="1">
      <c r="A7" s="1010"/>
      <c r="B7" s="3437"/>
      <c r="C7" s="1012"/>
      <c r="D7" s="299"/>
      <c r="E7" s="1013" t="s">
        <v>695</v>
      </c>
      <c r="F7" s="295">
        <f ca="1">IF(INDIRECT("'数据-取费表'!ah"&amp;$G$1)="",INDIRECT("'数据-取费表'!k"&amp;$G$1),INDIRECT("'数据-取费表'!ah"&amp;$G$1))</f>
        <v>121804.97</v>
      </c>
      <c r="G7" s="1292"/>
      <c r="H7" s="296"/>
      <c r="I7" s="3437"/>
      <c r="J7" s="298"/>
      <c r="K7" s="299"/>
      <c r="L7" s="294" t="s">
        <v>695</v>
      </c>
      <c r="M7" s="295">
        <f ca="1">F7</f>
        <v>121804.97</v>
      </c>
    </row>
    <row r="8" spans="1:37" ht="18" customHeight="1">
      <c r="A8" s="296"/>
      <c r="B8" s="3437"/>
      <c r="C8" s="298"/>
      <c r="D8" s="299"/>
      <c r="E8" s="294" t="s">
        <v>696</v>
      </c>
      <c r="F8" s="295">
        <f ca="1">INDIRECT("'数据-取费表'!ai"&amp;$G$1)</f>
        <v>365</v>
      </c>
      <c r="G8" s="1292"/>
      <c r="H8" s="296"/>
      <c r="I8" s="3437"/>
      <c r="J8" s="298"/>
      <c r="K8" s="299"/>
      <c r="L8" s="294" t="s">
        <v>696</v>
      </c>
      <c r="M8" s="295">
        <f ca="1">INDIRECT("'数据-取费表'!ai"&amp;$G$1)</f>
        <v>365</v>
      </c>
    </row>
    <row r="9" spans="1:37" ht="18" customHeight="1">
      <c r="A9" s="296"/>
      <c r="B9" s="3438"/>
      <c r="C9" s="298"/>
      <c r="D9" s="299"/>
      <c r="E9" s="294" t="s">
        <v>697</v>
      </c>
      <c r="F9" s="304">
        <f ca="1">INDIRECT("'数据-取费表'!w"&amp;$G$1)</f>
        <v>0</v>
      </c>
      <c r="G9" s="1292"/>
      <c r="H9" s="296"/>
      <c r="I9" s="3438"/>
      <c r="J9" s="298"/>
      <c r="K9" s="299"/>
      <c r="L9" s="305" t="s">
        <v>697</v>
      </c>
      <c r="M9" s="306">
        <f ca="1">INDIRECT("'数据-取费表'!ab"&amp;$G$1)</f>
        <v>0.1</v>
      </c>
    </row>
    <row r="10" spans="1:37" ht="18" customHeight="1">
      <c r="A10" s="1006" t="s">
        <v>402</v>
      </c>
      <c r="B10" s="1274" t="s">
        <v>698</v>
      </c>
      <c r="C10" s="308">
        <f ca="1">ROUND(IF(F10="押一",C6/12*F11,IF(F10="押二",C6/12*2*F11,IF(F10="押三",C6/12*3*F11,C11*F11))),0)</f>
        <v>7</v>
      </c>
      <c r="D10" s="150" t="s">
        <v>2114</v>
      </c>
      <c r="E10" s="305" t="s">
        <v>699</v>
      </c>
      <c r="F10" s="1053" t="s">
        <v>3513</v>
      </c>
      <c r="G10" s="1292"/>
      <c r="H10" s="1006" t="s">
        <v>402</v>
      </c>
      <c r="I10" s="1274" t="s">
        <v>698</v>
      </c>
      <c r="J10" s="293">
        <f ca="1">ROUND(IF(M10="押一",J6/12*M11,IF(M10="押二",J6/12*2*M11,IF(M10="押三",J6/12*3*M11,J11*M11))),0)</f>
        <v>0</v>
      </c>
      <c r="K10" s="150" t="s">
        <v>2114</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97855</v>
      </c>
      <c r="D13" s="1018" t="s">
        <v>703</v>
      </c>
      <c r="E13" s="1018" t="s">
        <v>704</v>
      </c>
      <c r="F13" s="1019">
        <f ca="1">INDIRECT("'数据-取费表'!y"&amp;$G$1)</f>
        <v>0.95</v>
      </c>
      <c r="G13" s="1292"/>
      <c r="H13" s="1016">
        <v>2</v>
      </c>
      <c r="I13" s="1017" t="s">
        <v>702</v>
      </c>
      <c r="J13" s="1005">
        <f ca="1">ROUND(J14*J15,0)</f>
        <v>85494</v>
      </c>
      <c r="K13" s="1024" t="s">
        <v>703</v>
      </c>
      <c r="L13" s="1299"/>
      <c r="M13" s="1300"/>
    </row>
    <row r="14" spans="1:37" ht="18" customHeight="1">
      <c r="A14" s="928" t="s">
        <v>397</v>
      </c>
      <c r="B14" s="294" t="s">
        <v>705</v>
      </c>
      <c r="C14" s="310">
        <f ca="1">INDIRECT("'数据-取费表'!m"&amp;$G$1)+INDIRECT("'数据-取费表'!t"&amp;$G$1)</f>
        <v>73157</v>
      </c>
      <c r="D14" s="1257" t="s">
        <v>706</v>
      </c>
      <c r="E14" s="1255"/>
      <c r="F14" s="311"/>
      <c r="G14" s="1292"/>
      <c r="H14" s="928" t="s">
        <v>398</v>
      </c>
      <c r="I14" s="294" t="s">
        <v>707</v>
      </c>
      <c r="J14" s="21">
        <f ca="1">C29</f>
        <v>103005</v>
      </c>
      <c r="K14" s="12"/>
      <c r="L14" s="759"/>
      <c r="M14" s="760"/>
    </row>
    <row r="15" spans="1:37" s="1304" customFormat="1" ht="18" customHeight="1" thickBot="1">
      <c r="A15" s="928" t="s">
        <v>399</v>
      </c>
      <c r="B15" s="294" t="s">
        <v>708</v>
      </c>
      <c r="C15" s="21">
        <f ca="1">ROUND(C14*F15,0)</f>
        <v>5853</v>
      </c>
      <c r="D15" s="312" t="s">
        <v>709</v>
      </c>
      <c r="E15" s="312" t="s">
        <v>710</v>
      </c>
      <c r="F15" s="313">
        <f>'数据-取费表'!B33</f>
        <v>0.08</v>
      </c>
      <c r="G15" s="1303"/>
      <c r="H15" s="1026" t="s">
        <v>402</v>
      </c>
      <c r="I15" s="1027" t="s">
        <v>704</v>
      </c>
      <c r="J15" s="1036">
        <f ca="1">INDIRECT("'数据-取费表'!ad"&amp;$G$1)</f>
        <v>0.83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1398</v>
      </c>
      <c r="K16" s="1024" t="s">
        <v>713</v>
      </c>
      <c r="L16" s="1025"/>
      <c r="M16" s="1009"/>
    </row>
    <row r="17" spans="1:37" s="1304" customFormat="1" ht="18" customHeight="1">
      <c r="A17" s="928" t="s">
        <v>679</v>
      </c>
      <c r="B17" s="294" t="s">
        <v>714</v>
      </c>
      <c r="C17" s="21">
        <f ca="1">ROUND(F17*(F43+INDIRECT("'数据-取费表'!S"&amp;$G$1))/10000,0)</f>
        <v>2660</v>
      </c>
      <c r="D17" s="294" t="s">
        <v>715</v>
      </c>
      <c r="E17" s="294" t="s">
        <v>716</v>
      </c>
      <c r="F17" s="23">
        <f>'数据-取费表'!B35</f>
        <v>200</v>
      </c>
      <c r="G17" s="1303"/>
      <c r="H17" s="928" t="s">
        <v>398</v>
      </c>
      <c r="I17" s="294" t="s">
        <v>717</v>
      </c>
      <c r="J17" s="2140">
        <f ca="1">ROUND(IF(AND(项目基本情况!B11="自然人",项目基本情况!B10="北京市"),J6*M17/(1+'数据-取费表'!C42),J18+J19+J20),2)</f>
        <v>1074.97</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1463</v>
      </c>
      <c r="D18" s="294" t="s">
        <v>709</v>
      </c>
      <c r="E18" s="294" t="s">
        <v>710</v>
      </c>
      <c r="F18" s="314">
        <f>'数据-取费表'!B36</f>
        <v>0.02</v>
      </c>
      <c r="G18" s="1303"/>
      <c r="H18" s="928" t="s">
        <v>397</v>
      </c>
      <c r="I18" s="294" t="s">
        <v>721</v>
      </c>
      <c r="J18" s="21">
        <f ca="1">ROUND(J6*M18/(1+'数据-取费表'!C42),2)</f>
        <v>339.31</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83133</v>
      </c>
      <c r="D19" s="123" t="s">
        <v>724</v>
      </c>
      <c r="E19" s="1269"/>
      <c r="F19" s="23"/>
      <c r="G19" s="1292"/>
      <c r="H19" s="928" t="s">
        <v>399</v>
      </c>
      <c r="I19" s="294" t="s">
        <v>725</v>
      </c>
      <c r="J19" s="21">
        <f ca="1">IF(K19="按租金收入计税",ROUND(J6*M19/(1+'数据-取费表'!C42),2),ROUND(C29*M19*0.7,2))</f>
        <v>727.09</v>
      </c>
      <c r="K19" s="1278" t="s">
        <v>3323</v>
      </c>
      <c r="L19" s="294" t="s">
        <v>710</v>
      </c>
      <c r="M19" s="314">
        <f>IF(K19="按租金收入计税",'数据-取费表'!B51,'数据-取费表'!B50)</f>
        <v>0.12</v>
      </c>
    </row>
    <row r="20" spans="1:37" s="1304" customFormat="1" ht="18" customHeight="1">
      <c r="A20" s="928" t="s">
        <v>402</v>
      </c>
      <c r="B20" s="294" t="s">
        <v>726</v>
      </c>
      <c r="C20" s="21">
        <f ca="1">ROUND(C19*F20,0)</f>
        <v>2494</v>
      </c>
      <c r="D20" s="315" t="s">
        <v>727</v>
      </c>
      <c r="E20" s="294" t="s">
        <v>710</v>
      </c>
      <c r="F20" s="314">
        <f>'数据-取费表'!B37</f>
        <v>0.03</v>
      </c>
      <c r="G20" s="1303"/>
      <c r="H20" s="928" t="s">
        <v>678</v>
      </c>
      <c r="I20" s="147" t="s">
        <v>728</v>
      </c>
      <c r="J20" s="22">
        <f ca="1">ROUND(M20*M21/10000,2)</f>
        <v>8.57</v>
      </c>
      <c r="K20" s="316" t="s">
        <v>729</v>
      </c>
      <c r="L20" s="294" t="s">
        <v>730</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0.03</v>
      </c>
      <c r="G21" s="1303"/>
      <c r="H21" s="318"/>
      <c r="I21" s="303"/>
      <c r="J21" s="26"/>
      <c r="K21" s="319"/>
      <c r="L21" s="294" t="s">
        <v>734</v>
      </c>
      <c r="M21" s="295">
        <f ca="1">INDIRECT("'数据-取费表'!r"&amp;$G$1)</f>
        <v>28578.019999999997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206.01</v>
      </c>
      <c r="K22" s="1256" t="s">
        <v>737</v>
      </c>
      <c r="L22" s="294" t="s">
        <v>710</v>
      </c>
      <c r="M22" s="320">
        <f ca="1">INDIRECT("'数据-取费表'!Ak"&amp;$G$1)</f>
        <v>2E-3</v>
      </c>
    </row>
    <row r="23" spans="1:37" s="1304" customFormat="1" ht="18" customHeight="1">
      <c r="A23" s="928" t="s">
        <v>397</v>
      </c>
      <c r="B23" s="294" t="s">
        <v>738</v>
      </c>
      <c r="C23" s="21">
        <f ca="1">IF('数据-取费表'!B22&lt;=1,ROUND(C19*F24*F23/2,0)+ROUND(C20*F24*F23/2,0),ROUND(C19*(POWER((1+F24),F23/2)-1),0)+ROUND(C20*(POWER((1+F24),F23/2)-1),0))</f>
        <v>4208</v>
      </c>
      <c r="D23" s="138" t="str">
        <f>IF(F23&lt;=1,"(建造成本+管理费用)×利率×(建设周期÷2)","(建造成本+管理费用)×((1+利率)^(建设周期÷2)-1)")</f>
        <v>(建造成本+管理费用)×((1+利率)^(建设周期÷2)-1)</v>
      </c>
      <c r="E23" s="294" t="s">
        <v>739</v>
      </c>
      <c r="F23" s="317">
        <f>'数据-取费表'!B20</f>
        <v>3</v>
      </c>
      <c r="G23" s="1303"/>
      <c r="H23" s="928" t="s">
        <v>437</v>
      </c>
      <c r="I23" s="294" t="s">
        <v>740</v>
      </c>
      <c r="J23" s="21">
        <f ca="1">ROUND(J13*M23,2)</f>
        <v>85.49</v>
      </c>
      <c r="K23" s="1256" t="s">
        <v>741</v>
      </c>
      <c r="L23" s="294" t="s">
        <v>710</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744</v>
      </c>
      <c r="C24" s="21">
        <f ca="1">ROUND(IF('数据-取费表'!B22&lt;=1,F21*F24*F23/2,F21*(POWER((1+F24),F23/2)-1)),4)</f>
        <v>1.5E-3</v>
      </c>
      <c r="D24" s="138" t="str">
        <f>IF(F23&lt;=1,"销售费用×利率×(建设周期÷2)","销售费用×((1+利率)^(建设周期÷2)-1)")</f>
        <v>销售费用×((1+利率)^(建设周期÷2)-1)</v>
      </c>
      <c r="E24" s="294" t="s">
        <v>745</v>
      </c>
      <c r="F24" s="322">
        <f ca="1">'数据-取费表'!B40</f>
        <v>3.2500000000000001E-2</v>
      </c>
      <c r="G24" s="1303"/>
      <c r="H24" s="1026" t="s">
        <v>681</v>
      </c>
      <c r="I24" s="1027" t="s">
        <v>726</v>
      </c>
      <c r="J24" s="1028">
        <f ca="1">ROUND(J5*M24,2)</f>
        <v>31.81</v>
      </c>
      <c r="K24" s="1029" t="s">
        <v>746</v>
      </c>
      <c r="L24" s="1027" t="s">
        <v>710</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4964</v>
      </c>
      <c r="K25" s="1032" t="s">
        <v>751</v>
      </c>
      <c r="L25" s="1033"/>
      <c r="M25" s="1034"/>
    </row>
    <row r="26" spans="1:37">
      <c r="A26" s="928" t="s">
        <v>397</v>
      </c>
      <c r="B26" s="294" t="s">
        <v>752</v>
      </c>
      <c r="C26" s="21">
        <f ca="1">ROUND((C19+C20)*F26,0)</f>
        <v>4281</v>
      </c>
      <c r="D26" s="315" t="s">
        <v>753</v>
      </c>
      <c r="E26" s="305" t="s">
        <v>754</v>
      </c>
      <c r="F26" s="304">
        <f ca="1">INDIRECT("'数据-取费表'!q"&amp;$G$1)</f>
        <v>0.05</v>
      </c>
      <c r="G26" s="1292"/>
      <c r="H26" s="291" t="s">
        <v>395</v>
      </c>
      <c r="I26" s="292" t="s">
        <v>755</v>
      </c>
      <c r="J26" s="293">
        <f ca="1">IF(J5&lt;&gt;0,ROUND(J25*(1-((1+M28)/(1+M26))^M27)/(M26-M28),0),0)</f>
        <v>95289</v>
      </c>
      <c r="K26" s="316" t="s">
        <v>756</v>
      </c>
      <c r="L26" s="294" t="s">
        <v>757</v>
      </c>
      <c r="M26" s="304">
        <f ca="1">INDIRECT("'数据-取费表'!I"&amp;$G$1)</f>
        <v>0.05</v>
      </c>
    </row>
    <row r="27" spans="1:37" ht="18" customHeight="1">
      <c r="A27" s="928" t="s">
        <v>399</v>
      </c>
      <c r="B27" s="294" t="s">
        <v>758</v>
      </c>
      <c r="C27" s="21">
        <f ca="1">ROUND(F21*F26,4)</f>
        <v>1.5E-3</v>
      </c>
      <c r="D27" s="315" t="s">
        <v>759</v>
      </c>
      <c r="E27" s="312"/>
      <c r="F27" s="313"/>
      <c r="G27" s="1292"/>
      <c r="H27" s="296"/>
      <c r="I27" s="297"/>
      <c r="J27" s="298"/>
      <c r="K27" s="323" t="s">
        <v>760</v>
      </c>
      <c r="L27" s="294" t="s">
        <v>761</v>
      </c>
      <c r="M27" s="324">
        <f ca="1">INDIRECT("'数据-取费表'!ag"&amp;$G$1)</f>
        <v>29.590000000000003</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103005</v>
      </c>
      <c r="D29" s="1029"/>
      <c r="E29" s="1027"/>
      <c r="F29" s="1030"/>
      <c r="G29" s="1303"/>
      <c r="H29" s="325" t="s">
        <v>396</v>
      </c>
      <c r="I29" s="326" t="s">
        <v>766</v>
      </c>
      <c r="J29" s="327">
        <f ca="1">ROUND(J26/(1+F40)^F41,0)</f>
        <v>57875</v>
      </c>
      <c r="K29" s="328" t="s">
        <v>767</v>
      </c>
      <c r="L29" s="329"/>
      <c r="M29" s="330">
        <f ca="1">INDIRECT("'数据-取费表'!k"&amp;$G$1)</f>
        <v>121804.97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1210</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ROUND(IF(AND(项目基本情况!B11="自然人",项目基本情况!B10="北京市"),C6*F31/(1+'数据-取费表'!C42),C32+C33+C34),2)</f>
        <v>880.52</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IF(项目基本情况!B11="自然人","——",ROUND(C6*F32/(1+'数据-取费表'!C42),2))</f>
        <v>277.44</v>
      </c>
      <c r="D32" s="1256" t="s">
        <v>722</v>
      </c>
      <c r="E32" s="294" t="s">
        <v>710</v>
      </c>
      <c r="F32" s="322">
        <f>'数据-取费表'!B41</f>
        <v>5.6000000000000001E-2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IF(项目基本情况!B11="自然人","——",IF(D33="按租金收入计税",ROUND(C6*F33/(1+'数据-取费表'!C42),2),IF(D33="按房产原值计税",ROUND(C29*F33*0.7,2),INDIRECT("'数据-取费表'!Aj"&amp;$G$1))))</f>
        <v>594.51</v>
      </c>
      <c r="D33" s="1278" t="s">
        <v>3323</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IF(项目基本情况!B11="自然人","——",ROUND(F34*F35/10000,2))</f>
        <v>8.57</v>
      </c>
      <c r="D34" s="316" t="s">
        <v>729</v>
      </c>
      <c r="E34" s="294" t="s">
        <v>730</v>
      </c>
      <c r="F34" s="317">
        <f>'数据-取费表'!B52</f>
        <v>3</v>
      </c>
      <c r="G34" s="1292"/>
      <c r="H34" s="2471"/>
      <c r="I34" s="1305"/>
      <c r="J34" s="1306"/>
      <c r="K34" s="2476"/>
      <c r="L34" s="2477"/>
      <c r="M34" s="2477"/>
    </row>
    <row r="35" spans="1:18" ht="18" customHeight="1">
      <c r="A35" s="1040"/>
      <c r="B35" s="1038"/>
      <c r="C35" s="26"/>
      <c r="D35" s="319"/>
      <c r="E35" s="294" t="s">
        <v>734</v>
      </c>
      <c r="F35" s="295">
        <f ca="1">INDIRECT("'数据-取费表'!r"&amp;$G$1)</f>
        <v>28578.019999999997</v>
      </c>
      <c r="G35" s="1292"/>
      <c r="H35" s="2471"/>
      <c r="I35" s="1305"/>
      <c r="J35" s="1306"/>
      <c r="K35" s="2475"/>
      <c r="L35" s="2474"/>
      <c r="M35" s="2474"/>
    </row>
    <row r="36" spans="1:18" ht="18" customHeight="1">
      <c r="A36" s="1039" t="s">
        <v>402</v>
      </c>
      <c r="B36" s="294" t="s">
        <v>736</v>
      </c>
      <c r="C36" s="21">
        <f ca="1">ROUND(C29*F36,2)</f>
        <v>206.01</v>
      </c>
      <c r="D36" s="1256" t="s">
        <v>769</v>
      </c>
      <c r="E36" s="294" t="s">
        <v>710</v>
      </c>
      <c r="F36" s="320">
        <f ca="1">INDIRECT("'数据-取费表'!Ak"&amp;$G$1)</f>
        <v>2E-3</v>
      </c>
      <c r="G36" s="1292"/>
      <c r="H36" s="2474"/>
      <c r="I36" s="1305"/>
      <c r="J36" s="1306"/>
      <c r="K36" s="2331"/>
      <c r="L36" s="2474"/>
      <c r="M36" s="2474"/>
    </row>
    <row r="37" spans="1:18" ht="18" customHeight="1">
      <c r="A37" s="928" t="s">
        <v>437</v>
      </c>
      <c r="B37" s="294" t="s">
        <v>740</v>
      </c>
      <c r="C37" s="21">
        <f ca="1">ROUND(C13*F37,2)</f>
        <v>97.86</v>
      </c>
      <c r="D37" s="1256" t="s">
        <v>741</v>
      </c>
      <c r="E37" s="294" t="s">
        <v>710</v>
      </c>
      <c r="F37" s="321">
        <f ca="1">INDIRECT("'数据-取费表'!Al"&amp;$G$1)</f>
        <v>1E-3</v>
      </c>
      <c r="G37" s="1292"/>
      <c r="H37" s="2474"/>
      <c r="I37" s="1305"/>
      <c r="J37" s="1306"/>
      <c r="K37" s="2331"/>
      <c r="L37" s="2474"/>
      <c r="M37" s="2474"/>
    </row>
    <row r="38" spans="1:18" ht="18" customHeight="1" thickBot="1">
      <c r="A38" s="1026" t="s">
        <v>681</v>
      </c>
      <c r="B38" s="1027" t="s">
        <v>726</v>
      </c>
      <c r="C38" s="1028">
        <f ca="1">ROUND(C5*F38,2)</f>
        <v>26.05</v>
      </c>
      <c r="D38" s="1029" t="s">
        <v>746</v>
      </c>
      <c r="E38" s="1027" t="s">
        <v>710</v>
      </c>
      <c r="F38" s="1023">
        <f ca="1">INDIRECT("'数据-取费表'!Am"&amp;$G$1)</f>
        <v>5.0000000000000001E-3</v>
      </c>
      <c r="G38" s="1292"/>
      <c r="H38" s="2474"/>
      <c r="I38" s="1305"/>
      <c r="J38" s="1306"/>
      <c r="K38" s="2472"/>
      <c r="L38" s="2474"/>
      <c r="M38" s="2474"/>
    </row>
    <row r="39" spans="1:18" ht="24.6" customHeight="1" thickTop="1">
      <c r="A39" s="1016" t="s">
        <v>394</v>
      </c>
      <c r="B39" s="1031" t="s">
        <v>750</v>
      </c>
      <c r="C39" s="302">
        <f ca="1">C5-C30</f>
        <v>3999</v>
      </c>
      <c r="D39" s="1032" t="s">
        <v>751</v>
      </c>
      <c r="E39" s="1033"/>
      <c r="F39" s="1034"/>
      <c r="G39" s="1292"/>
      <c r="H39" s="2474"/>
      <c r="I39" s="1305"/>
      <c r="J39" s="1306"/>
      <c r="K39" s="2472"/>
      <c r="L39" s="2474"/>
      <c r="M39" s="2474"/>
    </row>
    <row r="40" spans="1:18" ht="18" customHeight="1">
      <c r="A40" s="291" t="s">
        <v>395</v>
      </c>
      <c r="B40" s="292" t="s">
        <v>772</v>
      </c>
      <c r="C40" s="293">
        <f ca="1">ROUND(C39*(1-((1+F42)/(1+F40))^F41)/(F40-F42),0)</f>
        <v>31403</v>
      </c>
      <c r="D40" s="316" t="s">
        <v>756</v>
      </c>
      <c r="E40" s="294" t="s">
        <v>757</v>
      </c>
      <c r="F40" s="304">
        <f ca="1">INDIRECT("'数据-取费表'!I"&amp;$G$1)</f>
        <v>0.05</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10.220000000000001</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f ca="1">ROUND(C40*10000/F43,0)</f>
        <v>2578</v>
      </c>
      <c r="D43" s="328" t="s">
        <v>775</v>
      </c>
      <c r="E43" s="329" t="s">
        <v>776</v>
      </c>
      <c r="F43" s="330">
        <f ca="1">INDIRECT("'数据-取费表'!k"&amp;$G$1)</f>
        <v>121804.97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806</v>
      </c>
      <c r="P45" s="1366"/>
      <c r="Q45" s="1366"/>
      <c r="R45" s="1366"/>
    </row>
    <row r="46" spans="1:18" s="1292" customFormat="1" ht="13.5" thickBot="1">
      <c r="A46" s="1311" t="s">
        <v>807</v>
      </c>
      <c r="C46" s="1312">
        <f ca="1">C68-C40</f>
        <v>-33861</v>
      </c>
      <c r="D46" s="1313" t="str">
        <f>C2</f>
        <v>万元</v>
      </c>
      <c r="E46" s="1307"/>
      <c r="F46" s="1307"/>
      <c r="I46" s="1314" t="s">
        <v>808</v>
      </c>
      <c r="J46" s="1315"/>
      <c r="K46" s="1316"/>
      <c r="L46" s="1317">
        <f ca="1">IF(M47="住宅",0,IF(L48&gt;J51,L60,J60))</f>
        <v>2315</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t="s">
        <v>3455</v>
      </c>
      <c r="K47" s="1323" t="s">
        <v>814</v>
      </c>
      <c r="L47" s="1324">
        <f ca="1">INDIRECT("'数据-取费表'!d"&amp;$G$1)</f>
        <v>50</v>
      </c>
      <c r="M47" s="1288" t="str">
        <f>IF(ISNUMBER(FIND("住宅",C1)),"住宅","非住宅")</f>
        <v>非住宅</v>
      </c>
      <c r="O47" s="1325" t="s">
        <v>403</v>
      </c>
      <c r="P47" s="1326" t="s">
        <v>815</v>
      </c>
      <c r="Q47" s="1327">
        <f ca="1">C40+J29</f>
        <v>89278</v>
      </c>
      <c r="R47" s="1327" t="s">
        <v>816</v>
      </c>
    </row>
    <row r="48" spans="1:18" s="1292" customFormat="1" ht="28.5" thickBot="1">
      <c r="A48" s="1047" t="s">
        <v>438</v>
      </c>
      <c r="B48" s="292" t="s">
        <v>690</v>
      </c>
      <c r="C48" s="1268">
        <f ca="1">C49+C53+C55</f>
        <v>0</v>
      </c>
      <c r="D48" s="1049"/>
      <c r="E48" s="1050"/>
      <c r="F48" s="908"/>
      <c r="G48" s="681"/>
      <c r="H48" s="682"/>
      <c r="I48" s="1328" t="s">
        <v>817</v>
      </c>
      <c r="J48" s="1329" t="s">
        <v>3514</v>
      </c>
      <c r="K48" s="1330" t="s">
        <v>818</v>
      </c>
      <c r="L48" s="1331">
        <f ca="1">INDIRECT("'数据-取费表'!f"&amp;$G$1)</f>
        <v>39.81</v>
      </c>
      <c r="O48" s="1325" t="s">
        <v>404</v>
      </c>
      <c r="P48" s="1326" t="s">
        <v>819</v>
      </c>
      <c r="Q48" s="1327">
        <f ca="1">J60</f>
        <v>2315</v>
      </c>
      <c r="R48" s="1327" t="s">
        <v>820</v>
      </c>
    </row>
    <row r="49" spans="1:18" s="1292" customFormat="1" ht="13.5" thickBot="1">
      <c r="A49" s="921" t="s">
        <v>439</v>
      </c>
      <c r="B49" s="1279" t="s">
        <v>777</v>
      </c>
      <c r="C49" s="1051">
        <f ca="1">ROUND(F49*F51*F50*(1-F52)/10000,0)</f>
        <v>0</v>
      </c>
      <c r="D49" s="992" t="s">
        <v>2106</v>
      </c>
      <c r="E49" s="1280" t="s">
        <v>778</v>
      </c>
      <c r="F49" s="997"/>
      <c r="H49" s="682"/>
      <c r="I49" s="1328" t="s">
        <v>821</v>
      </c>
      <c r="J49" s="1332">
        <v>2022</v>
      </c>
      <c r="K49" s="1330" t="s">
        <v>822</v>
      </c>
      <c r="L49" s="1333"/>
      <c r="O49" s="1334" t="s">
        <v>405</v>
      </c>
      <c r="P49" s="1326" t="s">
        <v>823</v>
      </c>
      <c r="Q49" s="1327">
        <f ca="1">C29</f>
        <v>103005</v>
      </c>
      <c r="R49" s="1327" t="s">
        <v>816</v>
      </c>
    </row>
    <row r="50" spans="1:18" s="1292" customFormat="1" ht="13.5" thickBot="1">
      <c r="A50" s="922"/>
      <c r="B50" s="925"/>
      <c r="C50" s="1055"/>
      <c r="D50" s="899"/>
      <c r="E50" s="993" t="s">
        <v>695</v>
      </c>
      <c r="F50" s="994">
        <f ca="1">F7</f>
        <v>121804.97</v>
      </c>
      <c r="H50" s="682"/>
      <c r="I50" s="1328" t="s">
        <v>824</v>
      </c>
      <c r="J50" s="1335">
        <f>SUMPRODUCT((I63:I65=J47)*(J62:L62=J48)*(J63:L65))</f>
        <v>60</v>
      </c>
      <c r="K50" s="1330" t="s">
        <v>825</v>
      </c>
      <c r="L50" s="1333"/>
      <c r="M50" s="1336"/>
      <c r="O50" s="1334" t="s">
        <v>406</v>
      </c>
      <c r="P50" s="1326" t="s">
        <v>826</v>
      </c>
      <c r="Q50" s="1337">
        <f ca="1">J58</f>
        <v>0.4</v>
      </c>
      <c r="R50" s="1327"/>
    </row>
    <row r="51" spans="1:18" s="1292" customFormat="1" ht="13.5" thickBot="1">
      <c r="A51" s="923"/>
      <c r="B51" s="925"/>
      <c r="C51" s="926"/>
      <c r="D51" s="899"/>
      <c r="E51" s="927" t="s">
        <v>696</v>
      </c>
      <c r="F51" s="295">
        <f ca="1">F8</f>
        <v>365</v>
      </c>
      <c r="I51" s="1338" t="s">
        <v>827</v>
      </c>
      <c r="J51" s="1331">
        <f>IF(J49="",J50,J49+J50-YEAR('数据-取费表'!B2))</f>
        <v>57</v>
      </c>
      <c r="K51" s="1339" t="s">
        <v>828</v>
      </c>
      <c r="L51" s="1340">
        <f ca="1">ROUND(-PV(INDIRECT("'数据-取费表'!h"&amp;$G$1),J51,(C39-C13*C76),0),0)</f>
        <v>-58198</v>
      </c>
      <c r="M51" s="1341"/>
      <c r="O51" s="1334" t="s">
        <v>407</v>
      </c>
      <c r="P51" s="1326" t="s">
        <v>829</v>
      </c>
      <c r="Q51" s="1337">
        <f>J52</f>
        <v>7.4999999999999997E-2</v>
      </c>
      <c r="R51" s="1327"/>
    </row>
    <row r="52" spans="1:18" s="1292" customFormat="1" ht="13.5" thickBot="1">
      <c r="A52" s="923"/>
      <c r="B52" s="925"/>
      <c r="C52" s="926"/>
      <c r="D52" s="899"/>
      <c r="E52" s="927" t="s">
        <v>697</v>
      </c>
      <c r="F52" s="991"/>
      <c r="I52" s="1342" t="s">
        <v>830</v>
      </c>
      <c r="J52" s="1343">
        <v>7.4999999999999997E-2</v>
      </c>
      <c r="K52" s="1342" t="s">
        <v>831</v>
      </c>
      <c r="L52" s="1343"/>
      <c r="O52" s="1334" t="s">
        <v>408</v>
      </c>
      <c r="P52" s="1326" t="s">
        <v>832</v>
      </c>
      <c r="Q52" s="1327">
        <f ca="1">J53</f>
        <v>39.81</v>
      </c>
      <c r="R52" s="1327" t="s">
        <v>833</v>
      </c>
    </row>
    <row r="53" spans="1:18" s="1292" customFormat="1" ht="24.75" thickBot="1">
      <c r="A53" s="1079" t="s">
        <v>440</v>
      </c>
      <c r="B53" s="1281"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39.81</v>
      </c>
      <c r="K53" s="3434" t="s">
        <v>835</v>
      </c>
      <c r="L53" s="3435"/>
      <c r="O53" s="1325" t="s">
        <v>409</v>
      </c>
      <c r="P53" s="1326" t="s">
        <v>836</v>
      </c>
      <c r="Q53" s="1327">
        <f ca="1">Q47+Q48</f>
        <v>91593</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f ca="1">ROUND(IF(J47="钢混",J57/J50,1-(1-2%)*(J50-J57)/J50),3)</f>
        <v>0.28699999999999998</v>
      </c>
      <c r="K55" s="1350" t="s">
        <v>839</v>
      </c>
      <c r="L55" s="1351"/>
      <c r="O55" s="1318" t="s">
        <v>809</v>
      </c>
      <c r="P55" s="1319" t="s">
        <v>810</v>
      </c>
      <c r="Q55" s="1320" t="s">
        <v>811</v>
      </c>
      <c r="R55" s="1320" t="s">
        <v>812</v>
      </c>
    </row>
    <row r="56" spans="1:18" s="1292" customFormat="1" ht="25.5" thickTop="1" thickBot="1">
      <c r="A56" s="903">
        <v>2</v>
      </c>
      <c r="B56" s="904" t="s">
        <v>702</v>
      </c>
      <c r="C56" s="224">
        <f ca="1">C13</f>
        <v>97855</v>
      </c>
      <c r="D56" s="1352"/>
      <c r="E56" s="1353"/>
      <c r="F56" s="1345"/>
      <c r="I56" s="1354" t="s">
        <v>840</v>
      </c>
      <c r="J56" s="1355" t="s">
        <v>3515</v>
      </c>
      <c r="K56" s="1328" t="s">
        <v>841</v>
      </c>
      <c r="L56" s="1331" t="str">
        <f ca="1">IF(L48&lt;J51,"——",L48-J53)</f>
        <v>——</v>
      </c>
      <c r="O56" s="1325" t="s">
        <v>403</v>
      </c>
      <c r="P56" s="1326" t="s">
        <v>815</v>
      </c>
      <c r="Q56" s="1327">
        <f ca="1">C40+J29</f>
        <v>89278</v>
      </c>
      <c r="R56" s="1327" t="s">
        <v>816</v>
      </c>
    </row>
    <row r="57" spans="1:18" s="1292" customFormat="1" ht="24.75" thickBot="1">
      <c r="A57" s="1356"/>
      <c r="B57" s="896" t="s">
        <v>765</v>
      </c>
      <c r="C57" s="230">
        <f ca="1">C29</f>
        <v>103005</v>
      </c>
      <c r="D57" s="1357"/>
      <c r="E57" s="1358"/>
      <c r="F57" s="1359"/>
      <c r="I57" s="1360" t="s">
        <v>842</v>
      </c>
      <c r="J57" s="1361">
        <f ca="1">IF(OR(M47="住宅",J51&lt;L48,J56="是"),"——",J51-L48)</f>
        <v>17.189999999999998</v>
      </c>
      <c r="K57" s="1328" t="s">
        <v>843</v>
      </c>
      <c r="L57" s="1331" t="str">
        <f ca="1">IF(L48&lt;J51,"——",IF(L55="比较法",L49,IF(L55="基准地价",L50,L51)))</f>
        <v>——</v>
      </c>
      <c r="O57" s="1325" t="s">
        <v>404</v>
      </c>
      <c r="P57" s="1326" t="s">
        <v>844</v>
      </c>
      <c r="Q57" s="1327">
        <f ca="1">L60</f>
        <v>0</v>
      </c>
      <c r="R57" s="1327" t="s">
        <v>845</v>
      </c>
    </row>
    <row r="58" spans="1:18" s="1292" customFormat="1" ht="24.75" thickBot="1">
      <c r="A58" s="307" t="s">
        <v>393</v>
      </c>
      <c r="B58" s="904" t="s">
        <v>712</v>
      </c>
      <c r="C58" s="308">
        <f ca="1">ROUND(C59+C64+C65+C66,0)</f>
        <v>313</v>
      </c>
      <c r="D58" s="906" t="s">
        <v>713</v>
      </c>
      <c r="E58" s="907"/>
      <c r="F58" s="908"/>
      <c r="I58" s="1360" t="s">
        <v>846</v>
      </c>
      <c r="J58" s="1362">
        <f ca="1">IF(J55&lt;0.4,0.4,J55)</f>
        <v>0.4</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9</v>
      </c>
      <c r="D59" s="909" t="s">
        <v>718</v>
      </c>
      <c r="E59" s="910" t="s">
        <v>719</v>
      </c>
      <c r="F59" s="2139" t="str">
        <f>IF(项目基本情况!B11="企业","——",IF('数据-取费表'!B10="住宅",IF(F49*F50*F51/12/(1+'数据-取费表'!F30)&gt;100000,4%,2.5%),IF(F49*F50*F51/12/(1+'数据-取费表'!F30)&gt;100000,12%,7%)))</f>
        <v>——</v>
      </c>
      <c r="I59" s="1360" t="s">
        <v>849</v>
      </c>
      <c r="J59" s="1361">
        <f ca="1">IF(OR(M47="住宅",J51&lt;L48,J56="是"),"——",ROUND(C29*J58,0))</f>
        <v>41202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5.6000000000000001E-2</v>
      </c>
      <c r="I60" s="1363" t="s">
        <v>851</v>
      </c>
      <c r="J60" s="1364">
        <f ca="1">IF(OR(M47="住宅",J51&lt;L48,J56="是"),"0",ROUND(J59/(1+J52)^J53,0))</f>
        <v>2315</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725</v>
      </c>
      <c r="C61" s="21">
        <f ca="1">IF(项目基本情况!B11="自然人","——",IF(D61="按租金收入计税",ROUND(C49*F61/(1+'数据-取费表'!C42),2),IF(D61="按房产原值计税",ROUND(C57*F61*0.7,2),INDIRECT("'数据-取费表'!Aj"&amp;$G$1))))</f>
        <v>0</v>
      </c>
      <c r="D61" s="1278" t="s">
        <v>3323</v>
      </c>
      <c r="E61" s="896" t="s">
        <v>710</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728</v>
      </c>
      <c r="C62" s="22">
        <f ca="1">IF(项目基本情况!B11="自然人","——",ROUND(F62*F63/10000,2))</f>
        <v>8.57</v>
      </c>
      <c r="D62" s="911" t="s">
        <v>729</v>
      </c>
      <c r="E62" s="896" t="s">
        <v>730</v>
      </c>
      <c r="F62" s="317">
        <f t="shared" si="0"/>
        <v>3</v>
      </c>
      <c r="I62" s="1367" t="s">
        <v>856</v>
      </c>
      <c r="J62" s="610" t="s">
        <v>857</v>
      </c>
      <c r="K62" s="610" t="s">
        <v>858</v>
      </c>
      <c r="L62" s="610" t="s">
        <v>859</v>
      </c>
      <c r="M62" s="1368" t="s">
        <v>860</v>
      </c>
      <c r="O62" s="1325" t="s">
        <v>409</v>
      </c>
      <c r="P62" s="1326" t="s">
        <v>836</v>
      </c>
      <c r="Q62" s="1327">
        <f ca="1">Q56+Q57</f>
        <v>89278</v>
      </c>
      <c r="R62" s="1327" t="s">
        <v>410</v>
      </c>
    </row>
    <row r="63" spans="1:18" s="1292" customFormat="1" ht="13.5" thickBot="1">
      <c r="A63" s="318"/>
      <c r="B63" s="902"/>
      <c r="C63" s="26"/>
      <c r="D63" s="912"/>
      <c r="E63" s="896" t="s">
        <v>734</v>
      </c>
      <c r="F63" s="295">
        <f t="shared" ca="1" si="0"/>
        <v>28578.019999999997</v>
      </c>
      <c r="I63" s="1367" t="s">
        <v>862</v>
      </c>
      <c r="J63" s="610">
        <v>70</v>
      </c>
      <c r="K63" s="610">
        <v>50</v>
      </c>
      <c r="L63" s="610">
        <v>80</v>
      </c>
      <c r="M63" s="1369">
        <v>0.02</v>
      </c>
      <c r="O63" s="1310" t="s">
        <v>863</v>
      </c>
      <c r="P63" s="1289"/>
      <c r="Q63" s="1289"/>
      <c r="R63" s="1289"/>
    </row>
    <row r="64" spans="1:18" s="1292" customFormat="1" ht="13.5" thickBot="1">
      <c r="A64" s="928" t="s">
        <v>402</v>
      </c>
      <c r="B64" s="896" t="s">
        <v>736</v>
      </c>
      <c r="C64" s="21">
        <f ca="1">ROUND(C57*F64,2)</f>
        <v>206.01</v>
      </c>
      <c r="D64" s="910" t="s">
        <v>769</v>
      </c>
      <c r="E64" s="896" t="s">
        <v>710</v>
      </c>
      <c r="F64" s="320">
        <f t="shared" ca="1" si="0"/>
        <v>2E-3</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97.86</v>
      </c>
      <c r="D65" s="910" t="s">
        <v>741</v>
      </c>
      <c r="E65" s="896" t="s">
        <v>710</v>
      </c>
      <c r="F65" s="321">
        <f t="shared" ca="1" si="0"/>
        <v>1E-3</v>
      </c>
      <c r="I65" s="1367" t="s">
        <v>865</v>
      </c>
      <c r="J65" s="610">
        <v>40</v>
      </c>
      <c r="K65" s="610">
        <v>30</v>
      </c>
      <c r="L65" s="610">
        <v>50</v>
      </c>
      <c r="M65" s="1369">
        <v>0.02</v>
      </c>
      <c r="O65" s="1325" t="s">
        <v>403</v>
      </c>
      <c r="P65" s="1326" t="s">
        <v>815</v>
      </c>
      <c r="Q65" s="1327">
        <f ca="1">C40+J29</f>
        <v>89278</v>
      </c>
      <c r="R65" s="1327" t="s">
        <v>816</v>
      </c>
    </row>
    <row r="66" spans="1:18" s="1292" customFormat="1" ht="16.5" thickBot="1">
      <c r="A66" s="928" t="s">
        <v>791</v>
      </c>
      <c r="B66" s="896" t="s">
        <v>726</v>
      </c>
      <c r="C66" s="21">
        <f ca="1">ROUND(C48*F66,2)</f>
        <v>0</v>
      </c>
      <c r="D66" s="910" t="s">
        <v>746</v>
      </c>
      <c r="E66" s="896" t="s">
        <v>710</v>
      </c>
      <c r="F66" s="304">
        <f t="shared" ca="1" si="0"/>
        <v>5.0000000000000001E-3</v>
      </c>
      <c r="O66" s="1325" t="s">
        <v>404</v>
      </c>
      <c r="P66" s="1326" t="s">
        <v>844</v>
      </c>
      <c r="Q66" s="1327">
        <f ca="1">L60</f>
        <v>0</v>
      </c>
      <c r="R66" s="1327" t="s">
        <v>867</v>
      </c>
    </row>
    <row r="67" spans="1:18" s="1292" customFormat="1" ht="16.5" thickBot="1">
      <c r="A67" s="903" t="s">
        <v>394</v>
      </c>
      <c r="B67" s="913" t="s">
        <v>750</v>
      </c>
      <c r="C67" s="308">
        <f ca="1">C48-C58</f>
        <v>-313</v>
      </c>
      <c r="D67" s="909" t="s">
        <v>751</v>
      </c>
      <c r="E67" s="914"/>
      <c r="F67" s="915"/>
      <c r="O67" s="1334" t="s">
        <v>405</v>
      </c>
      <c r="P67" s="1326" t="s">
        <v>848</v>
      </c>
      <c r="Q67" s="1370">
        <f ca="1">L51</f>
        <v>-58198</v>
      </c>
      <c r="R67" s="1327" t="s">
        <v>868</v>
      </c>
    </row>
    <row r="68" spans="1:18" s="1292" customFormat="1" ht="16.5" thickBot="1">
      <c r="A68" s="893" t="s">
        <v>395</v>
      </c>
      <c r="B68" s="894" t="s">
        <v>772</v>
      </c>
      <c r="C68" s="293">
        <f ca="1">ROUND(C67*(1-((1+F70)/(1+F68))^F69)/(F68-F70),0)</f>
        <v>-2458</v>
      </c>
      <c r="D68" s="911" t="s">
        <v>756</v>
      </c>
      <c r="E68" s="896" t="s">
        <v>757</v>
      </c>
      <c r="F68" s="304">
        <f ca="1">F40</f>
        <v>0.05</v>
      </c>
      <c r="O68" s="1334" t="s">
        <v>406</v>
      </c>
      <c r="P68" s="1371" t="s">
        <v>869</v>
      </c>
      <c r="Q68" s="1327">
        <f ca="1">ROUND(Q69-Q70*Q71,0)</f>
        <v>-2851</v>
      </c>
      <c r="R68" s="1327" t="s">
        <v>414</v>
      </c>
    </row>
    <row r="69" spans="1:18" s="1292" customFormat="1" ht="13.5" thickBot="1">
      <c r="A69" s="897"/>
      <c r="B69" s="898"/>
      <c r="C69" s="298"/>
      <c r="D69" s="916" t="s">
        <v>760</v>
      </c>
      <c r="E69" s="896" t="s">
        <v>761</v>
      </c>
      <c r="F69" s="324">
        <f ca="1">F41</f>
        <v>10.220000000000001</v>
      </c>
      <c r="O69" s="1334" t="s">
        <v>411</v>
      </c>
      <c r="P69" s="1371" t="s">
        <v>870</v>
      </c>
      <c r="Q69" s="1327">
        <f ca="1">C39</f>
        <v>3999</v>
      </c>
      <c r="R69" s="1327" t="s">
        <v>816</v>
      </c>
    </row>
    <row r="70" spans="1:18" s="1292" customFormat="1" ht="13.5" thickBot="1">
      <c r="A70" s="900"/>
      <c r="B70" s="901"/>
      <c r="C70" s="302"/>
      <c r="D70" s="912"/>
      <c r="E70" s="896" t="s">
        <v>764</v>
      </c>
      <c r="F70" s="991"/>
      <c r="O70" s="1334" t="s">
        <v>412</v>
      </c>
      <c r="P70" s="1371" t="s">
        <v>871</v>
      </c>
      <c r="Q70" s="1327">
        <f ca="1">C13</f>
        <v>97855</v>
      </c>
      <c r="R70" s="1327" t="s">
        <v>816</v>
      </c>
    </row>
    <row r="71" spans="1:18" s="1292" customFormat="1" ht="13.5" thickBot="1">
      <c r="A71" s="917" t="s">
        <v>396</v>
      </c>
      <c r="B71" s="918" t="s">
        <v>774</v>
      </c>
      <c r="C71" s="327">
        <f ca="1">ROUND(C68*10000/F71,0)</f>
        <v>-202</v>
      </c>
      <c r="D71" s="919" t="s">
        <v>775</v>
      </c>
      <c r="E71" s="920" t="s">
        <v>776</v>
      </c>
      <c r="F71" s="330">
        <f ca="1">F43</f>
        <v>121804.97</v>
      </c>
      <c r="O71" s="1334" t="s">
        <v>413</v>
      </c>
      <c r="P71" s="1371" t="s">
        <v>872</v>
      </c>
      <c r="Q71" s="1337">
        <f ca="1">C76</f>
        <v>7.0000000000000007E-2</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6850</v>
      </c>
      <c r="D75" s="1292"/>
      <c r="E75" s="1292"/>
      <c r="F75" s="1292"/>
      <c r="K75" s="1309"/>
      <c r="L75" s="1292"/>
      <c r="O75" s="1325" t="s">
        <v>409</v>
      </c>
      <c r="P75" s="1326" t="s">
        <v>836</v>
      </c>
      <c r="Q75" s="1327">
        <f ca="1">Q65+Q66</f>
        <v>89278</v>
      </c>
      <c r="R75" s="1327" t="s">
        <v>410</v>
      </c>
    </row>
    <row r="76" spans="1:18">
      <c r="B76" s="333" t="s">
        <v>794</v>
      </c>
      <c r="C76" s="334">
        <f ca="1">INDIRECT("'数据-取费表'!j"&amp;$G$1)</f>
        <v>7.0000000000000007E-2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-0.71300000000000008</v>
      </c>
    </row>
    <row r="80" spans="1:18">
      <c r="B80" s="331" t="s">
        <v>798</v>
      </c>
      <c r="C80" s="266">
        <f ca="1">ROUND(C75/C39,3)</f>
        <v>1.7130000000000001</v>
      </c>
    </row>
    <row r="81" spans="2:3">
      <c r="B81" s="262" t="s">
        <v>799</v>
      </c>
      <c r="C81" s="230"/>
    </row>
    <row r="82" spans="2:3">
      <c r="B82" s="265" t="s">
        <v>800</v>
      </c>
      <c r="C82" s="267">
        <f ca="1">1-C83</f>
        <v>-2.1160000000000001</v>
      </c>
    </row>
    <row r="83" spans="2:3">
      <c r="B83" s="265" t="s">
        <v>801</v>
      </c>
      <c r="C83" s="266">
        <f ca="1">ROUND(C13/C40,3)</f>
        <v>3.1160000000000001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disablePrompts="1" count="9">
    <dataValidation type="list" allowBlank="1" showInputMessage="1" showErrorMessage="1" sqref="D1" xr:uid="{B55E25D9-2FF2-456C-9E5B-D36BD5A8A30C}">
      <formula1>"在建（套用方法）,土地（套用方法）,——"</formula1>
    </dataValidation>
    <dataValidation type="list" allowBlank="1" showInputMessage="1" showErrorMessage="1" sqref="M10 F10 F53" xr:uid="{0AED7934-B0F6-4C95-8206-D87CE14A0A74}">
      <formula1>"押一,押二,押三,自定义"</formula1>
    </dataValidation>
    <dataValidation type="list" allowBlank="1" showInputMessage="1" showErrorMessage="1" sqref="L55" xr:uid="{B4F8AF20-F88D-4175-A53C-DA9E70CE1422}">
      <formula1>"比较法,基准地价,收益还原"</formula1>
    </dataValidation>
    <dataValidation type="list" allowBlank="1" showInputMessage="1" showErrorMessage="1" sqref="J56" xr:uid="{924D17A5-A29F-43B7-88FC-E491A76B919A}">
      <formula1>估价范围判定</formula1>
    </dataValidation>
    <dataValidation type="list" allowBlank="1" showInputMessage="1" showErrorMessage="1" sqref="J48" xr:uid="{F4A94FF6-2CF0-45BE-A1F4-A69973268A32}">
      <formula1>"非生产用房,生产用房,受腐蚀的生产用房"</formula1>
    </dataValidation>
    <dataValidation type="list" allowBlank="1" showInputMessage="1" showErrorMessage="1" sqref="J47" xr:uid="{51963F30-B750-4615-A339-6DCB5E82AC98}">
      <formula1>"钢,钢混,砖混"</formula1>
    </dataValidation>
    <dataValidation type="list" allowBlank="1" showInputMessage="1" showErrorMessage="1" sqref="C1" xr:uid="{A5FE946E-3F7C-435A-99D2-545DEAFCCE0B}">
      <formula1>项目类型</formula1>
    </dataValidation>
    <dataValidation type="list" allowBlank="1" showInputMessage="1" showErrorMessage="1" sqref="D33 D61" xr:uid="{CF95DF64-1E89-41E3-9BE7-96D36D5F59A8}">
      <formula1>"按租金收入计税,按房产原值计税,按票据"</formula1>
    </dataValidation>
    <dataValidation type="list" allowBlank="1" showInputMessage="1" showErrorMessage="1" sqref="K19" xr:uid="{1AC34F4D-A3DA-4AF2-8A73-2B6B923D762F}">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518" t="s">
        <v>2596</v>
      </c>
      <c r="B20" s="3511" t="s">
        <v>2617</v>
      </c>
      <c r="C20" s="3169" t="s">
        <v>2428</v>
      </c>
      <c r="D20" s="3169"/>
      <c r="E20" s="2845">
        <v>1</v>
      </c>
      <c r="F20" s="2846" t="s">
        <v>2429</v>
      </c>
      <c r="G20" s="2846"/>
    </row>
    <row r="21" spans="1:13" ht="19.5" customHeight="1">
      <c r="A21" s="3519"/>
      <c r="B21" s="3507"/>
      <c r="C21" s="2858" t="s">
        <v>2430</v>
      </c>
      <c r="D21" s="2858"/>
      <c r="E21" s="2849">
        <v>1</v>
      </c>
      <c r="F21" s="2846" t="s">
        <v>2431</v>
      </c>
      <c r="G21" s="2846"/>
    </row>
    <row r="22" spans="1:13" ht="19.5" customHeight="1">
      <c r="A22" s="3519"/>
      <c r="B22" s="3507"/>
      <c r="C22" s="2858" t="s">
        <v>2432</v>
      </c>
      <c r="D22" s="2858"/>
      <c r="E22" s="2849">
        <v>0.9</v>
      </c>
      <c r="F22" s="2846" t="s">
        <v>2433</v>
      </c>
      <c r="G22" s="2846"/>
    </row>
    <row r="23" spans="1:13" ht="19.5" customHeight="1">
      <c r="A23" s="3519"/>
      <c r="B23" s="3507"/>
      <c r="C23" s="2858" t="s">
        <v>2434</v>
      </c>
      <c r="D23" s="2858"/>
      <c r="E23" s="2849">
        <v>0.9</v>
      </c>
      <c r="F23" s="2846" t="s">
        <v>2435</v>
      </c>
      <c r="G23" s="2846"/>
    </row>
    <row r="24" spans="1:13" ht="19.5" customHeight="1">
      <c r="A24" s="3519"/>
      <c r="B24" s="3507"/>
      <c r="C24" s="2858" t="s">
        <v>2436</v>
      </c>
      <c r="D24" s="2858"/>
      <c r="E24" s="2849">
        <v>0.8</v>
      </c>
      <c r="F24" s="2846" t="s">
        <v>2437</v>
      </c>
      <c r="G24" s="2846"/>
    </row>
    <row r="25" spans="1:13" ht="19.5" customHeight="1">
      <c r="A25" s="3519"/>
      <c r="B25" s="3507"/>
      <c r="C25" s="2858" t="s">
        <v>2438</v>
      </c>
      <c r="D25" s="2858"/>
      <c r="E25" s="2849">
        <v>0.8</v>
      </c>
      <c r="F25" s="2846"/>
      <c r="G25" s="2846"/>
    </row>
    <row r="26" spans="1:13" ht="19.5" customHeight="1">
      <c r="A26" s="3519"/>
      <c r="B26" s="3507"/>
      <c r="C26" s="2858" t="s">
        <v>3399</v>
      </c>
      <c r="D26" s="2858"/>
      <c r="E26" s="2849">
        <v>0.43</v>
      </c>
      <c r="F26" s="2846"/>
      <c r="G26" s="2846"/>
    </row>
    <row r="27" spans="1:13" ht="19.5" customHeight="1" thickBot="1">
      <c r="A27" s="3520"/>
      <c r="B27" s="3512"/>
      <c r="C27" s="3165" t="s">
        <v>3400</v>
      </c>
      <c r="D27" s="3165"/>
      <c r="E27" s="2852">
        <f>E26*0.9</f>
        <v>0.38700000000000001</v>
      </c>
      <c r="F27" s="2846" t="s">
        <v>2439</v>
      </c>
      <c r="G27" s="2846"/>
    </row>
    <row r="28" spans="1:13" ht="19.5" customHeight="1" thickBot="1">
      <c r="A28" s="3164" t="s">
        <v>2618</v>
      </c>
      <c r="B28" s="3163" t="s">
        <v>2617</v>
      </c>
      <c r="C28" s="3166" t="s">
        <v>2619</v>
      </c>
      <c r="D28" s="3167"/>
      <c r="E28" s="3168">
        <v>1</v>
      </c>
      <c r="F28" s="2846" t="s">
        <v>2440</v>
      </c>
      <c r="G28" s="2846"/>
    </row>
    <row r="29" spans="1:13" ht="19.5" customHeight="1">
      <c r="A29" s="3513" t="s">
        <v>2620</v>
      </c>
      <c r="B29" s="3516" t="s">
        <v>2601</v>
      </c>
      <c r="C29" s="2843" t="s">
        <v>2441</v>
      </c>
      <c r="D29" s="2844"/>
      <c r="E29" s="2845">
        <v>1</v>
      </c>
      <c r="F29" s="2846" t="s">
        <v>2442</v>
      </c>
      <c r="G29" s="2846"/>
    </row>
    <row r="30" spans="1:13" ht="19.5" customHeight="1">
      <c r="A30" s="3514"/>
      <c r="B30" s="3510"/>
      <c r="C30" s="2847" t="s">
        <v>2443</v>
      </c>
      <c r="D30" s="2848"/>
      <c r="E30" s="2849">
        <v>1</v>
      </c>
      <c r="F30" s="2846" t="s">
        <v>2444</v>
      </c>
      <c r="G30" s="2846"/>
    </row>
    <row r="31" spans="1:13" ht="19.5" customHeight="1">
      <c r="A31" s="3514"/>
      <c r="B31" s="3510"/>
      <c r="C31" s="2847" t="s">
        <v>2445</v>
      </c>
      <c r="D31" s="2848"/>
      <c r="E31" s="2849">
        <v>0.8</v>
      </c>
      <c r="F31" s="2846" t="s">
        <v>2446</v>
      </c>
      <c r="G31" s="2846"/>
    </row>
    <row r="32" spans="1:13" ht="19.5" customHeight="1">
      <c r="A32" s="3514"/>
      <c r="B32" s="3510"/>
      <c r="C32" s="2847" t="s">
        <v>2447</v>
      </c>
      <c r="D32" s="2848"/>
      <c r="E32" s="2849">
        <v>0.8</v>
      </c>
      <c r="F32" s="2846" t="s">
        <v>2448</v>
      </c>
      <c r="G32" s="2846"/>
    </row>
    <row r="33" spans="1:7" ht="19.5" customHeight="1">
      <c r="A33" s="3514"/>
      <c r="B33" s="3510"/>
      <c r="C33" s="2847" t="s">
        <v>2449</v>
      </c>
      <c r="D33" s="2848"/>
      <c r="E33" s="2849">
        <v>0.8</v>
      </c>
      <c r="F33" s="2846" t="s">
        <v>2450</v>
      </c>
      <c r="G33" s="2846"/>
    </row>
    <row r="34" spans="1:7" ht="19.5" customHeight="1">
      <c r="A34" s="3514"/>
      <c r="B34" s="3510"/>
      <c r="C34" s="2847" t="s">
        <v>2451</v>
      </c>
      <c r="D34" s="2848"/>
      <c r="E34" s="2849">
        <v>0.7</v>
      </c>
      <c r="F34" s="2846" t="s">
        <v>2452</v>
      </c>
      <c r="G34" s="2846"/>
    </row>
    <row r="35" spans="1:7" ht="19.5" customHeight="1">
      <c r="A35" s="3514"/>
      <c r="B35" s="3510"/>
      <c r="C35" s="2847" t="s">
        <v>2453</v>
      </c>
      <c r="D35" s="2848"/>
      <c r="E35" s="2849">
        <v>0.8</v>
      </c>
      <c r="F35" s="2846" t="s">
        <v>2454</v>
      </c>
      <c r="G35" s="2846"/>
    </row>
    <row r="36" spans="1:7" ht="19.5" customHeight="1">
      <c r="A36" s="3514"/>
      <c r="B36" s="3510"/>
      <c r="C36" s="2847" t="s">
        <v>2455</v>
      </c>
      <c r="D36" s="2848"/>
      <c r="E36" s="2849">
        <v>0.6</v>
      </c>
      <c r="F36" s="2846" t="s">
        <v>2456</v>
      </c>
      <c r="G36" s="2846"/>
    </row>
    <row r="37" spans="1:7" ht="19.5" customHeight="1">
      <c r="A37" s="3514"/>
      <c r="B37" s="3510"/>
      <c r="C37" s="2847" t="s">
        <v>2457</v>
      </c>
      <c r="D37" s="2848"/>
      <c r="E37" s="2849">
        <v>0.2</v>
      </c>
      <c r="F37" s="2846" t="s">
        <v>2458</v>
      </c>
      <c r="G37" s="2846"/>
    </row>
    <row r="38" spans="1:7" ht="19.5" customHeight="1">
      <c r="A38" s="3514"/>
      <c r="B38" s="3510"/>
      <c r="C38" s="2847" t="s">
        <v>2459</v>
      </c>
      <c r="D38" s="2848"/>
      <c r="E38" s="2849">
        <v>0.2</v>
      </c>
      <c r="F38" s="2846" t="s">
        <v>2460</v>
      </c>
      <c r="G38" s="2846"/>
    </row>
    <row r="39" spans="1:7" ht="19.5" customHeight="1">
      <c r="A39" s="3514"/>
      <c r="B39" s="3508" t="s">
        <v>2621</v>
      </c>
      <c r="C39" s="2847" t="s">
        <v>2461</v>
      </c>
      <c r="D39" s="2848"/>
      <c r="E39" s="2849">
        <v>0.6</v>
      </c>
      <c r="F39" s="2846" t="s">
        <v>2462</v>
      </c>
      <c r="G39" s="2846"/>
    </row>
    <row r="40" spans="1:7" ht="19.5" customHeight="1">
      <c r="A40" s="3514"/>
      <c r="B40" s="3510"/>
      <c r="C40" s="2847" t="s">
        <v>2463</v>
      </c>
      <c r="D40" s="2848"/>
      <c r="E40" s="2849">
        <v>0.6</v>
      </c>
      <c r="F40" s="2846" t="s">
        <v>2464</v>
      </c>
      <c r="G40" s="2846"/>
    </row>
    <row r="41" spans="1:7" ht="19.5" customHeight="1" thickBot="1">
      <c r="A41" s="3515"/>
      <c r="B41" s="3517"/>
      <c r="C41" s="2850" t="s">
        <v>2465</v>
      </c>
      <c r="D41" s="2851"/>
      <c r="E41" s="2852">
        <v>0.6</v>
      </c>
      <c r="F41" s="2846" t="s">
        <v>2466</v>
      </c>
      <c r="G41" s="2846"/>
    </row>
    <row r="42" spans="1:7" ht="19.5" customHeight="1" thickBot="1">
      <c r="A42" s="2853" t="s">
        <v>2598</v>
      </c>
      <c r="B42" s="2854" t="s">
        <v>2598</v>
      </c>
      <c r="C42" s="2855" t="s">
        <v>2622</v>
      </c>
      <c r="D42" s="2856"/>
      <c r="E42" s="2857">
        <v>1</v>
      </c>
      <c r="F42" s="2846" t="s">
        <v>2467</v>
      </c>
      <c r="G42" s="2846"/>
    </row>
    <row r="43" spans="1:7" ht="19.5" customHeight="1">
      <c r="A43" s="3518" t="s">
        <v>2599</v>
      </c>
      <c r="B43" s="3516" t="s">
        <v>2623</v>
      </c>
      <c r="C43" s="2843" t="s">
        <v>2468</v>
      </c>
      <c r="D43" s="2844"/>
      <c r="E43" s="2845">
        <v>1</v>
      </c>
      <c r="F43" s="2846" t="s">
        <v>2469</v>
      </c>
      <c r="G43" s="2846"/>
    </row>
    <row r="44" spans="1:7" ht="19.5" customHeight="1">
      <c r="A44" s="3519"/>
      <c r="B44" s="3510"/>
      <c r="C44" s="2847" t="s">
        <v>2470</v>
      </c>
      <c r="D44" s="2848"/>
      <c r="E44" s="2849">
        <v>1</v>
      </c>
      <c r="F44" s="2846" t="s">
        <v>2471</v>
      </c>
      <c r="G44" s="2846"/>
    </row>
    <row r="45" spans="1:7" ht="19.5" customHeight="1">
      <c r="A45" s="3519"/>
      <c r="B45" s="3509"/>
      <c r="C45" s="2847" t="s">
        <v>2472</v>
      </c>
      <c r="D45" s="2848"/>
      <c r="E45" s="2849">
        <v>1.5</v>
      </c>
      <c r="F45" s="2846" t="s">
        <v>2473</v>
      </c>
      <c r="G45" s="2846"/>
    </row>
    <row r="46" spans="1:7" ht="19.5" customHeight="1">
      <c r="A46" s="3519"/>
      <c r="B46" s="2858" t="s">
        <v>2624</v>
      </c>
      <c r="C46" s="2847" t="s">
        <v>2625</v>
      </c>
      <c r="D46" s="2848"/>
      <c r="E46" s="2849">
        <v>2</v>
      </c>
      <c r="F46" s="2846" t="s">
        <v>2474</v>
      </c>
      <c r="G46" s="2846"/>
    </row>
    <row r="47" spans="1:7" ht="19.5" customHeight="1">
      <c r="A47" s="3519"/>
      <c r="B47" s="3508" t="s">
        <v>2626</v>
      </c>
      <c r="C47" s="2847" t="s">
        <v>2475</v>
      </c>
      <c r="D47" s="2848"/>
      <c r="E47" s="2849">
        <v>1</v>
      </c>
      <c r="F47" s="2846" t="s">
        <v>2476</v>
      </c>
      <c r="G47" s="2846"/>
    </row>
    <row r="48" spans="1:7" ht="19.5" customHeight="1">
      <c r="A48" s="3519"/>
      <c r="B48" s="3510"/>
      <c r="C48" s="2847" t="s">
        <v>2477</v>
      </c>
      <c r="D48" s="2848"/>
      <c r="E48" s="2849">
        <v>1</v>
      </c>
      <c r="F48" s="2846" t="s">
        <v>2478</v>
      </c>
      <c r="G48" s="2846"/>
    </row>
    <row r="49" spans="1:7" ht="19.5" customHeight="1">
      <c r="A49" s="3519"/>
      <c r="B49" s="3510"/>
      <c r="C49" s="2847" t="s">
        <v>2479</v>
      </c>
      <c r="D49" s="2848"/>
      <c r="E49" s="2849">
        <v>1</v>
      </c>
      <c r="F49" s="2846" t="s">
        <v>2480</v>
      </c>
      <c r="G49" s="2846"/>
    </row>
    <row r="50" spans="1:7" ht="19.5" customHeight="1">
      <c r="A50" s="3519"/>
      <c r="B50" s="3510"/>
      <c r="C50" s="2847" t="s">
        <v>2481</v>
      </c>
      <c r="D50" s="2848"/>
      <c r="E50" s="2849">
        <v>1</v>
      </c>
      <c r="F50" s="2846" t="s">
        <v>2482</v>
      </c>
      <c r="G50" s="2846"/>
    </row>
    <row r="51" spans="1:7" ht="19.5" customHeight="1">
      <c r="A51" s="3519"/>
      <c r="B51" s="3510"/>
      <c r="C51" s="2847" t="s">
        <v>2483</v>
      </c>
      <c r="D51" s="2848"/>
      <c r="E51" s="2849">
        <v>1</v>
      </c>
      <c r="F51" s="2846" t="s">
        <v>2484</v>
      </c>
      <c r="G51" s="2846"/>
    </row>
    <row r="52" spans="1:7" ht="19.5" customHeight="1">
      <c r="A52" s="3519"/>
      <c r="B52" s="3510"/>
      <c r="C52" s="2847" t="s">
        <v>2485</v>
      </c>
      <c r="D52" s="2848"/>
      <c r="E52" s="2849">
        <v>1</v>
      </c>
      <c r="F52" s="2846" t="s">
        <v>2486</v>
      </c>
      <c r="G52" s="2846"/>
    </row>
    <row r="53" spans="1:7" ht="19.5" customHeight="1" thickBot="1">
      <c r="A53" s="3520"/>
      <c r="B53" s="3517"/>
      <c r="C53" s="2850" t="s">
        <v>2487</v>
      </c>
      <c r="D53" s="2851"/>
      <c r="E53" s="2852">
        <v>1</v>
      </c>
      <c r="F53" s="2846" t="s">
        <v>2488</v>
      </c>
      <c r="G53" s="2846"/>
    </row>
    <row r="54" spans="1:7" ht="19.5" customHeight="1">
      <c r="A54" s="2859"/>
      <c r="B54" s="2859"/>
      <c r="C54" s="2859"/>
      <c r="D54" s="2859"/>
      <c r="E54" s="2859"/>
      <c r="F54" s="2859"/>
      <c r="G54" s="2859"/>
    </row>
    <row r="56" spans="1:7" ht="19.5" customHeight="1">
      <c r="A56" s="2860"/>
      <c r="B56" s="2832" t="s">
        <v>2627</v>
      </c>
      <c r="C56" s="2832" t="s">
        <v>2627</v>
      </c>
      <c r="D56" s="2832" t="s">
        <v>2627</v>
      </c>
      <c r="E56" s="2835" t="s">
        <v>2627</v>
      </c>
      <c r="F56" s="2835" t="s">
        <v>2628</v>
      </c>
      <c r="G56" s="2835" t="s">
        <v>2629</v>
      </c>
    </row>
    <row r="57" spans="1:7" ht="19.5" customHeight="1">
      <c r="A57" s="2861"/>
      <c r="B57" s="2835" t="s">
        <v>2596</v>
      </c>
      <c r="C57" s="2835" t="s">
        <v>2596</v>
      </c>
      <c r="D57" s="2835" t="s">
        <v>2596</v>
      </c>
      <c r="E57" s="2832" t="s">
        <v>2597</v>
      </c>
      <c r="F57" s="2832" t="s">
        <v>2599</v>
      </c>
      <c r="G57" s="2832" t="s">
        <v>2630</v>
      </c>
    </row>
    <row r="58" spans="1:7" ht="19.5" customHeight="1">
      <c r="A58" s="2862"/>
      <c r="B58" s="2832">
        <v>1</v>
      </c>
      <c r="C58" s="2832">
        <v>2</v>
      </c>
      <c r="D58" s="2832">
        <v>3</v>
      </c>
      <c r="E58" s="2863" t="s">
        <v>2631</v>
      </c>
      <c r="F58" s="2863" t="s">
        <v>2631</v>
      </c>
      <c r="G58" s="2863" t="s">
        <v>2631</v>
      </c>
    </row>
    <row r="59" spans="1:7" ht="19.5" customHeight="1">
      <c r="A59" s="2864" t="s">
        <v>2584</v>
      </c>
      <c r="B59" s="2832">
        <v>0.7</v>
      </c>
      <c r="C59" s="2832">
        <v>0.4</v>
      </c>
      <c r="D59" s="2832">
        <v>0.3</v>
      </c>
      <c r="E59" s="2863">
        <v>0.3</v>
      </c>
      <c r="F59" s="2832">
        <v>0.3</v>
      </c>
      <c r="G59" s="2832">
        <v>0.2</v>
      </c>
    </row>
    <row r="60" spans="1:7" ht="19.5" customHeight="1">
      <c r="A60" s="2864" t="s">
        <v>2585</v>
      </c>
      <c r="B60" s="2832">
        <v>0.7</v>
      </c>
      <c r="C60" s="2832">
        <v>0.4</v>
      </c>
      <c r="D60" s="2832">
        <v>0.3</v>
      </c>
      <c r="E60" s="2832">
        <v>0.3</v>
      </c>
      <c r="F60" s="2832">
        <v>0.3</v>
      </c>
      <c r="G60" s="2832">
        <v>0.2</v>
      </c>
    </row>
    <row r="61" spans="1:7" ht="19.5" customHeight="1">
      <c r="A61" s="2864" t="s">
        <v>2586</v>
      </c>
      <c r="B61" s="2832">
        <v>0.6</v>
      </c>
      <c r="C61" s="2832">
        <v>0.3</v>
      </c>
      <c r="D61" s="2832">
        <v>0.25</v>
      </c>
      <c r="E61" s="2832">
        <v>0.25</v>
      </c>
      <c r="F61" s="2832">
        <v>0.25</v>
      </c>
      <c r="G61" s="2832">
        <v>0.15</v>
      </c>
    </row>
    <row r="62" spans="1:7" ht="19.5" customHeight="1">
      <c r="A62" s="2864" t="s">
        <v>2587</v>
      </c>
      <c r="B62" s="2832">
        <v>0.6</v>
      </c>
      <c r="C62" s="2832">
        <v>0.3</v>
      </c>
      <c r="D62" s="2832">
        <v>0.25</v>
      </c>
      <c r="E62" s="2832">
        <v>0.25</v>
      </c>
      <c r="F62" s="2832">
        <v>0.25</v>
      </c>
      <c r="G62" s="2832">
        <v>0.15</v>
      </c>
    </row>
    <row r="63" spans="1:7" ht="19.5" customHeight="1">
      <c r="A63" s="2864" t="s">
        <v>2588</v>
      </c>
      <c r="B63" s="2832">
        <v>0.6</v>
      </c>
      <c r="C63" s="2832">
        <v>0.3</v>
      </c>
      <c r="D63" s="2832">
        <v>0.25</v>
      </c>
      <c r="E63" s="2832">
        <v>0.25</v>
      </c>
      <c r="F63" s="2832">
        <v>0.25</v>
      </c>
      <c r="G63" s="2832">
        <v>0.15</v>
      </c>
    </row>
    <row r="64" spans="1:7" ht="19.5" customHeight="1">
      <c r="A64" s="2864" t="s">
        <v>2589</v>
      </c>
      <c r="B64" s="2832">
        <v>0.6</v>
      </c>
      <c r="C64" s="2832">
        <v>0.3</v>
      </c>
      <c r="D64" s="2832">
        <v>0.25</v>
      </c>
      <c r="E64" s="2832">
        <v>0.25</v>
      </c>
      <c r="F64" s="2832">
        <v>0.25</v>
      </c>
      <c r="G64" s="2832">
        <v>0.15</v>
      </c>
    </row>
    <row r="65" spans="1:7" ht="19.5" customHeight="1">
      <c r="A65" s="2864" t="s">
        <v>2590</v>
      </c>
      <c r="B65" s="2832">
        <v>0.6</v>
      </c>
      <c r="C65" s="2832">
        <v>0.3</v>
      </c>
      <c r="D65" s="2832">
        <v>0.25</v>
      </c>
      <c r="E65" s="2832">
        <v>0.25</v>
      </c>
      <c r="F65" s="2832">
        <v>0.25</v>
      </c>
      <c r="G65" s="2832">
        <v>0.15</v>
      </c>
    </row>
    <row r="66" spans="1:7" ht="19.5" customHeight="1">
      <c r="A66" s="2864" t="s">
        <v>2591</v>
      </c>
      <c r="B66" s="2832">
        <v>0.5</v>
      </c>
      <c r="C66" s="2832">
        <v>0.2</v>
      </c>
      <c r="D66" s="2832">
        <v>0.2</v>
      </c>
      <c r="E66" s="2832">
        <v>0.2</v>
      </c>
      <c r="F66" s="2832">
        <v>0.2</v>
      </c>
      <c r="G66" s="2832">
        <v>0.1</v>
      </c>
    </row>
    <row r="67" spans="1:7" ht="19.5" customHeight="1">
      <c r="A67" s="2864" t="s">
        <v>2592</v>
      </c>
      <c r="B67" s="2832">
        <v>0.5</v>
      </c>
      <c r="C67" s="2832">
        <v>0.2</v>
      </c>
      <c r="D67" s="2832">
        <v>0.2</v>
      </c>
      <c r="E67" s="2832">
        <v>0.2</v>
      </c>
      <c r="F67" s="2832">
        <v>0.2</v>
      </c>
      <c r="G67" s="2832">
        <v>0.1</v>
      </c>
    </row>
    <row r="68" spans="1:7" ht="19.5" customHeight="1">
      <c r="A68" s="2864" t="s">
        <v>2593</v>
      </c>
      <c r="B68" s="2832">
        <v>0.5</v>
      </c>
      <c r="C68" s="2832">
        <v>0.2</v>
      </c>
      <c r="D68" s="2832">
        <v>0.2</v>
      </c>
      <c r="E68" s="2832">
        <v>0.2</v>
      </c>
      <c r="F68" s="2832">
        <v>0.2</v>
      </c>
      <c r="G68" s="2832">
        <v>0.1</v>
      </c>
    </row>
    <row r="69" spans="1:7" ht="19.5" customHeight="1">
      <c r="A69" s="2864" t="s">
        <v>2594</v>
      </c>
      <c r="B69" s="2832">
        <v>0.5</v>
      </c>
      <c r="C69" s="2832">
        <v>0.2</v>
      </c>
      <c r="D69" s="2832">
        <v>0.2</v>
      </c>
      <c r="E69" s="2832">
        <v>0.2</v>
      </c>
      <c r="F69" s="2832">
        <v>0.2</v>
      </c>
      <c r="G69" s="2832">
        <v>0.1</v>
      </c>
    </row>
    <row r="70" spans="1:7" ht="19.5" customHeight="1">
      <c r="A70" s="2864" t="s">
        <v>2595</v>
      </c>
      <c r="B70" s="2832">
        <v>0.5</v>
      </c>
      <c r="C70" s="2832">
        <v>0.2</v>
      </c>
      <c r="D70" s="2832">
        <v>0.2</v>
      </c>
      <c r="E70" s="2832">
        <v>0.2</v>
      </c>
      <c r="F70" s="2832">
        <v>0.2</v>
      </c>
      <c r="G70" s="2832">
        <v>0.1</v>
      </c>
    </row>
    <row r="72" spans="1:7" ht="19.5" customHeight="1">
      <c r="A72" s="2846"/>
      <c r="B72" s="2865"/>
      <c r="C72" s="2865"/>
      <c r="D72" s="2865" t="s">
        <v>2632</v>
      </c>
      <c r="E72" s="2865"/>
      <c r="F72" s="2865"/>
    </row>
    <row r="73" spans="1:7" ht="19.5" customHeight="1">
      <c r="A73" s="2858" t="s">
        <v>2633</v>
      </c>
      <c r="B73" s="2858" t="s">
        <v>2634</v>
      </c>
      <c r="C73" s="2858" t="s">
        <v>2635</v>
      </c>
      <c r="D73" s="2858" t="s">
        <v>2636</v>
      </c>
      <c r="E73" s="2858" t="s">
        <v>2637</v>
      </c>
      <c r="F73" s="2858" t="s">
        <v>2638</v>
      </c>
    </row>
    <row r="74" spans="1:7" ht="13.5">
      <c r="A74" s="2858"/>
      <c r="B74" s="2858"/>
      <c r="C74" s="2858" t="s">
        <v>2639</v>
      </c>
      <c r="D74" s="2858"/>
      <c r="E74" s="2858" t="s">
        <v>2610</v>
      </c>
      <c r="F74" s="2858" t="s">
        <v>2610</v>
      </c>
    </row>
    <row r="75" spans="1:7" ht="13.5">
      <c r="A75" s="2858">
        <v>1</v>
      </c>
      <c r="B75" s="3508" t="s">
        <v>2640</v>
      </c>
      <c r="C75" s="2832" t="s">
        <v>2641</v>
      </c>
      <c r="D75" s="2832" t="s">
        <v>2642</v>
      </c>
      <c r="E75" s="2858">
        <v>0.2</v>
      </c>
      <c r="F75" s="2858">
        <v>25</v>
      </c>
    </row>
    <row r="76" spans="1:7" ht="24">
      <c r="A76" s="2858">
        <v>2</v>
      </c>
      <c r="B76" s="3510"/>
      <c r="C76" s="2832" t="s">
        <v>2643</v>
      </c>
      <c r="D76" s="2832" t="s">
        <v>2644</v>
      </c>
      <c r="E76" s="2858">
        <v>0.2</v>
      </c>
      <c r="F76" s="2858">
        <v>25</v>
      </c>
    </row>
    <row r="77" spans="1:7" ht="24">
      <c r="A77" s="2858">
        <v>3</v>
      </c>
      <c r="B77" s="3510"/>
      <c r="C77" s="2832" t="s">
        <v>2645</v>
      </c>
      <c r="D77" s="2832" t="s">
        <v>2646</v>
      </c>
      <c r="E77" s="2858">
        <v>0.2</v>
      </c>
      <c r="F77" s="2858">
        <v>25</v>
      </c>
    </row>
    <row r="78" spans="1:7" ht="13.5">
      <c r="A78" s="2858">
        <v>4</v>
      </c>
      <c r="B78" s="3510"/>
      <c r="C78" s="2832" t="s">
        <v>2647</v>
      </c>
      <c r="D78" s="2832" t="s">
        <v>2648</v>
      </c>
      <c r="E78" s="2858">
        <v>0.15</v>
      </c>
      <c r="F78" s="2858">
        <v>20</v>
      </c>
    </row>
    <row r="79" spans="1:7" ht="24">
      <c r="A79" s="2858">
        <v>5</v>
      </c>
      <c r="B79" s="3510"/>
      <c r="C79" s="2832" t="s">
        <v>2649</v>
      </c>
      <c r="D79" s="2832" t="s">
        <v>2650</v>
      </c>
      <c r="E79" s="2858">
        <v>0.15</v>
      </c>
      <c r="F79" s="2858">
        <v>20</v>
      </c>
    </row>
    <row r="80" spans="1:7" ht="24">
      <c r="A80" s="2858">
        <v>6</v>
      </c>
      <c r="B80" s="3510"/>
      <c r="C80" s="2832" t="s">
        <v>2651</v>
      </c>
      <c r="D80" s="2832" t="s">
        <v>2652</v>
      </c>
      <c r="E80" s="2858">
        <v>0.15</v>
      </c>
      <c r="F80" s="2858">
        <v>20</v>
      </c>
    </row>
    <row r="81" spans="1:6" ht="24">
      <c r="A81" s="2858">
        <v>7</v>
      </c>
      <c r="B81" s="3510"/>
      <c r="C81" s="2832" t="s">
        <v>2653</v>
      </c>
      <c r="D81" s="2832" t="s">
        <v>2654</v>
      </c>
      <c r="E81" s="2858">
        <v>0.15</v>
      </c>
      <c r="F81" s="2858">
        <v>20</v>
      </c>
    </row>
    <row r="82" spans="1:6" ht="24">
      <c r="A82" s="2858">
        <v>8</v>
      </c>
      <c r="B82" s="3510"/>
      <c r="C82" s="2832" t="s">
        <v>2655</v>
      </c>
      <c r="D82" s="2832" t="s">
        <v>2656</v>
      </c>
      <c r="E82" s="2858">
        <v>0.1</v>
      </c>
      <c r="F82" s="2858">
        <v>15</v>
      </c>
    </row>
    <row r="83" spans="1:6" ht="24">
      <c r="A83" s="2858">
        <v>9</v>
      </c>
      <c r="B83" s="3510"/>
      <c r="C83" s="2832" t="s">
        <v>2657</v>
      </c>
      <c r="D83" s="2832" t="s">
        <v>2658</v>
      </c>
      <c r="E83" s="2858">
        <v>0.1</v>
      </c>
      <c r="F83" s="2858">
        <v>15</v>
      </c>
    </row>
    <row r="84" spans="1:6" ht="24">
      <c r="A84" s="2858">
        <v>10</v>
      </c>
      <c r="B84" s="3510"/>
      <c r="C84" s="2832" t="s">
        <v>2659</v>
      </c>
      <c r="D84" s="2832" t="s">
        <v>2660</v>
      </c>
      <c r="E84" s="2858">
        <v>0.1</v>
      </c>
      <c r="F84" s="2858">
        <v>15</v>
      </c>
    </row>
    <row r="85" spans="1:6" ht="24">
      <c r="A85" s="2858">
        <v>11</v>
      </c>
      <c r="B85" s="3510"/>
      <c r="C85" s="2832" t="s">
        <v>2661</v>
      </c>
      <c r="D85" s="2832" t="s">
        <v>2662</v>
      </c>
      <c r="E85" s="2858">
        <v>0.1</v>
      </c>
      <c r="F85" s="2858">
        <v>15</v>
      </c>
    </row>
    <row r="86" spans="1:6" ht="24">
      <c r="A86" s="2858">
        <v>12</v>
      </c>
      <c r="B86" s="3510"/>
      <c r="C86" s="2832" t="s">
        <v>2663</v>
      </c>
      <c r="D86" s="2832" t="s">
        <v>2664</v>
      </c>
      <c r="E86" s="2858">
        <v>0.1</v>
      </c>
      <c r="F86" s="2858">
        <v>15</v>
      </c>
    </row>
    <row r="87" spans="1:6" ht="13.5">
      <c r="A87" s="2858">
        <v>13</v>
      </c>
      <c r="B87" s="3510"/>
      <c r="C87" s="2832" t="s">
        <v>2665</v>
      </c>
      <c r="D87" s="2832" t="s">
        <v>2666</v>
      </c>
      <c r="E87" s="2858">
        <v>0.1</v>
      </c>
      <c r="F87" s="2858">
        <v>15</v>
      </c>
    </row>
    <row r="88" spans="1:6" ht="13.5">
      <c r="A88" s="2858">
        <v>14</v>
      </c>
      <c r="B88" s="3510"/>
      <c r="C88" s="2832" t="s">
        <v>2667</v>
      </c>
      <c r="D88" s="2832" t="s">
        <v>2668</v>
      </c>
      <c r="E88" s="2858">
        <v>0.1</v>
      </c>
      <c r="F88" s="2858">
        <v>15</v>
      </c>
    </row>
    <row r="89" spans="1:6" ht="13.5">
      <c r="A89" s="2858">
        <v>15</v>
      </c>
      <c r="B89" s="3510"/>
      <c r="C89" s="2832" t="s">
        <v>2669</v>
      </c>
      <c r="D89" s="2832" t="s">
        <v>2670</v>
      </c>
      <c r="E89" s="2858">
        <v>0.1</v>
      </c>
      <c r="F89" s="2858">
        <v>15</v>
      </c>
    </row>
    <row r="90" spans="1:6" ht="24">
      <c r="A90" s="2858">
        <v>16</v>
      </c>
      <c r="B90" s="3510"/>
      <c r="C90" s="2832" t="s">
        <v>2671</v>
      </c>
      <c r="D90" s="2832" t="s">
        <v>2672</v>
      </c>
      <c r="E90" s="2858">
        <v>0.1</v>
      </c>
      <c r="F90" s="2858">
        <v>15</v>
      </c>
    </row>
    <row r="91" spans="1:6" ht="24">
      <c r="A91" s="2858">
        <v>17</v>
      </c>
      <c r="B91" s="3509"/>
      <c r="C91" s="2832" t="s">
        <v>2673</v>
      </c>
      <c r="D91" s="2832" t="s">
        <v>2674</v>
      </c>
      <c r="E91" s="2858">
        <v>0.1</v>
      </c>
      <c r="F91" s="2858">
        <v>15</v>
      </c>
    </row>
    <row r="92" spans="1:6" ht="13.5">
      <c r="A92" s="2858">
        <v>18</v>
      </c>
      <c r="B92" s="3508" t="s">
        <v>2675</v>
      </c>
      <c r="C92" s="2832" t="s">
        <v>2676</v>
      </c>
      <c r="D92" s="2832" t="s">
        <v>2677</v>
      </c>
      <c r="E92" s="2858">
        <v>0.2</v>
      </c>
      <c r="F92" s="2858">
        <v>25</v>
      </c>
    </row>
    <row r="93" spans="1:6" ht="24">
      <c r="A93" s="2858">
        <v>19</v>
      </c>
      <c r="B93" s="3510"/>
      <c r="C93" s="2832" t="s">
        <v>2678</v>
      </c>
      <c r="D93" s="2832" t="s">
        <v>2679</v>
      </c>
      <c r="E93" s="2858">
        <v>0.2</v>
      </c>
      <c r="F93" s="2858">
        <v>25</v>
      </c>
    </row>
    <row r="94" spans="1:6" ht="13.5">
      <c r="A94" s="2858">
        <v>20</v>
      </c>
      <c r="B94" s="3510"/>
      <c r="C94" s="2832" t="s">
        <v>2680</v>
      </c>
      <c r="D94" s="2832" t="s">
        <v>2681</v>
      </c>
      <c r="E94" s="2858">
        <v>0.15</v>
      </c>
      <c r="F94" s="2858">
        <v>20</v>
      </c>
    </row>
    <row r="95" spans="1:6" ht="13.5">
      <c r="A95" s="2858">
        <v>21</v>
      </c>
      <c r="B95" s="3510"/>
      <c r="C95" s="2832" t="s">
        <v>2682</v>
      </c>
      <c r="D95" s="2832" t="s">
        <v>2683</v>
      </c>
      <c r="E95" s="2858">
        <v>0.15</v>
      </c>
      <c r="F95" s="2858">
        <v>20</v>
      </c>
    </row>
    <row r="96" spans="1:6" ht="13.5">
      <c r="A96" s="2858">
        <v>22</v>
      </c>
      <c r="B96" s="3510"/>
      <c r="C96" s="2832" t="s">
        <v>2684</v>
      </c>
      <c r="D96" s="2832" t="s">
        <v>2685</v>
      </c>
      <c r="E96" s="2858">
        <v>0.15</v>
      </c>
      <c r="F96" s="2858">
        <v>20</v>
      </c>
    </row>
    <row r="97" spans="1:6" ht="36">
      <c r="A97" s="2858">
        <v>23</v>
      </c>
      <c r="B97" s="3510"/>
      <c r="C97" s="2832" t="s">
        <v>2686</v>
      </c>
      <c r="D97" s="2832" t="s">
        <v>2687</v>
      </c>
      <c r="E97" s="2858">
        <v>0.15</v>
      </c>
      <c r="F97" s="2858">
        <v>20</v>
      </c>
    </row>
    <row r="98" spans="1:6" ht="13.5">
      <c r="A98" s="2858">
        <v>24</v>
      </c>
      <c r="B98" s="3510"/>
      <c r="C98" s="2832" t="s">
        <v>2688</v>
      </c>
      <c r="D98" s="2832" t="s">
        <v>2689</v>
      </c>
      <c r="E98" s="2858">
        <v>0.1</v>
      </c>
      <c r="F98" s="2858">
        <v>15</v>
      </c>
    </row>
    <row r="99" spans="1:6" ht="13.5">
      <c r="A99" s="2858">
        <v>25</v>
      </c>
      <c r="B99" s="3510"/>
      <c r="C99" s="2832" t="s">
        <v>2690</v>
      </c>
      <c r="D99" s="2832" t="s">
        <v>2691</v>
      </c>
      <c r="E99" s="2858">
        <v>0.1</v>
      </c>
      <c r="F99" s="2858">
        <v>15</v>
      </c>
    </row>
    <row r="100" spans="1:6" ht="24">
      <c r="A100" s="2858">
        <v>26</v>
      </c>
      <c r="B100" s="3510"/>
      <c r="C100" s="2832" t="s">
        <v>2692</v>
      </c>
      <c r="D100" s="2832" t="s">
        <v>2693</v>
      </c>
      <c r="E100" s="2858">
        <v>0.1</v>
      </c>
      <c r="F100" s="2858">
        <v>15</v>
      </c>
    </row>
    <row r="101" spans="1:6" ht="24">
      <c r="A101" s="2858">
        <v>27</v>
      </c>
      <c r="B101" s="3510"/>
      <c r="C101" s="2832" t="s">
        <v>2694</v>
      </c>
      <c r="D101" s="2832" t="s">
        <v>2695</v>
      </c>
      <c r="E101" s="2858">
        <v>0.1</v>
      </c>
      <c r="F101" s="2858">
        <v>15</v>
      </c>
    </row>
    <row r="102" spans="1:6" ht="13.5">
      <c r="A102" s="2858">
        <v>28</v>
      </c>
      <c r="B102" s="3510"/>
      <c r="C102" s="2832" t="s">
        <v>2696</v>
      </c>
      <c r="D102" s="2832" t="s">
        <v>2697</v>
      </c>
      <c r="E102" s="2858">
        <v>0.1</v>
      </c>
      <c r="F102" s="2858">
        <v>15</v>
      </c>
    </row>
    <row r="103" spans="1:6" ht="13.5">
      <c r="A103" s="2858">
        <v>29</v>
      </c>
      <c r="B103" s="3510"/>
      <c r="C103" s="2832" t="s">
        <v>2698</v>
      </c>
      <c r="D103" s="2832" t="s">
        <v>2699</v>
      </c>
      <c r="E103" s="2858">
        <v>0.1</v>
      </c>
      <c r="F103" s="2858">
        <v>15</v>
      </c>
    </row>
    <row r="104" spans="1:6" ht="13.5">
      <c r="A104" s="2858">
        <v>30</v>
      </c>
      <c r="B104" s="3510"/>
      <c r="C104" s="2832" t="s">
        <v>2700</v>
      </c>
      <c r="D104" s="2832" t="s">
        <v>2701</v>
      </c>
      <c r="E104" s="2858">
        <v>0.1</v>
      </c>
      <c r="F104" s="2858">
        <v>15</v>
      </c>
    </row>
    <row r="105" spans="1:6" ht="24">
      <c r="A105" s="2858">
        <v>31</v>
      </c>
      <c r="B105" s="3510"/>
      <c r="C105" s="2832" t="s">
        <v>2702</v>
      </c>
      <c r="D105" s="2832" t="s">
        <v>2703</v>
      </c>
      <c r="E105" s="2858">
        <v>0.1</v>
      </c>
      <c r="F105" s="2858">
        <v>15</v>
      </c>
    </row>
    <row r="106" spans="1:6" ht="24">
      <c r="A106" s="2858">
        <v>32</v>
      </c>
      <c r="B106" s="3510"/>
      <c r="C106" s="2832" t="s">
        <v>2704</v>
      </c>
      <c r="D106" s="2832" t="s">
        <v>2705</v>
      </c>
      <c r="E106" s="2858">
        <v>0.1</v>
      </c>
      <c r="F106" s="2858">
        <v>15</v>
      </c>
    </row>
    <row r="107" spans="1:6" ht="24">
      <c r="A107" s="2858">
        <v>33</v>
      </c>
      <c r="B107" s="3510"/>
      <c r="C107" s="2832" t="s">
        <v>2706</v>
      </c>
      <c r="D107" s="2832" t="s">
        <v>2707</v>
      </c>
      <c r="E107" s="2858">
        <v>0.1</v>
      </c>
      <c r="F107" s="2858">
        <v>15</v>
      </c>
    </row>
    <row r="108" spans="1:6" ht="24">
      <c r="A108" s="2858">
        <v>34</v>
      </c>
      <c r="B108" s="3509"/>
      <c r="C108" s="2832" t="s">
        <v>2708</v>
      </c>
      <c r="D108" s="2832" t="s">
        <v>2709</v>
      </c>
      <c r="E108" s="2858">
        <v>0.1</v>
      </c>
      <c r="F108" s="2858">
        <v>15</v>
      </c>
    </row>
    <row r="109" spans="1:6" ht="24">
      <c r="A109" s="2858">
        <v>35</v>
      </c>
      <c r="B109" s="3508" t="s">
        <v>2710</v>
      </c>
      <c r="C109" s="2858" t="s">
        <v>2711</v>
      </c>
      <c r="D109" s="2832" t="s">
        <v>2712</v>
      </c>
      <c r="E109" s="2858">
        <v>0.15</v>
      </c>
      <c r="F109" s="2858">
        <v>20</v>
      </c>
    </row>
    <row r="110" spans="1:6" ht="13.5">
      <c r="A110" s="2858">
        <v>36</v>
      </c>
      <c r="B110" s="3510"/>
      <c r="C110" s="2858" t="s">
        <v>2713</v>
      </c>
      <c r="D110" s="2832" t="s">
        <v>2714</v>
      </c>
      <c r="E110" s="2858">
        <v>0.15</v>
      </c>
      <c r="F110" s="2858">
        <v>20</v>
      </c>
    </row>
    <row r="111" spans="1:6" ht="13.5">
      <c r="A111" s="2858">
        <v>37</v>
      </c>
      <c r="B111" s="3510"/>
      <c r="C111" s="2858" t="s">
        <v>2715</v>
      </c>
      <c r="D111" s="2832" t="s">
        <v>2716</v>
      </c>
      <c r="E111" s="2858">
        <v>0.15</v>
      </c>
      <c r="F111" s="2858">
        <v>20</v>
      </c>
    </row>
    <row r="112" spans="1:6" ht="13.5">
      <c r="A112" s="2858">
        <v>38</v>
      </c>
      <c r="B112" s="3510"/>
      <c r="C112" s="2858" t="s">
        <v>2717</v>
      </c>
      <c r="D112" s="2832" t="s">
        <v>2718</v>
      </c>
      <c r="E112" s="2858">
        <v>0.1</v>
      </c>
      <c r="F112" s="2858">
        <v>15</v>
      </c>
    </row>
    <row r="113" spans="1:6" ht="24">
      <c r="A113" s="2858">
        <v>39</v>
      </c>
      <c r="B113" s="3510"/>
      <c r="C113" s="2858" t="s">
        <v>2719</v>
      </c>
      <c r="D113" s="2832" t="s">
        <v>2720</v>
      </c>
      <c r="E113" s="2858">
        <v>0.1</v>
      </c>
      <c r="F113" s="2858">
        <v>15</v>
      </c>
    </row>
    <row r="114" spans="1:6" ht="24">
      <c r="A114" s="2858">
        <v>40</v>
      </c>
      <c r="B114" s="3509"/>
      <c r="C114" s="2858" t="s">
        <v>2721</v>
      </c>
      <c r="D114" s="2832" t="s">
        <v>2722</v>
      </c>
      <c r="E114" s="2858">
        <v>0.1</v>
      </c>
      <c r="F114" s="2858">
        <v>15</v>
      </c>
    </row>
    <row r="115" spans="1:6" ht="13.5">
      <c r="A115" s="2858">
        <v>41</v>
      </c>
      <c r="B115" s="3507" t="s">
        <v>2723</v>
      </c>
      <c r="C115" s="2858" t="s">
        <v>2724</v>
      </c>
      <c r="D115" s="2832" t="s">
        <v>2725</v>
      </c>
      <c r="E115" s="2858">
        <v>0.1</v>
      </c>
      <c r="F115" s="2858">
        <v>15</v>
      </c>
    </row>
    <row r="116" spans="1:6" ht="13.5">
      <c r="A116" s="2858">
        <v>42</v>
      </c>
      <c r="B116" s="3507"/>
      <c r="C116" s="2858" t="s">
        <v>2726</v>
      </c>
      <c r="D116" s="2832" t="s">
        <v>2727</v>
      </c>
      <c r="E116" s="2858">
        <v>0.1</v>
      </c>
      <c r="F116" s="2858">
        <v>15</v>
      </c>
    </row>
    <row r="117" spans="1:6" ht="24">
      <c r="A117" s="2858">
        <v>43</v>
      </c>
      <c r="B117" s="3507"/>
      <c r="C117" s="2858" t="s">
        <v>2728</v>
      </c>
      <c r="D117" s="2832" t="s">
        <v>2729</v>
      </c>
      <c r="E117" s="2858">
        <v>0.1</v>
      </c>
      <c r="F117" s="2858">
        <v>15</v>
      </c>
    </row>
    <row r="118" spans="1:6" ht="13.5">
      <c r="A118" s="2858">
        <v>44</v>
      </c>
      <c r="B118" s="3508" t="s">
        <v>2730</v>
      </c>
      <c r="C118" s="2858" t="s">
        <v>2731</v>
      </c>
      <c r="D118" s="2832" t="s">
        <v>2732</v>
      </c>
      <c r="E118" s="2858">
        <v>0.1</v>
      </c>
      <c r="F118" s="2858">
        <v>15</v>
      </c>
    </row>
    <row r="119" spans="1:6" ht="24">
      <c r="A119" s="2858">
        <v>45</v>
      </c>
      <c r="B119" s="3509"/>
      <c r="C119" s="2832" t="s">
        <v>2733</v>
      </c>
      <c r="D119" s="2832" t="s">
        <v>2734</v>
      </c>
      <c r="E119" s="2858">
        <v>0.1</v>
      </c>
      <c r="F119" s="2858">
        <v>15</v>
      </c>
    </row>
    <row r="120" spans="1:6" ht="24">
      <c r="A120" s="2858">
        <v>46</v>
      </c>
      <c r="B120" s="3508" t="s">
        <v>2735</v>
      </c>
      <c r="C120" s="2858" t="s">
        <v>2736</v>
      </c>
      <c r="D120" s="2832" t="s">
        <v>2737</v>
      </c>
      <c r="E120" s="2858">
        <v>0.1</v>
      </c>
      <c r="F120" s="2858">
        <v>15</v>
      </c>
    </row>
    <row r="121" spans="1:6" ht="24">
      <c r="A121" s="2858">
        <v>47</v>
      </c>
      <c r="B121" s="3509"/>
      <c r="C121" s="2858" t="s">
        <v>2738</v>
      </c>
      <c r="D121" s="2832" t="s">
        <v>2739</v>
      </c>
      <c r="E121" s="2858">
        <v>0.1</v>
      </c>
      <c r="F121" s="2858">
        <v>15</v>
      </c>
    </row>
    <row r="122" spans="1:6" ht="13.5">
      <c r="A122" s="2858">
        <v>48</v>
      </c>
      <c r="B122" s="3508" t="s">
        <v>2740</v>
      </c>
      <c r="C122" s="2858" t="s">
        <v>2741</v>
      </c>
      <c r="D122" s="2832" t="s">
        <v>2742</v>
      </c>
      <c r="E122" s="2858">
        <v>0.1</v>
      </c>
      <c r="F122" s="2858">
        <v>15</v>
      </c>
    </row>
    <row r="123" spans="1:6" ht="13.5">
      <c r="A123" s="2858">
        <v>49</v>
      </c>
      <c r="B123" s="3509"/>
      <c r="C123" s="2858" t="s">
        <v>2743</v>
      </c>
      <c r="D123" s="2832" t="s">
        <v>2744</v>
      </c>
      <c r="E123" s="2858">
        <v>0.1</v>
      </c>
      <c r="F123" s="2858">
        <v>15</v>
      </c>
    </row>
    <row r="124" spans="1:6" ht="24">
      <c r="A124" s="2858">
        <v>50</v>
      </c>
      <c r="B124" s="3507" t="s">
        <v>2745</v>
      </c>
      <c r="C124" s="2858" t="s">
        <v>2746</v>
      </c>
      <c r="D124" s="2832" t="s">
        <v>2747</v>
      </c>
      <c r="E124" s="2858">
        <v>0.1</v>
      </c>
      <c r="F124" s="2858">
        <v>15</v>
      </c>
    </row>
    <row r="125" spans="1:6" ht="24">
      <c r="A125" s="2858">
        <v>51</v>
      </c>
      <c r="B125" s="3507"/>
      <c r="C125" s="2858" t="s">
        <v>2748</v>
      </c>
      <c r="D125" s="2832" t="s">
        <v>2749</v>
      </c>
      <c r="E125" s="2858">
        <v>0.1</v>
      </c>
      <c r="F125" s="2858">
        <v>15</v>
      </c>
    </row>
    <row r="126" spans="1:6" ht="24">
      <c r="A126" s="2858">
        <v>52</v>
      </c>
      <c r="B126" s="3507" t="s">
        <v>2750</v>
      </c>
      <c r="C126" s="2858" t="s">
        <v>2751</v>
      </c>
      <c r="D126" s="2832" t="s">
        <v>2752</v>
      </c>
      <c r="E126" s="2858">
        <v>0.1</v>
      </c>
      <c r="F126" s="2858">
        <v>15</v>
      </c>
    </row>
    <row r="127" spans="1:6" ht="24">
      <c r="A127" s="2858">
        <v>53</v>
      </c>
      <c r="B127" s="3507"/>
      <c r="C127" s="2858" t="s">
        <v>2753</v>
      </c>
      <c r="D127" s="2832" t="s">
        <v>2754</v>
      </c>
      <c r="E127" s="2858">
        <v>0.1</v>
      </c>
      <c r="F127" s="2858">
        <v>15</v>
      </c>
    </row>
    <row r="128" spans="1:6" ht="13.5">
      <c r="A128" s="2858">
        <v>54</v>
      </c>
      <c r="B128" s="2858" t="s">
        <v>2755</v>
      </c>
      <c r="C128" s="2858" t="s">
        <v>2756</v>
      </c>
      <c r="D128" s="2832" t="s">
        <v>2757</v>
      </c>
      <c r="E128" s="2858">
        <v>0.1</v>
      </c>
      <c r="F128" s="2858">
        <v>15</v>
      </c>
    </row>
    <row r="129" spans="1:6" ht="13.5">
      <c r="A129" s="2858">
        <v>55</v>
      </c>
      <c r="B129" s="3507" t="s">
        <v>2758</v>
      </c>
      <c r="C129" s="2858" t="s">
        <v>2759</v>
      </c>
      <c r="D129" s="2832" t="s">
        <v>2760</v>
      </c>
      <c r="E129" s="2858">
        <v>0.1</v>
      </c>
      <c r="F129" s="2858">
        <v>15</v>
      </c>
    </row>
    <row r="130" spans="1:6" ht="13.5">
      <c r="A130" s="2858">
        <v>56</v>
      </c>
      <c r="B130" s="3507"/>
      <c r="C130" s="2858" t="s">
        <v>2761</v>
      </c>
      <c r="D130" s="2832" t="s">
        <v>2762</v>
      </c>
      <c r="E130" s="2858">
        <v>0.1</v>
      </c>
      <c r="F130" s="2858">
        <v>15</v>
      </c>
    </row>
    <row r="131" spans="1:6" ht="24">
      <c r="A131" s="2858">
        <v>57</v>
      </c>
      <c r="B131" s="3507"/>
      <c r="C131" s="2858" t="s">
        <v>2763</v>
      </c>
      <c r="D131" s="2832" t="s">
        <v>2764</v>
      </c>
      <c r="E131" s="2858">
        <v>0.1</v>
      </c>
      <c r="F131" s="2858">
        <v>15</v>
      </c>
    </row>
    <row r="132" spans="1:6" ht="24">
      <c r="A132" s="2858">
        <v>58</v>
      </c>
      <c r="B132" s="3507" t="s">
        <v>2765</v>
      </c>
      <c r="C132" s="2858" t="s">
        <v>2766</v>
      </c>
      <c r="D132" s="2832" t="s">
        <v>2767</v>
      </c>
      <c r="E132" s="2858">
        <v>0.1</v>
      </c>
      <c r="F132" s="2858">
        <v>15</v>
      </c>
    </row>
    <row r="133" spans="1:6" ht="13.5">
      <c r="A133" s="2858">
        <v>59</v>
      </c>
      <c r="B133" s="3507"/>
      <c r="C133" s="2858" t="s">
        <v>2768</v>
      </c>
      <c r="D133" s="2832" t="s">
        <v>2769</v>
      </c>
      <c r="E133" s="2858">
        <v>0.1</v>
      </c>
      <c r="F133" s="2858">
        <v>15</v>
      </c>
    </row>
    <row r="134" spans="1:6" ht="13.5">
      <c r="A134" s="2858">
        <v>60</v>
      </c>
      <c r="B134" s="3508" t="s">
        <v>2770</v>
      </c>
      <c r="C134" s="2858" t="s">
        <v>2771</v>
      </c>
      <c r="D134" s="2832" t="s">
        <v>2772</v>
      </c>
      <c r="E134" s="2858">
        <v>0.1</v>
      </c>
      <c r="F134" s="2858">
        <v>15</v>
      </c>
    </row>
    <row r="135" spans="1:6" ht="13.5">
      <c r="A135" s="2858">
        <v>61</v>
      </c>
      <c r="B135" s="3509"/>
      <c r="C135" s="2858" t="s">
        <v>2773</v>
      </c>
      <c r="D135" s="2832" t="s">
        <v>2774</v>
      </c>
      <c r="E135" s="2858">
        <v>0.1</v>
      </c>
      <c r="F135" s="2858">
        <v>15</v>
      </c>
    </row>
    <row r="136" spans="1:6" ht="24">
      <c r="A136" s="2858">
        <v>62</v>
      </c>
      <c r="B136" s="2858" t="s">
        <v>2775</v>
      </c>
      <c r="C136" s="2858" t="s">
        <v>2776</v>
      </c>
      <c r="D136" s="2832" t="s">
        <v>2777</v>
      </c>
      <c r="E136" s="2858">
        <v>0.1</v>
      </c>
      <c r="F136" s="2858">
        <v>15</v>
      </c>
    </row>
    <row r="137" spans="1:6" ht="13.5">
      <c r="A137" s="2858">
        <v>63</v>
      </c>
      <c r="B137" s="3507" t="s">
        <v>2778</v>
      </c>
      <c r="C137" s="2858" t="s">
        <v>2779</v>
      </c>
      <c r="D137" s="2832" t="s">
        <v>2780</v>
      </c>
      <c r="E137" s="2858">
        <v>0.1</v>
      </c>
      <c r="F137" s="2858">
        <v>15</v>
      </c>
    </row>
    <row r="138" spans="1:6" ht="13.5">
      <c r="A138" s="2858">
        <v>64</v>
      </c>
      <c r="B138" s="3507"/>
      <c r="C138" s="2858" t="s">
        <v>2781</v>
      </c>
      <c r="D138" s="2832" t="s">
        <v>2782</v>
      </c>
      <c r="E138" s="2858">
        <v>0.1</v>
      </c>
      <c r="F138" s="2858">
        <v>15</v>
      </c>
    </row>
    <row r="139" spans="1:6" ht="13.5">
      <c r="A139" s="2858">
        <v>65</v>
      </c>
      <c r="B139" s="2858" t="s">
        <v>2783</v>
      </c>
      <c r="C139" s="2858" t="s">
        <v>2784</v>
      </c>
      <c r="D139" s="2832" t="s">
        <v>2785</v>
      </c>
      <c r="E139" s="2858">
        <v>0.1</v>
      </c>
      <c r="F139" s="2858">
        <v>15</v>
      </c>
    </row>
    <row r="140" spans="1:6" ht="13.5">
      <c r="A140" s="2858"/>
      <c r="B140" s="2858"/>
      <c r="C140" s="2858"/>
      <c r="D140" s="2858"/>
      <c r="E140" s="2858" t="s">
        <v>2786</v>
      </c>
      <c r="F140" s="2858"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1.0908</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1.0376000000000001</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221705</v>
      </c>
      <c r="C2" s="2" t="s">
        <v>106</v>
      </c>
      <c r="D2" s="191"/>
      <c r="E2" s="191"/>
      <c r="F2" s="191"/>
      <c r="G2" s="191"/>
    </row>
    <row r="3" spans="1:7" s="192" customFormat="1" ht="18" customHeight="1" thickBot="1">
      <c r="A3" s="195" t="s">
        <v>58</v>
      </c>
      <c r="B3" s="196">
        <f ca="1">ROUND(B2*10000/'数据-汇总表'!E3,0)</f>
        <v>9808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4521</v>
      </c>
      <c r="D10" s="795">
        <f>'数据-汇总表'!E6</f>
        <v>226041.84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4521</v>
      </c>
      <c r="D19" s="204">
        <f>'数据-汇总表'!E3</f>
        <v>226041.84</v>
      </c>
      <c r="E19" s="203">
        <f>'数据-取费表'!B31</f>
        <v>200</v>
      </c>
      <c r="F19" s="223"/>
      <c r="G19" s="1" t="s">
        <v>436</v>
      </c>
    </row>
    <row r="20" spans="1:7" s="206" customFormat="1" ht="13.5" customHeight="1">
      <c r="A20" s="731" t="s">
        <v>419</v>
      </c>
      <c r="B20" s="202" t="s">
        <v>77</v>
      </c>
      <c r="C20" s="224">
        <f>ROUND((C5+C19)*F20,0)</f>
        <v>754</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2567</v>
      </c>
      <c r="D22" s="227">
        <f ca="1">C26</f>
        <v>1.5E-3</v>
      </c>
      <c r="E22" s="228" t="s">
        <v>99</v>
      </c>
      <c r="F22" s="229">
        <f ca="1">'数据-取费表'!B40</f>
        <v>3.2500000000000001E-2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2075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455</v>
      </c>
      <c r="D24" s="230"/>
      <c r="E24" s="230"/>
      <c r="F24" s="231"/>
      <c r="G24" s="232" t="s">
        <v>82</v>
      </c>
    </row>
    <row r="25" spans="1:7" s="206" customFormat="1" ht="24">
      <c r="A25" s="734" t="s">
        <v>348</v>
      </c>
      <c r="B25" s="207" t="s">
        <v>420</v>
      </c>
      <c r="C25" s="1042">
        <f ca="1">ROUND(IF('数据-取费表'!B22&lt;=1,C20*F22*'数据-取费表'!B23/2,C20*(POWER((1+F22),'数据-取费表'!B23/2)-1)),0)</f>
        <v>37</v>
      </c>
      <c r="D25" s="230"/>
      <c r="E25" s="233"/>
      <c r="F25" s="231"/>
      <c r="G25" s="234" t="s">
        <v>83</v>
      </c>
    </row>
    <row r="26" spans="1:7" s="206" customFormat="1">
      <c r="A26" s="734" t="s">
        <v>350</v>
      </c>
      <c r="B26" s="207" t="s">
        <v>422</v>
      </c>
      <c r="C26" s="230">
        <f ca="1">ROUND(IF('数据-取费表'!B22&lt;=1,F21*F22*'数据-取费表'!B23/2,F21*(POWER((1+F22),'数据-取费表'!B23/2)-1)),4)</f>
        <v>1.5E-3</v>
      </c>
      <c r="D26" s="230"/>
      <c r="E26" s="233"/>
      <c r="F26" s="231"/>
      <c r="G26" s="235"/>
    </row>
    <row r="27" spans="1:7" s="206" customFormat="1" ht="24.75">
      <c r="A27" s="731" t="s">
        <v>342</v>
      </c>
      <c r="B27" s="236" t="s">
        <v>85</v>
      </c>
      <c r="C27" s="237">
        <f>C28</f>
        <v>2847</v>
      </c>
      <c r="D27" s="227">
        <f>C29</f>
        <v>3.3E-3</v>
      </c>
      <c r="E27" s="228" t="s">
        <v>99</v>
      </c>
      <c r="F27" s="238">
        <f>'数据-取费表'!Q16</f>
        <v>0.11</v>
      </c>
      <c r="G27" s="239" t="s">
        <v>431</v>
      </c>
    </row>
    <row r="28" spans="1:7" s="206" customFormat="1" ht="13.5" customHeight="1">
      <c r="A28" s="734" t="s">
        <v>349</v>
      </c>
      <c r="B28" s="240" t="s">
        <v>424</v>
      </c>
      <c r="C28" s="241">
        <f>ROUND((C5+C19+C20)*F27*'数据-取费表'!B21/'数据-取费表'!B20,0)</f>
        <v>2847</v>
      </c>
      <c r="D28" s="227"/>
      <c r="E28" s="228"/>
      <c r="F28" s="238"/>
      <c r="G28" s="239"/>
    </row>
    <row r="29" spans="1:7" s="206" customFormat="1" ht="13.5" customHeight="1">
      <c r="A29" s="734" t="s">
        <v>347</v>
      </c>
      <c r="B29" s="240" t="s">
        <v>425</v>
      </c>
      <c r="C29" s="230">
        <f>ROUND(C21*F27*'数据-取费表'!B21/'数据-取费表'!B20,4)</f>
        <v>3.3E-3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34324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150647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132842</v>
      </c>
      <c r="D34" s="209"/>
      <c r="E34" s="212"/>
      <c r="F34" s="249">
        <f>IF('数据-取费表'!B24=0,1,'数据-取费表'!N16)</f>
        <v>1</v>
      </c>
      <c r="G34" s="211" t="s">
        <v>89</v>
      </c>
    </row>
    <row r="35" spans="1:7" ht="13.5" customHeight="1">
      <c r="A35" s="734" t="s">
        <v>351</v>
      </c>
      <c r="B35" s="207" t="s">
        <v>33</v>
      </c>
      <c r="C35" s="212">
        <f>ROUND(C34*F35,0)</f>
        <v>10627</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4521</v>
      </c>
      <c r="D37" s="209">
        <f>'数据-汇总表'!E3</f>
        <v>226041.84</v>
      </c>
      <c r="E37" s="241">
        <f>'数据-取费表'!B35</f>
        <v>200</v>
      </c>
      <c r="F37" s="251"/>
      <c r="G37" s="253" t="s">
        <v>92</v>
      </c>
    </row>
    <row r="38" spans="1:7" ht="13.5" customHeight="1">
      <c r="A38" s="734" t="s">
        <v>354</v>
      </c>
      <c r="B38" s="207" t="s">
        <v>36</v>
      </c>
      <c r="C38" s="212">
        <f>ROUND(C34*F38,0)</f>
        <v>2657</v>
      </c>
      <c r="D38" s="212"/>
      <c r="E38" s="212"/>
      <c r="F38" s="251">
        <f>'数据-取费表'!B36</f>
        <v>0.02</v>
      </c>
      <c r="G38" s="211" t="s">
        <v>90</v>
      </c>
    </row>
    <row r="39" spans="1:7" s="206" customFormat="1" ht="13.5" customHeight="1">
      <c r="A39" s="731" t="s">
        <v>338</v>
      </c>
      <c r="B39" s="202" t="s">
        <v>77</v>
      </c>
      <c r="C39" s="224">
        <f>ROUND(C33*F20,0)</f>
        <v>4519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7625</v>
      </c>
      <c r="D41" s="227">
        <f ca="1">C44</f>
        <v>1.5E-3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7403</v>
      </c>
      <c r="D42" s="230"/>
      <c r="E42" s="230"/>
      <c r="F42" s="231"/>
      <c r="G42" s="3439" t="s">
        <v>94</v>
      </c>
    </row>
    <row r="43" spans="1:7" ht="13.5" customHeight="1">
      <c r="A43" s="734" t="s">
        <v>347</v>
      </c>
      <c r="B43" s="207" t="s">
        <v>426</v>
      </c>
      <c r="C43" s="230">
        <f ca="1">ROUND(IF('数据-取费表'!B22&lt;=1,C39*F22*'数据-取费表'!B21/2,C39*(POWER((1+F22),'数据-取费表'!B21/2)-1)),0)</f>
        <v>222</v>
      </c>
      <c r="D43" s="230"/>
      <c r="E43" s="230"/>
      <c r="F43" s="231"/>
      <c r="G43" s="3440"/>
    </row>
    <row r="44" spans="1:7" ht="13.5" customHeight="1">
      <c r="A44" s="734" t="s">
        <v>348</v>
      </c>
      <c r="B44" s="207" t="s">
        <v>428</v>
      </c>
      <c r="C44" s="230">
        <f ca="1">ROUND(IF('数据-取费表'!B22&lt;=1,C40*F22*'数据-取费表'!B21/2,C40*(POWER((1+F22),'数据-取费表'!B21/2)-1)),4)</f>
        <v>1.5E-3</v>
      </c>
      <c r="D44" s="230"/>
      <c r="E44" s="230"/>
      <c r="F44" s="231"/>
      <c r="G44" s="3441"/>
    </row>
    <row r="45" spans="1:7" s="206" customFormat="1" ht="13.5" customHeight="1">
      <c r="A45" s="731" t="s">
        <v>341</v>
      </c>
      <c r="B45" s="236" t="s">
        <v>85</v>
      </c>
      <c r="C45" s="237">
        <f>C46</f>
        <v>17068</v>
      </c>
      <c r="D45" s="227">
        <f>C47</f>
        <v>3.3E-3</v>
      </c>
      <c r="E45" s="228" t="s">
        <v>102</v>
      </c>
      <c r="F45" s="238"/>
      <c r="G45" s="239" t="s">
        <v>434</v>
      </c>
    </row>
    <row r="46" spans="1:7" s="206" customFormat="1" ht="13.5" customHeight="1">
      <c r="A46" s="734" t="s">
        <v>349</v>
      </c>
      <c r="B46" s="240" t="s">
        <v>427</v>
      </c>
      <c r="C46" s="241">
        <f>ROUND((C33+C39)*F27,0)</f>
        <v>17068</v>
      </c>
      <c r="D46" s="255"/>
      <c r="E46" s="228"/>
      <c r="F46" s="238"/>
      <c r="G46" s="239"/>
    </row>
    <row r="47" spans="1:7" s="206" customFormat="1" ht="13.5" customHeight="1">
      <c r="A47" s="734" t="s">
        <v>347</v>
      </c>
      <c r="B47" s="240" t="s">
        <v>429</v>
      </c>
      <c r="C47" s="230">
        <f>ROUND(C40*F27,4)</f>
        <v>3.3E-3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197243</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187381</v>
      </c>
      <c r="D51" s="224"/>
      <c r="E51" s="224"/>
      <c r="F51" s="256"/>
      <c r="G51" s="226" t="s">
        <v>37</v>
      </c>
    </row>
    <row r="52" spans="1:7" s="200" customFormat="1" ht="16.5" thickBot="1">
      <c r="A52" s="257" t="s">
        <v>38</v>
      </c>
      <c r="B52" s="258"/>
      <c r="C52" s="259">
        <f ca="1">C31+C51</f>
        <v>221705</v>
      </c>
      <c r="D52" s="258"/>
      <c r="E52" s="258"/>
      <c r="F52" s="258"/>
      <c r="G52" s="260"/>
    </row>
    <row r="55" spans="1:7" ht="15">
      <c r="B55" s="262" t="s">
        <v>39</v>
      </c>
      <c r="C55" s="263"/>
    </row>
    <row r="56" spans="1:7">
      <c r="B56" s="265" t="s">
        <v>40</v>
      </c>
      <c r="C56" s="266">
        <f ca="1">ROUND(C51/C52,3)</f>
        <v>0.84499999999999997</v>
      </c>
    </row>
    <row r="57" spans="1:7">
      <c r="B57" s="265" t="s">
        <v>41</v>
      </c>
      <c r="C57" s="267">
        <f ca="1">1-C56</f>
        <v>0.15500000000000003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21" t="s">
        <v>3170</v>
      </c>
      <c r="B1" s="3521"/>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22" t="s">
        <v>3221</v>
      </c>
      <c r="B1" s="3522"/>
      <c r="C1" s="3522"/>
      <c r="D1" s="3522"/>
      <c r="E1" s="3522"/>
      <c r="F1" s="3523"/>
    </row>
    <row r="2" spans="1:6">
      <c r="A2" s="3003" t="s">
        <v>3222</v>
      </c>
    </row>
    <row r="3" spans="1:6">
      <c r="A3" s="3003" t="s">
        <v>3223</v>
      </c>
      <c r="F3" s="3004" t="s">
        <v>3224</v>
      </c>
    </row>
    <row r="4" spans="1:6">
      <c r="A4" s="3005" t="s">
        <v>670</v>
      </c>
      <c r="B4" s="3005" t="s">
        <v>671</v>
      </c>
      <c r="C4" s="3005" t="s">
        <v>21</v>
      </c>
      <c r="D4" s="3005" t="s">
        <v>672</v>
      </c>
      <c r="E4" s="3005" t="s">
        <v>3</v>
      </c>
      <c r="F4" s="3005" t="s">
        <v>3225</v>
      </c>
    </row>
    <row r="5" spans="1:6">
      <c r="A5" s="3006" t="s">
        <v>673</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926</v>
      </c>
      <c r="B2" s="3220" t="s">
        <v>927</v>
      </c>
      <c r="C2" s="3220" t="s">
        <v>928</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15"/>
      <c r="B3" s="3215"/>
      <c r="C3" s="3215"/>
      <c r="D3" s="801" t="s">
        <v>923</v>
      </c>
      <c r="E3" s="801" t="s">
        <v>929</v>
      </c>
      <c r="F3" s="801" t="s">
        <v>923</v>
      </c>
      <c r="G3" s="801" t="s">
        <v>924</v>
      </c>
      <c r="H3" s="801" t="s">
        <v>923</v>
      </c>
      <c r="I3" s="801" t="s">
        <v>924</v>
      </c>
    </row>
    <row r="4" spans="1:9" ht="15">
      <c r="A4" s="1403" t="str">
        <f>项目基本情况!S2</f>
        <v>北京市房地产</v>
      </c>
      <c r="B4" s="801">
        <f>项目基本情况!C17</f>
        <v>226041.84</v>
      </c>
      <c r="C4" s="801">
        <f>项目基本情况!C18</f>
        <v>48565.52</v>
      </c>
      <c r="D4" s="801">
        <f ca="1">结果表!D118</f>
        <v>62521</v>
      </c>
      <c r="E4" s="801">
        <f ca="1">结果表!E118</f>
        <v>2766</v>
      </c>
      <c r="F4" s="801">
        <f ca="1">结果表!F118</f>
        <v>246990</v>
      </c>
      <c r="G4" s="801">
        <f ca="1">结果表!G118</f>
        <v>10927</v>
      </c>
      <c r="H4" s="801">
        <f ca="1">结果表!H118</f>
        <v>309511</v>
      </c>
      <c r="I4" s="801">
        <f ca="1">结果表!I118</f>
        <v>13693</v>
      </c>
    </row>
    <row r="5" spans="1:9" ht="30" customHeight="1">
      <c r="A5" s="3215" t="s">
        <v>925</v>
      </c>
      <c r="B5" s="3215"/>
      <c r="C5" s="3215"/>
      <c r="D5" s="3215" t="str">
        <f ca="1">结果表!D119</f>
        <v>陆亿贰仟伍佰贰拾壹万元整</v>
      </c>
      <c r="E5" s="3215"/>
      <c r="F5" s="3215" t="str">
        <f ca="1">结果表!F119</f>
        <v>贰拾肆亿陆仟玖佰玖拾万元整</v>
      </c>
      <c r="G5" s="3215"/>
      <c r="H5" s="3215" t="str">
        <f ca="1">结果表!H119</f>
        <v>叁拾亿玖仟伍佰壹拾壹万元整</v>
      </c>
      <c r="I5" s="3215"/>
    </row>
    <row r="6" spans="1:9" ht="15.75">
      <c r="A6" s="3214" t="str">
        <f>结果表!A120</f>
        <v>估价师知悉的法定优先受偿款</v>
      </c>
      <c r="B6" s="3214"/>
      <c r="C6" s="3214"/>
      <c r="D6" s="3214">
        <f>结果表!D120</f>
        <v>0</v>
      </c>
      <c r="E6" s="3214"/>
      <c r="F6" s="3214"/>
      <c r="G6" s="3214"/>
      <c r="H6" s="3214"/>
      <c r="I6" s="3214"/>
    </row>
    <row r="7" spans="1:9" ht="15">
      <c r="A7" s="3215" t="s">
        <v>925</v>
      </c>
      <c r="B7" s="3215"/>
      <c r="C7" s="3215"/>
      <c r="D7" s="3216" t="str">
        <f>结果表!D121</f>
        <v>零元整</v>
      </c>
      <c r="E7" s="3217"/>
      <c r="F7" s="3217"/>
      <c r="G7" s="3217"/>
      <c r="H7" s="3217"/>
      <c r="I7" s="3218"/>
    </row>
    <row r="8" spans="1:9" ht="15.75">
      <c r="A8" s="3214" t="str">
        <f>结果表!A122</f>
        <v>房地产抵押价值</v>
      </c>
      <c r="B8" s="3214"/>
      <c r="C8" s="3214"/>
      <c r="D8" s="3214">
        <f ca="1">结果表!D122</f>
        <v>309511</v>
      </c>
      <c r="E8" s="3214"/>
      <c r="F8" s="3214"/>
      <c r="G8" s="3214"/>
      <c r="H8" s="3214"/>
      <c r="I8" s="3214"/>
    </row>
    <row r="9" spans="1:9" ht="15">
      <c r="A9" s="3215" t="s">
        <v>925</v>
      </c>
      <c r="B9" s="3215"/>
      <c r="C9" s="3215"/>
      <c r="D9" s="3215" t="str">
        <f ca="1">结果表!D123</f>
        <v>叁拾亿玖仟伍佰壹拾壹万元整</v>
      </c>
      <c r="E9" s="3215"/>
      <c r="F9" s="3215"/>
      <c r="G9" s="3215"/>
      <c r="H9" s="3215"/>
      <c r="I9" s="3215"/>
    </row>
    <row r="10" spans="1:9" ht="15.75">
      <c r="A10" s="3214" t="str">
        <f>结果表!A124</f>
        <v/>
      </c>
      <c r="B10" s="3214"/>
      <c r="C10" s="3214"/>
      <c r="D10" s="3214" t="str">
        <f>结果表!D124</f>
        <v>——</v>
      </c>
      <c r="E10" s="3214"/>
      <c r="F10" s="3214"/>
      <c r="G10" s="3214"/>
      <c r="H10" s="3214"/>
      <c r="I10" s="3214"/>
    </row>
    <row r="11" spans="1:9" ht="15">
      <c r="A11" s="3215" t="s">
        <v>925</v>
      </c>
      <c r="B11" s="3215"/>
      <c r="C11" s="3215"/>
      <c r="D11" s="3215" t="e">
        <f>结果表!D125</f>
        <v>#VALUE!</v>
      </c>
      <c r="E11" s="3215"/>
      <c r="F11" s="3215"/>
      <c r="G11" s="3215"/>
      <c r="H11" s="3215"/>
      <c r="I11" s="3215"/>
    </row>
    <row r="12" spans="1:9" ht="15.75">
      <c r="A12" s="3214" t="str">
        <f>结果表!A126</f>
        <v/>
      </c>
      <c r="B12" s="3214"/>
      <c r="C12" s="3214"/>
      <c r="D12" s="3214" t="str">
        <f>结果表!D126</f>
        <v>——</v>
      </c>
      <c r="E12" s="3214"/>
      <c r="F12" s="3214"/>
      <c r="G12" s="3214"/>
      <c r="H12" s="3214"/>
      <c r="I12" s="3214"/>
    </row>
    <row r="13" spans="1:9" ht="15.75" thickBot="1">
      <c r="A13" s="3212" t="s">
        <v>925</v>
      </c>
      <c r="B13" s="3212"/>
      <c r="C13" s="3212"/>
      <c r="D13" s="3212" t="e">
        <f>结果表!D127</f>
        <v>#VALUE!</v>
      </c>
      <c r="E13" s="3212"/>
      <c r="F13" s="3212"/>
      <c r="G13" s="3212"/>
      <c r="H13" s="3212"/>
      <c r="I13" s="3212"/>
    </row>
    <row r="14" spans="1:9" ht="15" thickTop="1">
      <c r="A14" s="3213" t="s">
        <v>930</v>
      </c>
      <c r="B14" s="3213"/>
      <c r="C14" s="3213"/>
      <c r="D14" s="3213"/>
      <c r="E14" s="3213"/>
      <c r="F14" s="3213"/>
      <c r="G14" s="3213"/>
      <c r="H14" s="3213"/>
      <c r="I14" s="3213"/>
    </row>
    <row r="16" spans="1:9" ht="18.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R8" sqref="R8"/>
    </sheetView>
  </sheetViews>
  <sheetFormatPr defaultRowHeight="13.5"/>
  <cols>
    <col min="1" max="1" width="13.875" customWidth="1"/>
    <col min="11" max="17" width="0" hidden="1" customWidth="1"/>
    <col min="25" max="30" width="0" hidden="1" customWidth="1"/>
  </cols>
  <sheetData>
    <row r="1" spans="1:44">
      <c r="A1" s="2938">
        <f>基准地价修正!G23</f>
        <v>45944</v>
      </c>
      <c r="B1" s="2930" t="s">
        <v>3365</v>
      </c>
      <c r="C1" s="2931"/>
      <c r="D1" s="2931"/>
      <c r="E1" s="2931"/>
      <c r="F1" s="2931"/>
      <c r="G1" s="2931"/>
      <c r="H1" s="2931"/>
      <c r="I1" s="2931"/>
      <c r="J1" s="2897"/>
      <c r="K1" s="2931" t="s">
        <v>454</v>
      </c>
      <c r="L1" s="2931"/>
      <c r="M1" s="2931"/>
      <c r="N1" s="2931"/>
      <c r="O1" s="2931"/>
      <c r="P1" s="2931"/>
      <c r="Q1" s="2897"/>
      <c r="R1" s="3524" t="s">
        <v>456</v>
      </c>
      <c r="S1" s="3525"/>
      <c r="T1" s="3525"/>
      <c r="U1" s="3525"/>
      <c r="V1" s="3525"/>
      <c r="W1" s="3525"/>
      <c r="X1" s="2897"/>
      <c r="Y1" s="3524" t="s">
        <v>457</v>
      </c>
      <c r="Z1" s="3525"/>
      <c r="AA1" s="3525"/>
      <c r="AB1" s="3525"/>
      <c r="AC1" s="3525"/>
      <c r="AD1" s="3525"/>
    </row>
    <row r="2" spans="1:44"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c r="AF2" t="s">
        <v>3392</v>
      </c>
      <c r="AG2" t="s">
        <v>671</v>
      </c>
      <c r="AH2" t="s">
        <v>21</v>
      </c>
      <c r="AI2" t="s">
        <v>3393</v>
      </c>
      <c r="AJ2" t="s">
        <v>3</v>
      </c>
      <c r="AK2" t="s">
        <v>3394</v>
      </c>
      <c r="AM2" t="s">
        <v>3392</v>
      </c>
      <c r="AN2" t="s">
        <v>671</v>
      </c>
      <c r="AO2" t="s">
        <v>21</v>
      </c>
      <c r="AP2" t="s">
        <v>3393</v>
      </c>
      <c r="AQ2" t="s">
        <v>3</v>
      </c>
      <c r="AR2" t="s">
        <v>3394</v>
      </c>
    </row>
    <row r="3" spans="1:44" s="2887" customFormat="1" ht="12.75">
      <c r="A3" s="2885" t="s">
        <v>2808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3390</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3389</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3358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3357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2809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3368</v>
      </c>
    </row>
    <row r="27" spans="1:44">
      <c r="I27" s="1405" t="s">
        <v>2814</v>
      </c>
    </row>
    <row r="29" spans="1:44" s="2009" customFormat="1" ht="12.75">
      <c r="B29" s="2930" t="s">
        <v>3366</v>
      </c>
      <c r="C29" s="2931"/>
      <c r="D29" s="2931"/>
      <c r="E29" s="2931"/>
      <c r="F29" s="2931"/>
      <c r="G29" s="2931"/>
      <c r="H29" s="2931"/>
      <c r="I29" s="2931"/>
      <c r="J29" s="2897"/>
      <c r="K29" s="2931" t="s">
        <v>2815</v>
      </c>
      <c r="L29" s="2931"/>
      <c r="M29" s="2931"/>
      <c r="N29" s="2931"/>
      <c r="O29" s="2931"/>
      <c r="P29" s="2931"/>
      <c r="Q29" s="2897"/>
      <c r="R29" s="3524" t="s">
        <v>2816</v>
      </c>
      <c r="S29" s="3525"/>
      <c r="T29" s="3525"/>
      <c r="U29" s="3525"/>
      <c r="V29" s="3525"/>
      <c r="W29" s="3525"/>
      <c r="X29" s="2897"/>
      <c r="Y29" s="3524" t="s">
        <v>2817</v>
      </c>
      <c r="Z29" s="3525"/>
      <c r="AA29" s="3525"/>
      <c r="AB29" s="3525"/>
      <c r="AC29" s="3525"/>
      <c r="AD29" s="3525"/>
    </row>
    <row r="30" spans="1:44" s="2010" customFormat="1" ht="14.25" thickBot="1">
      <c r="B30" s="2882"/>
      <c r="C30" s="2883"/>
      <c r="D30" s="2011" t="s">
        <v>2818</v>
      </c>
      <c r="E30" s="2012" t="s">
        <v>2819</v>
      </c>
      <c r="F30" s="2012" t="s">
        <v>2820</v>
      </c>
      <c r="G30" s="2012" t="s">
        <v>2821</v>
      </c>
      <c r="H30" s="2012"/>
      <c r="I30" s="2012" t="s">
        <v>2822</v>
      </c>
      <c r="J30" s="2884"/>
      <c r="K30" s="2011" t="s">
        <v>2818</v>
      </c>
      <c r="L30" s="2012" t="s">
        <v>2819</v>
      </c>
      <c r="M30" s="2012" t="s">
        <v>2820</v>
      </c>
      <c r="N30" s="2012" t="s">
        <v>2821</v>
      </c>
      <c r="O30" s="2012"/>
      <c r="P30" s="2012" t="s">
        <v>2822</v>
      </c>
      <c r="Q30" s="2884"/>
      <c r="R30" s="2011" t="s">
        <v>2818</v>
      </c>
      <c r="S30" s="2012" t="s">
        <v>2819</v>
      </c>
      <c r="T30" s="2012" t="s">
        <v>2820</v>
      </c>
      <c r="U30" s="2012" t="s">
        <v>2821</v>
      </c>
      <c r="V30" s="2012"/>
      <c r="W30" s="2012" t="s">
        <v>2822</v>
      </c>
      <c r="X30" s="2884"/>
      <c r="Y30" s="2011" t="s">
        <v>2818</v>
      </c>
      <c r="Z30" s="2012" t="s">
        <v>2819</v>
      </c>
      <c r="AA30" s="2012" t="s">
        <v>2820</v>
      </c>
      <c r="AB30" s="2012" t="s">
        <v>2821</v>
      </c>
      <c r="AC30" s="2012"/>
      <c r="AD30" s="2012" t="s">
        <v>2822</v>
      </c>
      <c r="AG30" t="s">
        <v>671</v>
      </c>
      <c r="AH30" t="s">
        <v>21</v>
      </c>
      <c r="AI30" t="s">
        <v>3393</v>
      </c>
      <c r="AJ30"/>
      <c r="AK30" t="s">
        <v>3394</v>
      </c>
      <c r="AN30" t="s">
        <v>671</v>
      </c>
      <c r="AO30" t="s">
        <v>21</v>
      </c>
      <c r="AP30" t="s">
        <v>3393</v>
      </c>
      <c r="AQ30"/>
      <c r="AR30" t="s">
        <v>3394</v>
      </c>
    </row>
    <row r="31" spans="1:44" s="2887" customFormat="1" ht="12.75">
      <c r="A31" s="2885" t="s">
        <v>2823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3390</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3398</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3359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3357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3356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B12" sqref="B12:B1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10" customFormat="1" ht="14.2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3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2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10" sqref="I1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7" t="s">
        <v>2828</v>
      </c>
      <c r="B1" s="3537"/>
      <c r="C1" s="3537"/>
      <c r="D1" s="3537"/>
      <c r="E1" s="3537"/>
      <c r="F1" s="3537"/>
      <c r="G1" s="3538"/>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535"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536"/>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45944</v>
      </c>
      <c r="D1" s="1217" t="s">
        <v>603</v>
      </c>
      <c r="E1" s="1212">
        <f>'数据-取费表'!B22</f>
        <v>3</v>
      </c>
      <c r="F1" s="1217" t="s">
        <v>604</v>
      </c>
      <c r="G1" s="1213">
        <f ca="1">IF(OR(C1&lt;C27,E1&lt;=1),INDIRECT("d"&amp;$K$1)/100,ROUND((D5+(E1-C5)*(D7-D5)/(C7-C5))/100,4))</f>
        <v>3.2500000000000001E-2</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2298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7" t="s">
        <v>947</v>
      </c>
      <c r="B1" s="3227"/>
      <c r="C1" s="3227"/>
      <c r="D1" s="3227"/>
    </row>
    <row r="2" spans="1:4" ht="18">
      <c r="A2" s="3228" t="s">
        <v>931</v>
      </c>
      <c r="B2" s="3228"/>
      <c r="C2" s="3228"/>
      <c r="D2" s="3228"/>
    </row>
    <row r="3" spans="1:4" ht="18.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228" t="s">
        <v>937</v>
      </c>
      <c r="B6" s="3228"/>
      <c r="C6" s="3228"/>
      <c r="D6" s="3228"/>
    </row>
    <row r="7" spans="1:4" ht="18.75">
      <c r="A7" s="1407" t="s">
        <v>932</v>
      </c>
      <c r="B7" s="1409" t="s">
        <v>938</v>
      </c>
      <c r="C7" s="1407" t="s">
        <v>934</v>
      </c>
      <c r="D7" s="1407" t="s">
        <v>935</v>
      </c>
    </row>
    <row r="8" spans="1:4" ht="56.25" customHeight="1">
      <c r="A8" s="1413" t="s">
        <v>390</v>
      </c>
      <c r="B8" s="1413" t="s">
        <v>0</v>
      </c>
      <c r="C8" s="1410"/>
      <c r="D8" s="1411" t="s">
        <v>936</v>
      </c>
    </row>
    <row r="10" spans="1:4" ht="18.75">
      <c r="A10" s="1414" t="s">
        <v>939</v>
      </c>
    </row>
    <row r="11" spans="1:4" ht="30" customHeight="1">
      <c r="A11" s="3229" t="s">
        <v>940</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1" t="str">
        <f>IF(项目基本情况!B8="抵押","4.本次评估估价师所知悉的法定优先受偿款情况说明如下：","——")</f>
        <v>4.本次评估估价师所知悉的法定优先受偿款情况说明如下：</v>
      </c>
      <c r="B14" s="3226"/>
      <c r="C14" s="3226"/>
      <c r="D14" s="3226"/>
    </row>
    <row r="15" spans="1:4" ht="42" customHeight="1">
      <c r="A15" s="32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3" t="s">
        <v>941</v>
      </c>
      <c r="B16" s="3223"/>
      <c r="C16" s="3223"/>
      <c r="D16" s="3223"/>
    </row>
    <row r="17" spans="1:4" ht="144" customHeight="1">
      <c r="A17" s="3223" t="s">
        <v>942</v>
      </c>
      <c r="B17" s="3223"/>
      <c r="C17" s="3223"/>
      <c r="D17" s="3223"/>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943</v>
      </c>
      <c r="B22" s="3225"/>
      <c r="C22" s="3225"/>
      <c r="D22" s="3225"/>
    </row>
    <row r="23" spans="1:4">
      <c r="A23" s="1415"/>
      <c r="B23" s="459"/>
      <c r="C23" s="459"/>
      <c r="D23" s="459"/>
    </row>
    <row r="24" spans="1:4">
      <c r="A24" s="1415"/>
      <c r="B24" s="459"/>
      <c r="C24" s="459"/>
      <c r="D24" s="459"/>
    </row>
    <row r="25" spans="1:4" ht="18.75">
      <c r="A25" s="1416" t="s">
        <v>944</v>
      </c>
    </row>
    <row r="26" spans="1:4" ht="18">
      <c r="A26" s="1387"/>
    </row>
    <row r="27" spans="1:4" ht="18.75">
      <c r="A27" s="1387" t="s">
        <v>945</v>
      </c>
    </row>
    <row r="30" spans="1:4" ht="18.75">
      <c r="D30" s="1416" t="s">
        <v>946</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3.5">
      <c r="A15" s="3235" t="s">
        <v>954</v>
      </c>
      <c r="B15" s="3230" t="s">
        <v>109</v>
      </c>
      <c r="C15" s="3231"/>
    </row>
    <row r="16" spans="1:7" ht="13.5">
      <c r="A16" s="3236"/>
      <c r="B16" s="3230" t="s">
        <v>42</v>
      </c>
      <c r="C16" s="3231"/>
    </row>
    <row r="17" spans="1:3" ht="13.5">
      <c r="A17" s="3236"/>
      <c r="B17" s="3233" t="s">
        <v>955</v>
      </c>
      <c r="C17" s="1429" t="s">
        <v>954</v>
      </c>
    </row>
    <row r="18" spans="1:3" ht="13.5">
      <c r="A18" s="3236"/>
      <c r="B18" s="3233"/>
      <c r="C18" s="1429" t="s">
        <v>956</v>
      </c>
    </row>
    <row r="19" spans="1:3" ht="13.5">
      <c r="A19" s="3236"/>
      <c r="B19" s="3233"/>
      <c r="C19" s="1429" t="s">
        <v>957</v>
      </c>
    </row>
    <row r="20" spans="1:3" ht="13.5">
      <c r="A20" s="3237"/>
      <c r="B20" s="3232" t="s">
        <v>958</v>
      </c>
      <c r="C20" s="3231"/>
    </row>
    <row r="21" spans="1:3" ht="13.5">
      <c r="A21" s="1430" t="s">
        <v>959</v>
      </c>
      <c r="B21" s="1431"/>
      <c r="C21" s="1432"/>
    </row>
    <row r="22" spans="1:3" ht="13.5">
      <c r="A22" s="3234" t="s">
        <v>960</v>
      </c>
      <c r="B22" s="3232" t="s">
        <v>961</v>
      </c>
      <c r="C22" s="3231"/>
    </row>
    <row r="23" spans="1:3" ht="13.5">
      <c r="A23" s="3234"/>
      <c r="B23" s="3232" t="s">
        <v>962</v>
      </c>
      <c r="C23" s="3231"/>
    </row>
    <row r="24" spans="1:3" ht="13.5">
      <c r="A24" s="3234"/>
      <c r="B24" s="3232" t="s">
        <v>963</v>
      </c>
      <c r="C24" s="3231"/>
    </row>
    <row r="25" spans="1:3" ht="13.5">
      <c r="A25" s="3234"/>
      <c r="B25" s="3233" t="s">
        <v>964</v>
      </c>
      <c r="C25" s="1429" t="s">
        <v>965</v>
      </c>
    </row>
    <row r="26" spans="1:3" ht="13.5">
      <c r="A26" s="3234"/>
      <c r="B26" s="3233"/>
      <c r="C26" s="1429" t="s">
        <v>966</v>
      </c>
    </row>
    <row r="27" spans="1:3" ht="13.5">
      <c r="A27" s="3234"/>
      <c r="B27" s="3233"/>
      <c r="C27" s="1429" t="s">
        <v>967</v>
      </c>
    </row>
    <row r="28" spans="1:3" ht="13.5">
      <c r="A28" s="3234"/>
      <c r="B28" s="3233"/>
      <c r="C28" s="1429" t="s">
        <v>968</v>
      </c>
    </row>
    <row r="29" spans="1:3" ht="13.5">
      <c r="A29" s="3234"/>
      <c r="B29" s="3233"/>
      <c r="C29" s="1429" t="s">
        <v>969</v>
      </c>
    </row>
    <row r="30" spans="1:3" ht="13.5">
      <c r="A30" s="3234"/>
      <c r="B30" s="3233"/>
      <c r="C30" s="1429" t="s">
        <v>970</v>
      </c>
    </row>
    <row r="31" spans="1:3" ht="13.5">
      <c r="A31" s="3234"/>
      <c r="B31" s="3233"/>
      <c r="C31" s="1429" t="s">
        <v>971</v>
      </c>
    </row>
    <row r="32" spans="1:3" ht="13.5">
      <c r="A32" s="3234"/>
      <c r="B32" s="3233"/>
      <c r="C32" s="1429" t="s">
        <v>972</v>
      </c>
    </row>
    <row r="33" spans="1:3" ht="13.5">
      <c r="A33" s="3234"/>
      <c r="B33" s="3233"/>
      <c r="C33" s="1429" t="s">
        <v>973</v>
      </c>
    </row>
    <row r="34" spans="1:3">
      <c r="A34" s="1433" t="s">
        <v>49</v>
      </c>
    </row>
    <row r="37" spans="1:3">
      <c r="A37" s="1433" t="s">
        <v>974</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45946</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8" t="s">
        <v>2158</v>
      </c>
      <c r="B17" s="3238"/>
      <c r="C17" s="3238"/>
      <c r="D17" s="3238"/>
      <c r="E17" s="3238"/>
      <c r="F17" s="3238"/>
      <c r="G17" s="3238"/>
      <c r="H17" s="3238"/>
    </row>
    <row r="18" spans="1:8" ht="24" customHeight="1">
      <c r="A18" s="3239" t="s">
        <v>2159</v>
      </c>
      <c r="B18" s="3239"/>
      <c r="C18" s="3239"/>
      <c r="D18" s="2160"/>
      <c r="E18" s="3240" t="s">
        <v>2160</v>
      </c>
      <c r="F18" s="3239"/>
      <c r="G18" s="3239"/>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5-9号楼销售台账</vt:lpstr>
      <vt:lpstr>比较法选取案例</vt:lpstr>
      <vt:lpstr>案例中指信息</vt:lpstr>
      <vt:lpstr>定义</vt:lpstr>
      <vt:lpstr>常用公式</vt:lpstr>
      <vt:lpstr>租赁台账</vt:lpstr>
      <vt:lpstr>Sheet1</vt:lpstr>
      <vt:lpstr>Sheet3</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结果表-地下</vt:lpstr>
      <vt:lpstr>成本法</vt:lpstr>
      <vt:lpstr>基准地价修正</vt:lpstr>
      <vt:lpstr>收益法地下</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'结果表-地下'!Print_Area</vt:lpstr>
      <vt:lpstr>收益法!Print_Area</vt:lpstr>
      <vt:lpstr>'收益法 (元)'!Print_Area</vt:lpstr>
      <vt:lpstr>'收益法（汇总）'!Print_Area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2025-10-15T02:08:09Z</cp:lastPrinted>
  <dcterms:created xsi:type="dcterms:W3CDTF">2015-07-13T07:17:23Z</dcterms:created>
  <dcterms:modified xsi:type="dcterms:W3CDTF">2025-10-16T06:56:08Z</dcterms:modified>
</cp:coreProperties>
</file>