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土地案例" sheetId="70" r:id="rId20"/>
    <sheet name="剩余法-待开发" sheetId="1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库房" sheetId="69" r:id="rId31"/>
    <sheet name="不动产收益法-车库" sheetId="68" state="hidden" r:id="rId32"/>
    <sheet name="不动产收益法-商业" sheetId="15"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25" i="3" l="1"/>
  <c r="AG25" i="3" l="1"/>
  <c r="AT26" i="3"/>
  <c r="AT25" i="3"/>
  <c r="AF25" i="3"/>
  <c r="C40" i="39" l="1"/>
  <c r="I40" i="39" l="1"/>
  <c r="G40" i="39"/>
  <c r="E40" i="39"/>
  <c r="I13" i="39"/>
  <c r="G13" i="39"/>
  <c r="E13" i="39"/>
  <c r="I9" i="39"/>
  <c r="G9" i="39"/>
  <c r="E9" i="39"/>
  <c r="I7" i="39"/>
  <c r="G7" i="39"/>
  <c r="E7" i="39"/>
  <c r="C7" i="39"/>
  <c r="I48" i="39"/>
  <c r="G48" i="39"/>
  <c r="E48" i="39"/>
  <c r="C38" i="9"/>
  <c r="C37" i="9"/>
  <c r="AM8" i="1"/>
  <c r="AL8" i="1"/>
  <c r="AK8" i="1"/>
  <c r="AM9" i="1"/>
  <c r="AL9" i="1"/>
  <c r="AK9" i="1"/>
  <c r="E9" i="6"/>
  <c r="D3" i="4"/>
  <c r="G16" i="66" l="1"/>
  <c r="G15" i="66" l="1"/>
  <c r="E11" i="39" l="1"/>
  <c r="Q73" i="69"/>
  <c r="Q60" i="69"/>
  <c r="D60" i="69"/>
  <c r="Q59" i="69"/>
  <c r="K59" i="69"/>
  <c r="P75" i="69" s="1"/>
  <c r="F58" i="69"/>
  <c r="Q52" i="69"/>
  <c r="J50" i="69"/>
  <c r="M47" i="69"/>
  <c r="F33" i="69"/>
  <c r="F60" i="69" s="1"/>
  <c r="F31" i="69"/>
  <c r="F23" i="69"/>
  <c r="D24" i="69" s="1"/>
  <c r="F21" i="69"/>
  <c r="F20" i="69"/>
  <c r="M19" i="69"/>
  <c r="F18" i="69"/>
  <c r="M17" i="69"/>
  <c r="F17" i="69"/>
  <c r="F15" i="69"/>
  <c r="Q73" i="68"/>
  <c r="Q60" i="68"/>
  <c r="D60" i="68"/>
  <c r="Q59" i="68"/>
  <c r="K59" i="68"/>
  <c r="F58" i="68"/>
  <c r="Q52" i="68"/>
  <c r="J50" i="68"/>
  <c r="M47" i="68"/>
  <c r="F33" i="68"/>
  <c r="F60" i="68" s="1"/>
  <c r="F31" i="68"/>
  <c r="F23" i="68"/>
  <c r="F21" i="68"/>
  <c r="F20" i="68"/>
  <c r="M19" i="68"/>
  <c r="F18" i="68"/>
  <c r="M17" i="68"/>
  <c r="F17" i="68"/>
  <c r="F15" i="68"/>
  <c r="L14" i="1"/>
  <c r="C11" i="4"/>
  <c r="B7" i="4"/>
  <c r="D22" i="69" l="1"/>
  <c r="D23" i="69"/>
  <c r="P62" i="69"/>
  <c r="D23" i="68"/>
  <c r="D22" i="68"/>
  <c r="D24" i="68"/>
  <c r="P75" i="68"/>
  <c r="P62" i="68"/>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F11" i="67"/>
  <c r="E14" i="67"/>
  <c r="B12" i="67"/>
  <c r="B13" i="67"/>
  <c r="B11" i="67"/>
  <c r="F10" i="67"/>
  <c r="F9" i="67"/>
  <c r="B14" i="67"/>
  <c r="F14" i="67"/>
  <c r="E13" i="67"/>
  <c r="E9" i="67"/>
  <c r="B8" i="67"/>
  <c r="F12" i="67"/>
  <c r="B9" i="67"/>
  <c r="F13" i="67"/>
  <c r="E11" i="67"/>
  <c r="E12" i="67"/>
  <c r="E10" i="67"/>
  <c r="F8" i="67"/>
  <c r="E8" i="67"/>
  <c r="B10"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3" i="65" l="1"/>
  <c r="C1" i="65"/>
  <c r="N1" i="65" s="1"/>
  <c r="N7" i="65"/>
  <c r="H1" i="65" l="1"/>
  <c r="B76" i="63"/>
  <c r="N6" i="65"/>
  <c r="I6" i="65"/>
  <c r="N3" i="65"/>
  <c r="N5" i="65"/>
  <c r="N4" i="65"/>
  <c r="C4" i="65" l="1"/>
  <c r="B39" i="1" s="1"/>
  <c r="J5" i="65"/>
  <c r="J6" i="65"/>
  <c r="J3" i="65"/>
  <c r="I4" i="65"/>
  <c r="J7" i="65"/>
  <c r="I5" i="65"/>
  <c r="I7" i="65"/>
  <c r="I3" i="65"/>
  <c r="J4" i="65"/>
  <c r="M11" i="69" l="1"/>
  <c r="J10" i="69" s="1"/>
  <c r="F11" i="69"/>
  <c r="F11" i="68"/>
  <c r="M11" i="68"/>
  <c r="J10" i="68" s="1"/>
  <c r="E20" i="46"/>
  <c r="J1" i="65"/>
  <c r="M5" i="54"/>
  <c r="A23" i="51"/>
  <c r="E3" i="65"/>
  <c r="C52" i="69" l="1"/>
  <c r="C52" i="68"/>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Y12" i="59" l="1"/>
  <c r="Z12" i="59" s="1"/>
  <c r="AB12" i="59"/>
  <c r="Y13" i="59"/>
  <c r="Z13" i="59" s="1"/>
  <c r="AB13" i="59"/>
  <c r="Y14" i="59"/>
  <c r="Z14" i="59" s="1"/>
  <c r="AB14" i="59"/>
  <c r="X16" i="59"/>
  <c r="AA16" i="59"/>
  <c r="X17" i="59"/>
  <c r="AA17" i="59"/>
  <c r="X18" i="59"/>
  <c r="AA18" i="59"/>
  <c r="C16" i="59"/>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l="1"/>
  <c r="C7" i="59"/>
  <c r="O27" i="6"/>
  <c r="N27" i="6"/>
  <c r="P26" i="6"/>
  <c r="L26" i="6"/>
  <c r="P25" i="6"/>
  <c r="L25" i="6"/>
  <c r="P24" i="6"/>
  <c r="L24" i="6"/>
  <c r="P23" i="6"/>
  <c r="L23" i="6"/>
  <c r="P22" i="6"/>
  <c r="L22" i="6"/>
  <c r="P21" i="6"/>
  <c r="L21" i="6"/>
  <c r="P20" i="6"/>
  <c r="P19" i="6"/>
  <c r="P27" i="6" s="1"/>
  <c r="D7" i="59" l="1"/>
  <c r="C6" i="59"/>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s="1"/>
  <c r="E15" i="57"/>
  <c r="I14" i="57"/>
  <c r="I13" i="57"/>
  <c r="I12" i="57"/>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D38" i="4" s="1"/>
  <c r="C39" i="4"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E5" i="3" s="1"/>
  <c r="BD22" i="3"/>
  <c r="BC22" i="3"/>
  <c r="BB22" i="3"/>
  <c r="AX22" i="3"/>
  <c r="AW22" i="3"/>
  <c r="AV22" i="3"/>
  <c r="AC22" i="3"/>
  <c r="H22" i="3"/>
  <c r="BT21" i="3"/>
  <c r="BS21" i="3"/>
  <c r="BR21" i="3"/>
  <c r="BQ21" i="3"/>
  <c r="BP21" i="3"/>
  <c r="BO21" i="3"/>
  <c r="BN21" i="3"/>
  <c r="BM21" i="3"/>
  <c r="BK21" i="3"/>
  <c r="BJ21" i="3"/>
  <c r="BJ5" i="3" s="1"/>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3" i="6"/>
  <c r="E24" i="6"/>
  <c r="E25" i="6"/>
  <c r="E26" i="6"/>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A19" i="3" s="1"/>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s="1"/>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U44" i="21" s="1"/>
  <c r="B98" i="21"/>
  <c r="B96" i="21"/>
  <c r="H30" i="21" s="1"/>
  <c r="U30" i="21" s="1"/>
  <c r="B94" i="21"/>
  <c r="B92" i="21"/>
  <c r="F28" i="21" s="1"/>
  <c r="S28" i="21" s="1"/>
  <c r="B90" i="21"/>
  <c r="B74" i="21"/>
  <c r="J14" i="21" s="1"/>
  <c r="AC14" i="21" s="1"/>
  <c r="B72" i="21"/>
  <c r="B70" i="21"/>
  <c r="F12" i="21" s="1"/>
  <c r="S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B37" i="9" s="1"/>
  <c r="E37" i="9"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38" i="9" s="1"/>
  <c r="N5" i="3"/>
  <c r="O5" i="3"/>
  <c r="F22" i="6" s="1"/>
  <c r="E22" i="6" s="1"/>
  <c r="K9" i="1" s="1"/>
  <c r="M9" i="1" s="1"/>
  <c r="P5" i="3"/>
  <c r="Q5" i="3"/>
  <c r="R5" i="3"/>
  <c r="S5" i="3"/>
  <c r="T5" i="3"/>
  <c r="U5" i="3"/>
  <c r="V5" i="3"/>
  <c r="W5" i="3"/>
  <c r="X5" i="3"/>
  <c r="Y5" i="3"/>
  <c r="Z5" i="3"/>
  <c r="AA5" i="3"/>
  <c r="AB5" i="3"/>
  <c r="H570" i="3"/>
  <c r="H571" i="3"/>
  <c r="G571" i="3" s="1"/>
  <c r="H572" i="3"/>
  <c r="F5" i="3"/>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26" i="21"/>
  <c r="W26" i="21" s="1"/>
  <c r="F26" i="21"/>
  <c r="AA26" i="21" s="1"/>
  <c r="AB41" i="21"/>
  <c r="S41" i="21"/>
  <c r="AA41" i="21"/>
  <c r="W41" i="21"/>
  <c r="S10" i="39"/>
  <c r="E103" i="37"/>
  <c r="F103" i="37" s="1"/>
  <c r="F39" i="37"/>
  <c r="S39" i="37" s="1"/>
  <c r="F29" i="36"/>
  <c r="AA29" i="36" s="1"/>
  <c r="F16" i="36"/>
  <c r="AA16" i="36" s="1"/>
  <c r="U22" i="36"/>
  <c r="W22" i="36"/>
  <c r="AC31" i="36"/>
  <c r="J33" i="36"/>
  <c r="W33" i="36" s="1"/>
  <c r="AC27" i="35"/>
  <c r="W24" i="35"/>
  <c r="W31" i="35"/>
  <c r="F36" i="34"/>
  <c r="S36" i="34" s="1"/>
  <c r="H39" i="33"/>
  <c r="AB39" i="33" s="1"/>
  <c r="S40" i="33"/>
  <c r="S33" i="33"/>
  <c r="W33" i="33"/>
  <c r="U38" i="33"/>
  <c r="W8" i="21"/>
  <c r="H39" i="37"/>
  <c r="AB39" i="37" s="1"/>
  <c r="S10" i="40"/>
  <c r="W10" i="40"/>
  <c r="S11" i="40"/>
  <c r="U11" i="40"/>
  <c r="S36" i="40"/>
  <c r="U36" i="40"/>
  <c r="S40" i="39"/>
  <c r="S36" i="39"/>
  <c r="F11" i="21"/>
  <c r="S11" i="21" s="1"/>
  <c r="AA38" i="21"/>
  <c r="AB36" i="21"/>
  <c r="C29" i="39"/>
  <c r="U36" i="39"/>
  <c r="H32" i="33"/>
  <c r="AB32" i="33" s="1"/>
  <c r="H11" i="21"/>
  <c r="U11" i="21" s="1"/>
  <c r="J11" i="21"/>
  <c r="W11" i="21" s="1"/>
  <c r="J27" i="36"/>
  <c r="W27" i="36" s="1"/>
  <c r="J34" i="36"/>
  <c r="F22" i="35"/>
  <c r="AA22" i="35" s="1"/>
  <c r="H10" i="35"/>
  <c r="U10" i="35" s="1"/>
  <c r="AC24" i="36"/>
  <c r="E85" i="36"/>
  <c r="F85" i="36" s="1"/>
  <c r="G85" i="36" s="1"/>
  <c r="H85" i="36" s="1"/>
  <c r="I85" i="36" s="1"/>
  <c r="J85" i="36" s="1"/>
  <c r="K85" i="36" s="1"/>
  <c r="L85" i="36" s="1"/>
  <c r="M85" i="36" s="1"/>
  <c r="J29" i="36"/>
  <c r="AC29" i="36" s="1"/>
  <c r="F24" i="36"/>
  <c r="AA24" i="36" s="1"/>
  <c r="S10"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J28" i="34"/>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B42"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F14" i="21"/>
  <c r="AA14" i="21" s="1"/>
  <c r="J28" i="21"/>
  <c r="AC28" i="21" s="1"/>
  <c r="J44" i="21"/>
  <c r="AC44" i="21" s="1"/>
  <c r="J46" i="21"/>
  <c r="W46" i="21" s="1"/>
  <c r="H26" i="33"/>
  <c r="U26" i="33" s="1"/>
  <c r="F28" i="33"/>
  <c r="AA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27" i="33"/>
  <c r="F13" i="33"/>
  <c r="S13" i="33" s="1"/>
  <c r="J29" i="33"/>
  <c r="W29" i="33" s="1"/>
  <c r="J31" i="33"/>
  <c r="AC31" i="33" s="1"/>
  <c r="H31" i="33"/>
  <c r="U31" i="33" s="1"/>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J36" i="37"/>
  <c r="AC36" i="37" s="1"/>
  <c r="G105" i="37"/>
  <c r="AB28" i="36"/>
  <c r="AB30" i="21"/>
  <c r="W14" i="21"/>
  <c r="S46" i="33"/>
  <c r="U36" i="37"/>
  <c r="AB31" i="33"/>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BA569" i="3"/>
  <c r="AZ569" i="3" s="1"/>
  <c r="BA565" i="3"/>
  <c r="BA561" i="3"/>
  <c r="AZ561" i="3" s="1"/>
  <c r="BA559" i="3"/>
  <c r="BA557" i="3"/>
  <c r="AZ557" i="3" s="1"/>
  <c r="BA555" i="3"/>
  <c r="BA551" i="3"/>
  <c r="AZ551" i="3" s="1"/>
  <c r="BA545" i="3"/>
  <c r="BA543" i="3"/>
  <c r="BA541" i="3"/>
  <c r="BA531" i="3"/>
  <c r="BA521" i="3"/>
  <c r="BA509" i="3"/>
  <c r="BA505" i="3"/>
  <c r="BA501" i="3"/>
  <c r="AZ501" i="3" s="1"/>
  <c r="BA493" i="3"/>
  <c r="BA487" i="3"/>
  <c r="BA572" i="3"/>
  <c r="BA566" i="3"/>
  <c r="BA562" i="3"/>
  <c r="BA560" i="3"/>
  <c r="BA558" i="3"/>
  <c r="BA556" i="3"/>
  <c r="BA554" i="3"/>
  <c r="BA550" i="3"/>
  <c r="BA546" i="3"/>
  <c r="BA544" i="3"/>
  <c r="BA540" i="3"/>
  <c r="AZ540" i="3" s="1"/>
  <c r="BA536" i="3"/>
  <c r="BA532" i="3"/>
  <c r="BA528" i="3"/>
  <c r="BA524" i="3"/>
  <c r="AZ524" i="3" s="1"/>
  <c r="BA520" i="3"/>
  <c r="BA516" i="3"/>
  <c r="BA512" i="3"/>
  <c r="BA508" i="3"/>
  <c r="BA502" i="3"/>
  <c r="BA498" i="3"/>
  <c r="BA492" i="3"/>
  <c r="BA488" i="3"/>
  <c r="AZ488" i="3" s="1"/>
  <c r="BA484" i="3"/>
  <c r="BA20" i="3"/>
  <c r="G566" i="3"/>
  <c r="G562" i="3"/>
  <c r="G560" i="3"/>
  <c r="G558" i="3"/>
  <c r="G556" i="3"/>
  <c r="G554" i="3"/>
  <c r="G550" i="3"/>
  <c r="G546" i="3"/>
  <c r="BL543" i="3"/>
  <c r="BA542" i="3"/>
  <c r="AC542" i="3"/>
  <c r="G542" i="3" s="1"/>
  <c r="BQ542" i="3"/>
  <c r="BL542" i="3" s="1"/>
  <c r="BQ568" i="3"/>
  <c r="BQ566" i="3"/>
  <c r="BQ564" i="3"/>
  <c r="BL564" i="3" s="1"/>
  <c r="BQ562" i="3"/>
  <c r="BL562" i="3" s="1"/>
  <c r="BQ560" i="3"/>
  <c r="BL560" i="3" s="1"/>
  <c r="AZ560" i="3" s="1"/>
  <c r="BQ558" i="3"/>
  <c r="BL558" i="3" s="1"/>
  <c r="BQ556" i="3"/>
  <c r="BL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BQ492" i="3"/>
  <c r="BL492" i="3" s="1"/>
  <c r="BQ490" i="3"/>
  <c r="BQ488" i="3"/>
  <c r="BL488" i="3" s="1"/>
  <c r="BQ486" i="3"/>
  <c r="BQ484" i="3"/>
  <c r="BL484" i="3" s="1"/>
  <c r="AZ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C37" i="33"/>
  <c r="AC45" i="33"/>
  <c r="AC33" i="21"/>
  <c r="F43" i="33"/>
  <c r="AA43" i="33" s="1"/>
  <c r="AB44" i="33"/>
  <c r="AA9" i="21"/>
  <c r="F37" i="21"/>
  <c r="S37" i="21" s="1"/>
  <c r="J37" i="21"/>
  <c r="W37" i="21" s="1"/>
  <c r="H19" i="34"/>
  <c r="AB19" i="34" s="1"/>
  <c r="J10" i="37"/>
  <c r="W10" i="37" s="1"/>
  <c r="F36" i="35"/>
  <c r="J9" i="37"/>
  <c r="W9" i="37" s="1"/>
  <c r="H9" i="37"/>
  <c r="U9" i="37" s="1"/>
  <c r="F9" i="37"/>
  <c r="S9" i="37" s="1"/>
  <c r="F11" i="37"/>
  <c r="S11" i="37" s="1"/>
  <c r="J12" i="37"/>
  <c r="AC12" i="37" s="1"/>
  <c r="H12" i="37"/>
  <c r="F12" i="37"/>
  <c r="AA12" i="37" s="1"/>
  <c r="H15" i="37"/>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G515" i="3"/>
  <c r="G507" i="3"/>
  <c r="G501" i="3"/>
  <c r="BA15" i="3"/>
  <c r="BL15" i="3"/>
  <c r="BA14" i="3"/>
  <c r="AZ14" i="3" s="1"/>
  <c r="J57" i="39"/>
  <c r="H13" i="40"/>
  <c r="U13" i="40" s="1"/>
  <c r="H12" i="48"/>
  <c r="I4" i="4"/>
  <c r="I59" i="40"/>
  <c r="C59" i="40" s="1"/>
  <c r="W9" i="33"/>
  <c r="G297" i="3"/>
  <c r="BL298" i="3"/>
  <c r="G299" i="3"/>
  <c r="BL300" i="3"/>
  <c r="BA302" i="3"/>
  <c r="BA303" i="3"/>
  <c r="AZ303" i="3" s="1"/>
  <c r="BL303" i="3"/>
  <c r="G304" i="3"/>
  <c r="BA305" i="3"/>
  <c r="G321" i="3"/>
  <c r="BL322" i="3"/>
  <c r="G323" i="3"/>
  <c r="BL324" i="3"/>
  <c r="BA326" i="3"/>
  <c r="BA327" i="3"/>
  <c r="BL327" i="3"/>
  <c r="AZ327" i="3" s="1"/>
  <c r="G328" i="3"/>
  <c r="BA329" i="3"/>
  <c r="G337" i="3"/>
  <c r="BL338" i="3"/>
  <c r="G339" i="3"/>
  <c r="BL340" i="3"/>
  <c r="BA342" i="3"/>
  <c r="BA343" i="3"/>
  <c r="BL343" i="3"/>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G116" i="3"/>
  <c r="BA118" i="3"/>
  <c r="BL119" i="3"/>
  <c r="AZ119" i="3" s="1"/>
  <c r="G120" i="3"/>
  <c r="BA122" i="3"/>
  <c r="BL123" i="3"/>
  <c r="AZ123" i="3"/>
  <c r="G124" i="3"/>
  <c r="BA126" i="3"/>
  <c r="BL127" i="3"/>
  <c r="AZ127" i="3" s="1"/>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AZ197" i="3" s="1"/>
  <c r="G198" i="3"/>
  <c r="BA200" i="3"/>
  <c r="BL201" i="3"/>
  <c r="AZ201" i="3" s="1"/>
  <c r="AZ82" i="3"/>
  <c r="AZ84" i="3"/>
  <c r="AZ86" i="3"/>
  <c r="AZ102" i="3"/>
  <c r="G491" i="3"/>
  <c r="BA298" i="3"/>
  <c r="BA299" i="3"/>
  <c r="BL299" i="3"/>
  <c r="G300" i="3"/>
  <c r="G303" i="3"/>
  <c r="BL304" i="3"/>
  <c r="BA306" i="3"/>
  <c r="BA307" i="3"/>
  <c r="BL307" i="3"/>
  <c r="G308" i="3"/>
  <c r="G319" i="3"/>
  <c r="BL320" i="3"/>
  <c r="AZ320" i="3" s="1"/>
  <c r="BA322" i="3"/>
  <c r="AZ322" i="3" s="1"/>
  <c r="BA323" i="3"/>
  <c r="BL323" i="3"/>
  <c r="G324" i="3"/>
  <c r="G327" i="3"/>
  <c r="BL328" i="3"/>
  <c r="AZ328" i="3" s="1"/>
  <c r="BA330" i="3"/>
  <c r="BA331" i="3"/>
  <c r="BL331" i="3"/>
  <c r="G332" i="3"/>
  <c r="G335" i="3"/>
  <c r="BL336" i="3"/>
  <c r="BA338" i="3"/>
  <c r="BA339" i="3"/>
  <c r="BL339" i="3"/>
  <c r="G340" i="3"/>
  <c r="G343" i="3"/>
  <c r="BL344" i="3"/>
  <c r="BA346" i="3"/>
  <c r="BA347" i="3"/>
  <c r="BL347" i="3"/>
  <c r="G348" i="3"/>
  <c r="G351" i="3"/>
  <c r="BL352" i="3"/>
  <c r="BA354" i="3"/>
  <c r="BA355" i="3"/>
  <c r="AZ355" i="3" s="1"/>
  <c r="BL355" i="3"/>
  <c r="G356" i="3"/>
  <c r="AZ143" i="3"/>
  <c r="BA358" i="3"/>
  <c r="AZ358" i="3" s="1"/>
  <c r="BA359" i="3"/>
  <c r="BL359" i="3"/>
  <c r="G360" i="3"/>
  <c r="G361" i="3"/>
  <c r="BL362" i="3"/>
  <c r="BA364" i="3"/>
  <c r="AZ364" i="3" s="1"/>
  <c r="BA365" i="3"/>
  <c r="BL365" i="3"/>
  <c r="G366" i="3"/>
  <c r="G369" i="3"/>
  <c r="BL370" i="3"/>
  <c r="BA372" i="3"/>
  <c r="AZ372" i="3" s="1"/>
  <c r="BA373" i="3"/>
  <c r="BL373" i="3"/>
  <c r="G374" i="3"/>
  <c r="G377" i="3"/>
  <c r="BL378" i="3"/>
  <c r="BA380" i="3"/>
  <c r="BA381" i="3"/>
  <c r="AZ381" i="3" s="1"/>
  <c r="BL381" i="3"/>
  <c r="G382" i="3"/>
  <c r="G385" i="3"/>
  <c r="AZ162" i="3"/>
  <c r="G523" i="3"/>
  <c r="BL297" i="3"/>
  <c r="G298" i="3"/>
  <c r="BA300" i="3"/>
  <c r="AZ300" i="3" s="1"/>
  <c r="BL301" i="3"/>
  <c r="G302" i="3"/>
  <c r="BA304" i="3"/>
  <c r="BL305" i="3"/>
  <c r="G306" i="3"/>
  <c r="BA308" i="3"/>
  <c r="BL309" i="3"/>
  <c r="AZ309" i="3" s="1"/>
  <c r="G310" i="3"/>
  <c r="BA310" i="3"/>
  <c r="AZ310" i="3" s="1"/>
  <c r="BL311" i="3"/>
  <c r="G312" i="3"/>
  <c r="BA312" i="3"/>
  <c r="BL313" i="3"/>
  <c r="G314" i="3"/>
  <c r="BA314" i="3"/>
  <c r="BL315" i="3"/>
  <c r="G316" i="3"/>
  <c r="BA316" i="3"/>
  <c r="BL317" i="3"/>
  <c r="G318" i="3"/>
  <c r="BA320" i="3"/>
  <c r="BL321" i="3"/>
  <c r="G322" i="3"/>
  <c r="BA324" i="3"/>
  <c r="AZ324" i="3"/>
  <c r="BL325" i="3"/>
  <c r="G326" i="3"/>
  <c r="BA328" i="3"/>
  <c r="BL329" i="3"/>
  <c r="G330" i="3"/>
  <c r="BA332" i="3"/>
  <c r="BL333" i="3"/>
  <c r="G334" i="3"/>
  <c r="BA336" i="3"/>
  <c r="BL337" i="3"/>
  <c r="G338" i="3"/>
  <c r="BA340" i="3"/>
  <c r="BL341" i="3"/>
  <c r="G342" i="3"/>
  <c r="BA344" i="3"/>
  <c r="BL345" i="3"/>
  <c r="G346" i="3"/>
  <c r="BA348" i="3"/>
  <c r="AZ348" i="3" s="1"/>
  <c r="BL349" i="3"/>
  <c r="AZ349" i="3" s="1"/>
  <c r="G350" i="3"/>
  <c r="BA352" i="3"/>
  <c r="BL353" i="3"/>
  <c r="G354" i="3"/>
  <c r="BA356" i="3"/>
  <c r="AZ356" i="3" s="1"/>
  <c r="BL357" i="3"/>
  <c r="G358" i="3"/>
  <c r="BA362" i="3"/>
  <c r="AZ362" i="3" s="1"/>
  <c r="BL363" i="3"/>
  <c r="G364" i="3"/>
  <c r="BA366" i="3"/>
  <c r="AZ366" i="3" s="1"/>
  <c r="BL367" i="3"/>
  <c r="AZ367" i="3" s="1"/>
  <c r="AZ363" i="3"/>
  <c r="G368" i="3"/>
  <c r="BA370" i="3"/>
  <c r="BL371" i="3"/>
  <c r="AZ371" i="3" s="1"/>
  <c r="G372" i="3"/>
  <c r="BA374" i="3"/>
  <c r="AZ374" i="3" s="1"/>
  <c r="BL375" i="3"/>
  <c r="G376" i="3"/>
  <c r="BA378" i="3"/>
  <c r="BL379" i="3"/>
  <c r="G380" i="3"/>
  <c r="BA382" i="3"/>
  <c r="BL383" i="3"/>
  <c r="G384" i="3"/>
  <c r="AZ375" i="3"/>
  <c r="AZ274" i="3"/>
  <c r="AZ278" i="3"/>
  <c r="H7" i="48"/>
  <c r="H113" i="46"/>
  <c r="H17" i="46"/>
  <c r="F33" i="46"/>
  <c r="F35" i="46"/>
  <c r="F37" i="46"/>
  <c r="H16" i="48"/>
  <c r="H9" i="48"/>
  <c r="H8" i="48"/>
  <c r="C12" i="46"/>
  <c r="AA43" i="21"/>
  <c r="U43" i="21"/>
  <c r="AA13" i="40"/>
  <c r="E78" i="40"/>
  <c r="F78" i="40" s="1"/>
  <c r="G78" i="40" s="1"/>
  <c r="H78" i="40" s="1"/>
  <c r="I78" i="40" s="1"/>
  <c r="J78" i="40" s="1"/>
  <c r="K78" i="40" s="1"/>
  <c r="L78" i="40" s="1"/>
  <c r="M78" i="40" s="1"/>
  <c r="BH5" i="3"/>
  <c r="R16" i="4"/>
  <c r="P16" i="4"/>
  <c r="G4" i="4"/>
  <c r="S37" i="34"/>
  <c r="J16" i="35"/>
  <c r="W16" i="35" s="1"/>
  <c r="U42" i="21"/>
  <c r="AC26" i="36"/>
  <c r="AZ354" i="3"/>
  <c r="H11" i="37"/>
  <c r="AB11" i="37" s="1"/>
  <c r="W37" i="37"/>
  <c r="AA30" i="33"/>
  <c r="U32" i="33"/>
  <c r="AB17" i="37"/>
  <c r="AZ508" i="3"/>
  <c r="AC29" i="33"/>
  <c r="AC11" i="36"/>
  <c r="AC10" i="36"/>
  <c r="AB45" i="34"/>
  <c r="AB35" i="35"/>
  <c r="S25" i="35"/>
  <c r="W44" i="33"/>
  <c r="AC30" i="33"/>
  <c r="W30" i="33"/>
  <c r="W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s="1"/>
  <c r="F19" i="39"/>
  <c r="S19" i="39" s="1"/>
  <c r="H19" i="39"/>
  <c r="AB19" i="39" s="1"/>
  <c r="J19" i="39"/>
  <c r="W19" i="39" s="1"/>
  <c r="F43" i="39"/>
  <c r="H43" i="39"/>
  <c r="U43" i="39" s="1"/>
  <c r="J43" i="39"/>
  <c r="W43" i="39" s="1"/>
  <c r="F99" i="37"/>
  <c r="G99" i="37" s="1"/>
  <c r="F33" i="37" s="1"/>
  <c r="AC27" i="37"/>
  <c r="U25" i="35"/>
  <c r="S45" i="34"/>
  <c r="U31" i="34"/>
  <c r="AC40" i="37"/>
  <c r="W40" i="37"/>
  <c r="AC45" i="21"/>
  <c r="S28" i="33"/>
  <c r="S14" i="21"/>
  <c r="AA44" i="34"/>
  <c r="U29" i="35"/>
  <c r="AC19" i="33"/>
  <c r="W19" i="33"/>
  <c r="U43" i="34"/>
  <c r="AB43" i="34"/>
  <c r="AC34" i="37"/>
  <c r="S35" i="37"/>
  <c r="AA35" i="37"/>
  <c r="AB10" i="35"/>
  <c r="AA32" i="21"/>
  <c r="S32" i="21"/>
  <c r="U38" i="21"/>
  <c r="AB34" i="21"/>
  <c r="BL571" i="3"/>
  <c r="BA571" i="3"/>
  <c r="AZ571" i="3" s="1"/>
  <c r="BL570" i="3"/>
  <c r="F42" i="21"/>
  <c r="AA42" i="21" s="1"/>
  <c r="AB40" i="33"/>
  <c r="U40" i="33"/>
  <c r="AA35" i="34"/>
  <c r="S35" i="34"/>
  <c r="E90" i="34"/>
  <c r="H27" i="34"/>
  <c r="AB27" i="34" s="1"/>
  <c r="AB8" i="35"/>
  <c r="U8"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BL522" i="3"/>
  <c r="BA522" i="3"/>
  <c r="BL521" i="3"/>
  <c r="AZ521" i="3" s="1"/>
  <c r="BA519" i="3"/>
  <c r="AZ519" i="3" s="1"/>
  <c r="BL518" i="3"/>
  <c r="BA518" i="3"/>
  <c r="AZ518" i="3"/>
  <c r="BL517" i="3"/>
  <c r="BA517" i="3"/>
  <c r="AZ517" i="3" s="1"/>
  <c r="BL515" i="3"/>
  <c r="BA515" i="3"/>
  <c r="AZ515" i="3" s="1"/>
  <c r="BA514" i="3"/>
  <c r="BL513" i="3"/>
  <c r="AZ513" i="3" s="1"/>
  <c r="BA513" i="3"/>
  <c r="BL512" i="3"/>
  <c r="AZ512" i="3" s="1"/>
  <c r="BA511" i="3"/>
  <c r="AZ511" i="3" s="1"/>
  <c r="BA510" i="3"/>
  <c r="AZ510" i="3" s="1"/>
  <c r="BL509" i="3"/>
  <c r="AZ509" i="3" s="1"/>
  <c r="BL507" i="3"/>
  <c r="BA507" i="3"/>
  <c r="BL506" i="3"/>
  <c r="BA506" i="3"/>
  <c r="BL505" i="3"/>
  <c r="AZ505" i="3" s="1"/>
  <c r="BL504" i="3"/>
  <c r="AZ504" i="3" s="1"/>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c r="BL490" i="3"/>
  <c r="BA490" i="3"/>
  <c r="AZ490" i="3" s="1"/>
  <c r="BL489" i="3"/>
  <c r="BA489" i="3"/>
  <c r="AZ489" i="3" s="1"/>
  <c r="BL487" i="3"/>
  <c r="AZ487" i="3" s="1"/>
  <c r="BL486" i="3"/>
  <c r="AZ486" i="3" s="1"/>
  <c r="BA486" i="3"/>
  <c r="BA485" i="3"/>
  <c r="AZ485" i="3" s="1"/>
  <c r="BA483" i="3"/>
  <c r="AZ483" i="3" s="1"/>
  <c r="BA482" i="3"/>
  <c r="AZ482" i="3" s="1"/>
  <c r="BL481" i="3"/>
  <c r="BA481" i="3"/>
  <c r="AZ481" i="3" s="1"/>
  <c r="BL19" i="3"/>
  <c r="F36" i="44"/>
  <c r="F114" i="34"/>
  <c r="G114" i="34" s="1"/>
  <c r="H114" i="34" s="1"/>
  <c r="I114" i="34" s="1"/>
  <c r="J114" i="34" s="1"/>
  <c r="K114" i="34" s="1"/>
  <c r="L114" i="34" s="1"/>
  <c r="M114" i="34" s="1"/>
  <c r="H38" i="34"/>
  <c r="U38" i="34" s="1"/>
  <c r="H30" i="40"/>
  <c r="AB30" i="40" s="1"/>
  <c r="G100" i="40"/>
  <c r="J30" i="40" s="1"/>
  <c r="AC30" i="40" s="1"/>
  <c r="F38" i="40"/>
  <c r="AA38" i="40" s="1"/>
  <c r="AA36" i="34"/>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B41" i="1"/>
  <c r="F66" i="9" s="1"/>
  <c r="P72" i="9" s="1"/>
  <c r="J42" i="40"/>
  <c r="AC42" i="40" s="1"/>
  <c r="J40" i="40"/>
  <c r="AC40" i="40" s="1"/>
  <c r="J34" i="40"/>
  <c r="AC34" i="40" s="1"/>
  <c r="H16" i="40"/>
  <c r="AB16" i="40" s="1"/>
  <c r="H14" i="40"/>
  <c r="U14" i="40" s="1"/>
  <c r="F32" i="40"/>
  <c r="AA32" i="40" s="1"/>
  <c r="AZ428" i="3"/>
  <c r="M1" i="46"/>
  <c r="M6" i="46"/>
  <c r="M10" i="46"/>
  <c r="N2" i="46"/>
  <c r="N5" i="46"/>
  <c r="F58" i="46" s="1"/>
  <c r="F47" i="46"/>
  <c r="H49" i="46" s="1"/>
  <c r="N7" i="46"/>
  <c r="AZ273" i="3"/>
  <c r="AZ276" i="3"/>
  <c r="M7" i="46"/>
  <c r="M11" i="46"/>
  <c r="N3" i="46"/>
  <c r="N6" i="46"/>
  <c r="N10" i="46"/>
  <c r="J13" i="40"/>
  <c r="W13" i="40" s="1"/>
  <c r="F34" i="44"/>
  <c r="AB32" i="40"/>
  <c r="S47" i="39"/>
  <c r="U37" i="34"/>
  <c r="AB37" i="34"/>
  <c r="AC41" i="40"/>
  <c r="W41" i="40"/>
  <c r="U41" i="40"/>
  <c r="J23" i="40"/>
  <c r="AC23" i="40" s="1"/>
  <c r="F23" i="40"/>
  <c r="S23" i="40" s="1"/>
  <c r="AC15" i="40"/>
  <c r="AB16" i="39"/>
  <c r="AB23" i="35"/>
  <c r="H20" i="35"/>
  <c r="U20" i="35" s="1"/>
  <c r="F20" i="35"/>
  <c r="S20" i="35" s="1"/>
  <c r="H15" i="34"/>
  <c r="AB15" i="34" s="1"/>
  <c r="F78" i="34"/>
  <c r="G78" i="34" s="1"/>
  <c r="J15" i="34"/>
  <c r="AC15" i="34" s="1"/>
  <c r="H41" i="33"/>
  <c r="U41" i="33" s="1"/>
  <c r="F30" i="40"/>
  <c r="AA30" i="40" s="1"/>
  <c r="AZ537" i="3"/>
  <c r="AB37" i="39"/>
  <c r="J29" i="39"/>
  <c r="AC29" i="39" s="1"/>
  <c r="AB21" i="39"/>
  <c r="AB33" i="36"/>
  <c r="AA11" i="36"/>
  <c r="AA14" i="35"/>
  <c r="U46" i="34"/>
  <c r="AC30" i="34"/>
  <c r="AA14" i="34"/>
  <c r="W12" i="34"/>
  <c r="U29" i="33"/>
  <c r="AC13" i="33"/>
  <c r="U17" i="34"/>
  <c r="AA11" i="34"/>
  <c r="W32" i="33"/>
  <c r="H15" i="33"/>
  <c r="U15" i="33" s="1"/>
  <c r="AA11" i="33"/>
  <c r="AA40" i="21"/>
  <c r="U16" i="40"/>
  <c r="AB34" i="40"/>
  <c r="AB42" i="40"/>
  <c r="U42" i="40"/>
  <c r="AC16" i="40"/>
  <c r="W32" i="40"/>
  <c r="H25" i="40"/>
  <c r="AB25" i="40" s="1"/>
  <c r="F94" i="40"/>
  <c r="G94" i="40" s="1"/>
  <c r="J37" i="34"/>
  <c r="AC37" i="34" s="1"/>
  <c r="J36" i="33"/>
  <c r="W36" i="33" s="1"/>
  <c r="H23" i="39"/>
  <c r="AB23" i="39" s="1"/>
  <c r="S16" i="39"/>
  <c r="AA41" i="33"/>
  <c r="F106" i="33"/>
  <c r="G106" i="33" s="1"/>
  <c r="H106" i="33" s="1"/>
  <c r="I106" i="33" s="1"/>
  <c r="J106" i="33" s="1"/>
  <c r="K106" i="33" s="1"/>
  <c r="L106" i="33" s="1"/>
  <c r="M106" i="33" s="1"/>
  <c r="J34" i="33"/>
  <c r="AC34" i="33" s="1"/>
  <c r="U30" i="40"/>
  <c r="W39" i="39"/>
  <c r="S39" i="39"/>
  <c r="AB44" i="39"/>
  <c r="F80" i="35"/>
  <c r="G80" i="35" s="1"/>
  <c r="H80" i="35" s="1"/>
  <c r="I80" i="35" s="1"/>
  <c r="J80" i="35" s="1"/>
  <c r="K80" i="35" s="1"/>
  <c r="L80" i="35" s="1"/>
  <c r="M80" i="35" s="1"/>
  <c r="F90" i="34"/>
  <c r="G90" i="34" s="1"/>
  <c r="H90" i="34" s="1"/>
  <c r="I90" i="34" s="1"/>
  <c r="J90" i="34" s="1"/>
  <c r="K90" i="34" s="1"/>
  <c r="L90" i="34" s="1"/>
  <c r="M90" i="34" s="1"/>
  <c r="F27" i="34"/>
  <c r="S27" i="34" s="1"/>
  <c r="AA43" i="39"/>
  <c r="S43" i="39"/>
  <c r="F32" i="37"/>
  <c r="S32" i="37" s="1"/>
  <c r="U11" i="35"/>
  <c r="S46" i="34"/>
  <c r="U14" i="34"/>
  <c r="U12" i="34"/>
  <c r="F17" i="34"/>
  <c r="AA17" i="34" s="1"/>
  <c r="J17" i="34"/>
  <c r="AC17" i="34" s="1"/>
  <c r="H11" i="34"/>
  <c r="AB11" i="34" s="1"/>
  <c r="J35" i="33"/>
  <c r="W35" i="33" s="1"/>
  <c r="AC15" i="33"/>
  <c r="H11" i="33"/>
  <c r="U11" i="33" s="1"/>
  <c r="H10" i="33"/>
  <c r="U10" i="33" s="1"/>
  <c r="I66" i="33"/>
  <c r="J10" i="33"/>
  <c r="AC10" i="33" s="1"/>
  <c r="U11" i="37"/>
  <c r="J11" i="34"/>
  <c r="W11" i="34" s="1"/>
  <c r="F25" i="40"/>
  <c r="AA25" i="40" s="1"/>
  <c r="J11" i="33"/>
  <c r="W11" i="33" s="1"/>
  <c r="H33" i="37"/>
  <c r="AB33" i="37" s="1"/>
  <c r="W23" i="40"/>
  <c r="D73" i="9"/>
  <c r="N73" i="9" s="1"/>
  <c r="B11" i="1"/>
  <c r="E11" i="1" s="1"/>
  <c r="K11" i="1"/>
  <c r="M11" i="1" s="1"/>
  <c r="B9" i="1"/>
  <c r="E9" i="1" s="1"/>
  <c r="B7" i="1"/>
  <c r="E7" i="1" s="1"/>
  <c r="C20" i="43"/>
  <c r="E2" i="65"/>
  <c r="BL20" i="3" l="1"/>
  <c r="G25" i="3"/>
  <c r="G23" i="3"/>
  <c r="BA26" i="3"/>
  <c r="G20" i="3"/>
  <c r="AZ19" i="3"/>
  <c r="C7" i="33"/>
  <c r="C58" i="33" s="1"/>
  <c r="D58" i="33" s="1"/>
  <c r="E58" i="33" s="1"/>
  <c r="F58" i="33" s="1"/>
  <c r="G58" i="33" s="1"/>
  <c r="H58" i="33" s="1"/>
  <c r="I58" i="33" s="1"/>
  <c r="J58" i="33" s="1"/>
  <c r="K58" i="33" s="1"/>
  <c r="L58" i="33" s="1"/>
  <c r="M58" i="33" s="1"/>
  <c r="N58" i="33" s="1"/>
  <c r="O58" i="33" s="1"/>
  <c r="C7" i="35"/>
  <c r="C48" i="35" s="1"/>
  <c r="D48" i="35" s="1"/>
  <c r="C7" i="37"/>
  <c r="F8" i="1"/>
  <c r="G8" i="1" s="1"/>
  <c r="G19" i="46"/>
  <c r="M20" i="46" s="1"/>
  <c r="W15" i="34"/>
  <c r="AA15" i="34"/>
  <c r="F97" i="39"/>
  <c r="G97" i="39" s="1"/>
  <c r="F72" i="9"/>
  <c r="AZ352" i="3"/>
  <c r="AZ344" i="3"/>
  <c r="AZ336" i="3"/>
  <c r="U15" i="37"/>
  <c r="AB15" i="37"/>
  <c r="S36" i="35"/>
  <c r="AA36" i="35"/>
  <c r="AZ506" i="3"/>
  <c r="AZ507" i="3"/>
  <c r="AB36" i="34"/>
  <c r="AC29" i="37"/>
  <c r="AC14" i="37"/>
  <c r="AA45" i="33"/>
  <c r="W25" i="35"/>
  <c r="AZ378" i="3"/>
  <c r="AZ370" i="3"/>
  <c r="AZ340" i="3"/>
  <c r="AZ304" i="3"/>
  <c r="AZ359" i="3"/>
  <c r="AZ347" i="3"/>
  <c r="AZ338" i="3"/>
  <c r="AZ307" i="3"/>
  <c r="AZ298" i="3"/>
  <c r="AZ343" i="3"/>
  <c r="AA12" i="21"/>
  <c r="AZ543" i="3"/>
  <c r="AZ550" i="3"/>
  <c r="AZ556" i="3"/>
  <c r="AZ545" i="3"/>
  <c r="AB44" i="21"/>
  <c r="W31" i="34"/>
  <c r="AA28" i="21"/>
  <c r="AB31" i="21"/>
  <c r="J27" i="33"/>
  <c r="F44" i="21"/>
  <c r="AA44" i="21" s="1"/>
  <c r="F30" i="21"/>
  <c r="S30" i="21" s="1"/>
  <c r="H28" i="21"/>
  <c r="AB40" i="34"/>
  <c r="AB8" i="36"/>
  <c r="J30" i="35"/>
  <c r="W30" i="35" s="1"/>
  <c r="AC40" i="21"/>
  <c r="W38" i="33"/>
  <c r="S34" i="34"/>
  <c r="J12" i="21"/>
  <c r="G572" i="3"/>
  <c r="G570" i="3"/>
  <c r="W41" i="33"/>
  <c r="F26" i="37"/>
  <c r="AA26" i="37" s="1"/>
  <c r="G564" i="3"/>
  <c r="G540" i="3"/>
  <c r="G535" i="3"/>
  <c r="G533" i="3"/>
  <c r="G528" i="3"/>
  <c r="G527" i="3"/>
  <c r="G500" i="3"/>
  <c r="G496" i="3"/>
  <c r="G495" i="3"/>
  <c r="AZ542" i="3"/>
  <c r="G393" i="3"/>
  <c r="BL394" i="3"/>
  <c r="BL401" i="3"/>
  <c r="BA403" i="3"/>
  <c r="G404" i="3"/>
  <c r="BA405" i="3"/>
  <c r="G406" i="3"/>
  <c r="BL407" i="3"/>
  <c r="G408" i="3"/>
  <c r="BL410" i="3"/>
  <c r="BL412" i="3"/>
  <c r="G413" i="3"/>
  <c r="BA415" i="3"/>
  <c r="BL415" i="3"/>
  <c r="BA416" i="3"/>
  <c r="AZ416" i="3" s="1"/>
  <c r="BA418" i="3"/>
  <c r="AZ418" i="3" s="1"/>
  <c r="BL418" i="3"/>
  <c r="BA419" i="3"/>
  <c r="AZ419" i="3" s="1"/>
  <c r="BL421" i="3"/>
  <c r="G422" i="3"/>
  <c r="BL423" i="3"/>
  <c r="G424" i="3"/>
  <c r="BA426" i="3"/>
  <c r="BL426" i="3"/>
  <c r="G428" i="3"/>
  <c r="BA429" i="3"/>
  <c r="BL429" i="3"/>
  <c r="BL431" i="3"/>
  <c r="G434" i="3"/>
  <c r="G438" i="3"/>
  <c r="G440" i="3"/>
  <c r="BL441" i="3"/>
  <c r="BA443" i="3"/>
  <c r="G444" i="3"/>
  <c r="BL445" i="3"/>
  <c r="BA447" i="3"/>
  <c r="G448" i="3"/>
  <c r="BL449" i="3"/>
  <c r="G450" i="3"/>
  <c r="BA451" i="3"/>
  <c r="BL451" i="3"/>
  <c r="BA453" i="3"/>
  <c r="BL453" i="3"/>
  <c r="BA455" i="3"/>
  <c r="AZ455" i="3" s="1"/>
  <c r="BL455" i="3"/>
  <c r="BL457" i="3"/>
  <c r="G458" i="3"/>
  <c r="BL459" i="3"/>
  <c r="G460" i="3"/>
  <c r="BA461" i="3"/>
  <c r="G462" i="3"/>
  <c r="BL463" i="3"/>
  <c r="G464" i="3"/>
  <c r="BL465" i="3"/>
  <c r="BL467" i="3"/>
  <c r="BA469" i="3"/>
  <c r="AZ469" i="3" s="1"/>
  <c r="BL469" i="3"/>
  <c r="G470" i="3"/>
  <c r="BA471" i="3"/>
  <c r="BL471" i="3"/>
  <c r="BL473" i="3"/>
  <c r="G474" i="3"/>
  <c r="BL475" i="3"/>
  <c r="G476" i="3"/>
  <c r="BL478" i="3"/>
  <c r="G479" i="3"/>
  <c r="BA480" i="3"/>
  <c r="G305" i="3"/>
  <c r="G307" i="3"/>
  <c r="BL308" i="3"/>
  <c r="AZ308" i="3" s="1"/>
  <c r="BA311" i="3"/>
  <c r="AZ311" i="3" s="1"/>
  <c r="BA313" i="3"/>
  <c r="AZ313" i="3" s="1"/>
  <c r="BA317" i="3"/>
  <c r="AZ317" i="3" s="1"/>
  <c r="BA319" i="3"/>
  <c r="G320" i="3"/>
  <c r="BA321" i="3"/>
  <c r="AZ321" i="3" s="1"/>
  <c r="BA325" i="3"/>
  <c r="AZ325" i="3" s="1"/>
  <c r="G336" i="3"/>
  <c r="BA357" i="3"/>
  <c r="AZ357" i="3" s="1"/>
  <c r="BL382" i="3"/>
  <c r="AZ382" i="3" s="1"/>
  <c r="BA384" i="3"/>
  <c r="BL384" i="3"/>
  <c r="BA386" i="3"/>
  <c r="BL386" i="3"/>
  <c r="BA387" i="3"/>
  <c r="AZ387" i="3" s="1"/>
  <c r="BA388" i="3"/>
  <c r="AZ388" i="3" s="1"/>
  <c r="BA205" i="3"/>
  <c r="AZ205" i="3" s="1"/>
  <c r="BA207" i="3"/>
  <c r="AZ207" i="3" s="1"/>
  <c r="BL207" i="3"/>
  <c r="BA208" i="3"/>
  <c r="AZ208" i="3" s="1"/>
  <c r="BA209" i="3"/>
  <c r="AZ209" i="3" s="1"/>
  <c r="BL211" i="3"/>
  <c r="G212" i="3"/>
  <c r="BL213" i="3"/>
  <c r="G214" i="3"/>
  <c r="BA215" i="3"/>
  <c r="AZ215" i="3" s="1"/>
  <c r="BL215" i="3"/>
  <c r="G216" i="3"/>
  <c r="BA217" i="3"/>
  <c r="BL217" i="3"/>
  <c r="G218" i="3"/>
  <c r="BA219" i="3"/>
  <c r="AZ219" i="3" s="1"/>
  <c r="BA220" i="3"/>
  <c r="AZ220" i="3" s="1"/>
  <c r="BA221" i="3"/>
  <c r="G222" i="3"/>
  <c r="BL223" i="3"/>
  <c r="G224" i="3"/>
  <c r="BL226" i="3"/>
  <c r="G227" i="3"/>
  <c r="BA229" i="3"/>
  <c r="G230" i="3"/>
  <c r="BL231" i="3"/>
  <c r="G232" i="3"/>
  <c r="BA233" i="3"/>
  <c r="AZ233" i="3" s="1"/>
  <c r="BL233" i="3"/>
  <c r="BA234" i="3"/>
  <c r="AZ234" i="3" s="1"/>
  <c r="BA235" i="3"/>
  <c r="AZ235" i="3" s="1"/>
  <c r="BA237" i="3"/>
  <c r="AZ237" i="3" s="1"/>
  <c r="BL237" i="3"/>
  <c r="BA238" i="3"/>
  <c r="AZ238" i="3" s="1"/>
  <c r="BA239" i="3"/>
  <c r="AZ239" i="3" s="1"/>
  <c r="BA240" i="3"/>
  <c r="AZ240" i="3" s="1"/>
  <c r="BL242" i="3"/>
  <c r="G243" i="3"/>
  <c r="BA244" i="3"/>
  <c r="BL244" i="3"/>
  <c r="BL246" i="3"/>
  <c r="G247" i="3"/>
  <c r="BA248" i="3"/>
  <c r="BL248" i="3"/>
  <c r="BL250" i="3"/>
  <c r="G251" i="3"/>
  <c r="BA252" i="3"/>
  <c r="G253" i="3"/>
  <c r="BL254" i="3"/>
  <c r="BA256" i="3"/>
  <c r="G257" i="3"/>
  <c r="BL258" i="3"/>
  <c r="G261" i="3"/>
  <c r="G265" i="3"/>
  <c r="G284" i="3"/>
  <c r="G288" i="3"/>
  <c r="BL289" i="3"/>
  <c r="G294" i="3"/>
  <c r="BL295" i="3"/>
  <c r="G125" i="3"/>
  <c r="G127" i="3"/>
  <c r="BL128" i="3"/>
  <c r="BA132" i="3"/>
  <c r="G133" i="3"/>
  <c r="G135" i="3"/>
  <c r="BL136" i="3"/>
  <c r="G137" i="3"/>
  <c r="G139" i="3"/>
  <c r="BA140" i="3"/>
  <c r="BL140" i="3"/>
  <c r="BA141" i="3"/>
  <c r="AZ141" i="3" s="1"/>
  <c r="BL142" i="3"/>
  <c r="AZ142" i="3" s="1"/>
  <c r="BA144" i="3"/>
  <c r="AZ144" i="3" s="1"/>
  <c r="BL146" i="3"/>
  <c r="AZ146" i="3" s="1"/>
  <c r="G147" i="3"/>
  <c r="BL149" i="3"/>
  <c r="G150" i="3"/>
  <c r="BA151" i="3"/>
  <c r="AZ151" i="3" s="1"/>
  <c r="G152" i="3"/>
  <c r="G154" i="3"/>
  <c r="BL155" i="3"/>
  <c r="G156" i="3"/>
  <c r="BL157" i="3"/>
  <c r="AZ157" i="3" s="1"/>
  <c r="BA159" i="3"/>
  <c r="AZ159" i="3" s="1"/>
  <c r="BL159" i="3"/>
  <c r="BA160" i="3"/>
  <c r="AZ160" i="3" s="1"/>
  <c r="BL161" i="3"/>
  <c r="AZ161" i="3" s="1"/>
  <c r="BA163" i="3"/>
  <c r="AZ163" i="3" s="1"/>
  <c r="BA164" i="3"/>
  <c r="AZ164" i="3" s="1"/>
  <c r="BL165" i="3"/>
  <c r="AZ165" i="3" s="1"/>
  <c r="BA166" i="3"/>
  <c r="AZ166" i="3" s="1"/>
  <c r="BL168" i="3"/>
  <c r="BA170" i="3"/>
  <c r="AZ170" i="3" s="1"/>
  <c r="BA172" i="3"/>
  <c r="G173" i="3"/>
  <c r="BA179" i="3"/>
  <c r="AZ179" i="3" s="1"/>
  <c r="BA181" i="3"/>
  <c r="AZ181" i="3" s="1"/>
  <c r="BL183" i="3"/>
  <c r="BA185" i="3"/>
  <c r="AZ185" i="3" s="1"/>
  <c r="BL187" i="3"/>
  <c r="BA189" i="3"/>
  <c r="AZ189" i="3" s="1"/>
  <c r="BL191" i="3"/>
  <c r="BA193" i="3"/>
  <c r="AZ193" i="3" s="1"/>
  <c r="BL195" i="3"/>
  <c r="BA198" i="3"/>
  <c r="AZ198" i="3" s="1"/>
  <c r="BA199" i="3"/>
  <c r="AZ199" i="3" s="1"/>
  <c r="BL200" i="3"/>
  <c r="AZ200" i="3" s="1"/>
  <c r="BA203" i="3"/>
  <c r="AZ203" i="3" s="1"/>
  <c r="BL203" i="3"/>
  <c r="BA204" i="3"/>
  <c r="AZ204" i="3" s="1"/>
  <c r="BL21" i="3"/>
  <c r="G22" i="3"/>
  <c r="BA23" i="3"/>
  <c r="G24" i="3"/>
  <c r="BL25" i="3"/>
  <c r="G28" i="3"/>
  <c r="BA29" i="3"/>
  <c r="G30" i="3"/>
  <c r="BL31" i="3"/>
  <c r="G32" i="3"/>
  <c r="BA33" i="3"/>
  <c r="BL33" i="3"/>
  <c r="BA34" i="3"/>
  <c r="AZ34" i="3" s="1"/>
  <c r="BA35" i="3"/>
  <c r="AZ35" i="3" s="1"/>
  <c r="BL37" i="3"/>
  <c r="G38" i="3"/>
  <c r="BA39" i="3"/>
  <c r="G40" i="3"/>
  <c r="BL41" i="3"/>
  <c r="G44" i="3"/>
  <c r="BA45" i="3"/>
  <c r="G46" i="3"/>
  <c r="BL47" i="3"/>
  <c r="G48" i="3"/>
  <c r="BA49" i="3"/>
  <c r="BL49" i="3"/>
  <c r="BA50" i="3"/>
  <c r="AZ50" i="3" s="1"/>
  <c r="BA51" i="3"/>
  <c r="AZ51" i="3" s="1"/>
  <c r="BL53" i="3"/>
  <c r="G54" i="3"/>
  <c r="BA55" i="3"/>
  <c r="G56" i="3"/>
  <c r="G62" i="3"/>
  <c r="BL63" i="3"/>
  <c r="G68" i="3"/>
  <c r="BL69" i="3"/>
  <c r="G72" i="3"/>
  <c r="BA73" i="3"/>
  <c r="G74" i="3"/>
  <c r="BL75" i="3"/>
  <c r="G90" i="3"/>
  <c r="G92" i="3"/>
  <c r="BA93" i="3"/>
  <c r="G94" i="3"/>
  <c r="BL95" i="3"/>
  <c r="G106" i="3"/>
  <c r="G108" i="3"/>
  <c r="BA109" i="3"/>
  <c r="G110" i="3"/>
  <c r="BL111" i="3"/>
  <c r="I15" i="57"/>
  <c r="G13" i="1"/>
  <c r="F9" i="1"/>
  <c r="G9" i="1" s="1"/>
  <c r="U31" i="35"/>
  <c r="W29" i="35"/>
  <c r="AB27" i="35"/>
  <c r="S31" i="35"/>
  <c r="AC16" i="35"/>
  <c r="S9" i="35"/>
  <c r="U28" i="35"/>
  <c r="AB20" i="35"/>
  <c r="AB16" i="35"/>
  <c r="S10" i="35"/>
  <c r="BL13" i="3"/>
  <c r="E21" i="6"/>
  <c r="D3" i="35" s="1"/>
  <c r="E20" i="6"/>
  <c r="D9" i="12" s="1"/>
  <c r="G35" i="9"/>
  <c r="C43" i="9" s="1"/>
  <c r="K47" i="9" s="1"/>
  <c r="A14" i="55" s="1"/>
  <c r="B65" i="63" s="1"/>
  <c r="G13" i="3"/>
  <c r="J33" i="39"/>
  <c r="AC33" i="39" s="1"/>
  <c r="F33" i="39"/>
  <c r="AA33" i="39" s="1"/>
  <c r="AA19" i="39"/>
  <c r="U19" i="39"/>
  <c r="C7" i="21"/>
  <c r="C58" i="21" s="1"/>
  <c r="D58" i="21" s="1"/>
  <c r="E58" i="21" s="1"/>
  <c r="F58" i="21" s="1"/>
  <c r="G58" i="21" s="1"/>
  <c r="H58" i="21" s="1"/>
  <c r="I58" i="21" s="1"/>
  <c r="J58" i="21" s="1"/>
  <c r="K58" i="21" s="1"/>
  <c r="L58" i="21" s="1"/>
  <c r="M58" i="21" s="1"/>
  <c r="N58" i="21" s="1"/>
  <c r="O58" i="21" s="1"/>
  <c r="C7" i="34"/>
  <c r="C7" i="36"/>
  <c r="C46" i="36" s="1"/>
  <c r="D46" i="36" s="1"/>
  <c r="C9" i="39"/>
  <c r="C70" i="39" s="1"/>
  <c r="C9" i="40"/>
  <c r="C65" i="40" s="1"/>
  <c r="C67" i="40" s="1"/>
  <c r="F7" i="1"/>
  <c r="K141" i="21"/>
  <c r="K144" i="21"/>
  <c r="K143" i="21"/>
  <c r="AB36" i="35"/>
  <c r="U36" i="35"/>
  <c r="S17" i="34"/>
  <c r="AC13" i="40"/>
  <c r="AA37" i="39"/>
  <c r="J23" i="39"/>
  <c r="AC23" i="39" s="1"/>
  <c r="AB23" i="40"/>
  <c r="U39" i="39"/>
  <c r="W35" i="40"/>
  <c r="H47" i="46"/>
  <c r="AZ514" i="3"/>
  <c r="AZ523" i="3"/>
  <c r="AZ530" i="3"/>
  <c r="AZ539" i="3"/>
  <c r="AZ547" i="3"/>
  <c r="AZ549" i="3"/>
  <c r="H29" i="39"/>
  <c r="U29" i="39" s="1"/>
  <c r="F29" i="39"/>
  <c r="AA29" i="39" s="1"/>
  <c r="S42" i="33"/>
  <c r="AZ379" i="3"/>
  <c r="AZ373" i="3"/>
  <c r="AZ365" i="3"/>
  <c r="AZ339" i="3"/>
  <c r="AZ331" i="3"/>
  <c r="AZ323" i="3"/>
  <c r="AA23" i="37"/>
  <c r="AA13" i="33"/>
  <c r="AZ20" i="3"/>
  <c r="AZ520" i="3"/>
  <c r="S19" i="21"/>
  <c r="BG5" i="3"/>
  <c r="J36" i="35"/>
  <c r="AC36" i="35" s="1"/>
  <c r="K145" i="21"/>
  <c r="G27" i="6"/>
  <c r="G569" i="3"/>
  <c r="G568" i="3"/>
  <c r="G543" i="3"/>
  <c r="G541" i="3"/>
  <c r="G531" i="3"/>
  <c r="G520" i="3"/>
  <c r="G519" i="3"/>
  <c r="G504" i="3"/>
  <c r="G503" i="3"/>
  <c r="G487" i="3"/>
  <c r="G486" i="3"/>
  <c r="G15" i="3"/>
  <c r="G389" i="3"/>
  <c r="BL390" i="3"/>
  <c r="G391" i="3"/>
  <c r="BA392" i="3"/>
  <c r="BL392" i="3"/>
  <c r="BA393" i="3"/>
  <c r="AZ393" i="3" s="1"/>
  <c r="BA394" i="3"/>
  <c r="AZ394" i="3" s="1"/>
  <c r="BL396" i="3"/>
  <c r="G397" i="3"/>
  <c r="G399" i="3"/>
  <c r="BL480" i="3"/>
  <c r="G301" i="3"/>
  <c r="BL302" i="3"/>
  <c r="AZ302" i="3" s="1"/>
  <c r="G313" i="3"/>
  <c r="BL314" i="3"/>
  <c r="AZ314" i="3" s="1"/>
  <c r="G315" i="3"/>
  <c r="BL316" i="3"/>
  <c r="AZ316" i="3" s="1"/>
  <c r="BA318" i="3"/>
  <c r="AZ318" i="3" s="1"/>
  <c r="G329"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11" i="3"/>
  <c r="BL212" i="3"/>
  <c r="G213" i="3"/>
  <c r="BL214" i="3"/>
  <c r="G215" i="3"/>
  <c r="BA216" i="3"/>
  <c r="BL216" i="3"/>
  <c r="G217" i="3"/>
  <c r="BL218" i="3"/>
  <c r="G219" i="3"/>
  <c r="BA400" i="3"/>
  <c r="AZ400" i="3" s="1"/>
  <c r="BA401" i="3"/>
  <c r="AZ401" i="3" s="1"/>
  <c r="BL403" i="3"/>
  <c r="AZ403" i="3" s="1"/>
  <c r="BA404" i="3"/>
  <c r="AZ404" i="3" s="1"/>
  <c r="AZ409" i="3"/>
  <c r="BA410" i="3"/>
  <c r="AZ410" i="3" s="1"/>
  <c r="G418" i="3"/>
  <c r="AZ425" i="3"/>
  <c r="AZ429" i="3"/>
  <c r="BA430" i="3"/>
  <c r="AZ430" i="3" s="1"/>
  <c r="BA431" i="3"/>
  <c r="AZ431" i="3" s="1"/>
  <c r="BA433" i="3"/>
  <c r="BL433" i="3"/>
  <c r="BL435" i="3"/>
  <c r="G436" i="3"/>
  <c r="BA437" i="3"/>
  <c r="BL437" i="3"/>
  <c r="BA439" i="3"/>
  <c r="BL439" i="3"/>
  <c r="BA440" i="3"/>
  <c r="AZ440" i="3" s="1"/>
  <c r="BA441" i="3"/>
  <c r="AZ441" i="3" s="1"/>
  <c r="BA442" i="3"/>
  <c r="AZ442" i="3" s="1"/>
  <c r="BA444" i="3"/>
  <c r="AZ444" i="3" s="1"/>
  <c r="BL444" i="3"/>
  <c r="BA445" i="3"/>
  <c r="AZ445" i="3" s="1"/>
  <c r="BA446" i="3"/>
  <c r="AZ446" i="3" s="1"/>
  <c r="BL448" i="3"/>
  <c r="G449" i="3"/>
  <c r="BL450" i="3"/>
  <c r="G451" i="3"/>
  <c r="G453" i="3"/>
  <c r="G455" i="3"/>
  <c r="G457" i="3"/>
  <c r="BL458" i="3"/>
  <c r="G459" i="3"/>
  <c r="BA460" i="3"/>
  <c r="BL460" i="3"/>
  <c r="BL462" i="3"/>
  <c r="G463" i="3"/>
  <c r="BA464" i="3"/>
  <c r="BL464" i="3"/>
  <c r="BA465" i="3"/>
  <c r="AZ465" i="3" s="1"/>
  <c r="BA466" i="3"/>
  <c r="AZ466" i="3" s="1"/>
  <c r="BA467" i="3"/>
  <c r="AZ467" i="3" s="1"/>
  <c r="AZ470" i="3"/>
  <c r="BL222" i="3"/>
  <c r="G223" i="3"/>
  <c r="BL224" i="3"/>
  <c r="G225" i="3"/>
  <c r="BL225" i="3"/>
  <c r="AZ225" i="3" s="1"/>
  <c r="G226" i="3"/>
  <c r="BA227" i="3"/>
  <c r="BL227" i="3"/>
  <c r="G228" i="3"/>
  <c r="G229" i="3"/>
  <c r="BL230" i="3"/>
  <c r="G231" i="3"/>
  <c r="BL232" i="3"/>
  <c r="G233" i="3"/>
  <c r="G237" i="3"/>
  <c r="G242" i="3"/>
  <c r="BL243" i="3"/>
  <c r="G244" i="3"/>
  <c r="G246" i="3"/>
  <c r="BL247" i="3"/>
  <c r="G248" i="3"/>
  <c r="G250" i="3"/>
  <c r="BA251" i="3"/>
  <c r="BL251" i="3"/>
  <c r="BA253" i="3"/>
  <c r="BL253" i="3"/>
  <c r="BA254" i="3"/>
  <c r="AZ254" i="3" s="1"/>
  <c r="BA255" i="3"/>
  <c r="AZ255" i="3" s="1"/>
  <c r="BA257" i="3"/>
  <c r="BL257" i="3"/>
  <c r="BA258" i="3"/>
  <c r="AZ258" i="3" s="1"/>
  <c r="BA260" i="3"/>
  <c r="AZ260" i="3" s="1"/>
  <c r="BL260" i="3"/>
  <c r="BL262" i="3"/>
  <c r="G263" i="3"/>
  <c r="BA264" i="3"/>
  <c r="AZ264" i="3" s="1"/>
  <c r="BL264" i="3"/>
  <c r="BL266" i="3"/>
  <c r="G267" i="3"/>
  <c r="G269" i="3"/>
  <c r="BL270" i="3"/>
  <c r="G271" i="3"/>
  <c r="G276" i="3"/>
  <c r="G280" i="3"/>
  <c r="BL281" i="3"/>
  <c r="G282" i="3"/>
  <c r="BA283" i="3"/>
  <c r="BL283" i="3"/>
  <c r="BL285" i="3"/>
  <c r="G286" i="3"/>
  <c r="BA287" i="3"/>
  <c r="BL287" i="3"/>
  <c r="BA288" i="3"/>
  <c r="AZ288" i="3" s="1"/>
  <c r="BA289" i="3"/>
  <c r="AZ289" i="3" s="1"/>
  <c r="BL291" i="3"/>
  <c r="G292" i="3"/>
  <c r="BA293" i="3"/>
  <c r="BL293" i="3"/>
  <c r="BA294" i="3"/>
  <c r="AZ294" i="3" s="1"/>
  <c r="BA295" i="3"/>
  <c r="AZ295" i="3" s="1"/>
  <c r="BL113"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BA167" i="3"/>
  <c r="AZ167" i="3" s="1"/>
  <c r="BL167" i="3"/>
  <c r="BA168" i="3"/>
  <c r="AZ168" i="3" s="1"/>
  <c r="BL169" i="3"/>
  <c r="AZ169" i="3" s="1"/>
  <c r="BA171" i="3"/>
  <c r="AZ171" i="3" s="1"/>
  <c r="BL173" i="3"/>
  <c r="AZ173" i="3" s="1"/>
  <c r="G174" i="3"/>
  <c r="BL176" i="3"/>
  <c r="G177" i="3"/>
  <c r="G179" i="3"/>
  <c r="BA180" i="3"/>
  <c r="AZ180" i="3" s="1"/>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G203" i="3"/>
  <c r="BA22" i="3"/>
  <c r="BL22" i="3"/>
  <c r="BA24" i="3"/>
  <c r="BL24" i="3"/>
  <c r="BA25" i="3"/>
  <c r="BA27" i="3"/>
  <c r="AZ27" i="3" s="1"/>
  <c r="BL27" i="3"/>
  <c r="BA28" i="3"/>
  <c r="AZ28" i="3" s="1"/>
  <c r="BL30" i="3"/>
  <c r="G31" i="3"/>
  <c r="BL32" i="3"/>
  <c r="G33" i="3"/>
  <c r="G37" i="3"/>
  <c r="BA38" i="3"/>
  <c r="BL38" i="3"/>
  <c r="BA40" i="3"/>
  <c r="AZ40" i="3" s="1"/>
  <c r="BL40" i="3"/>
  <c r="BA41" i="3"/>
  <c r="AZ41" i="3" s="1"/>
  <c r="BA43" i="3"/>
  <c r="BL43" i="3"/>
  <c r="BA44" i="3"/>
  <c r="AZ44" i="3" s="1"/>
  <c r="BL46" i="3"/>
  <c r="G47" i="3"/>
  <c r="BL48" i="3"/>
  <c r="G49" i="3"/>
  <c r="G53" i="3"/>
  <c r="BA54" i="3"/>
  <c r="BL54" i="3"/>
  <c r="BA56" i="3"/>
  <c r="BL56" i="3"/>
  <c r="BL57" i="3"/>
  <c r="G58" i="3"/>
  <c r="G60" i="3"/>
  <c r="BA61" i="3"/>
  <c r="AZ61" i="3" s="1"/>
  <c r="BL61" i="3"/>
  <c r="BA62" i="3"/>
  <c r="AZ62" i="3" s="1"/>
  <c r="BA63" i="3"/>
  <c r="AZ63" i="3" s="1"/>
  <c r="BL65" i="3"/>
  <c r="G66" i="3"/>
  <c r="BA67" i="3"/>
  <c r="AZ67" i="3" s="1"/>
  <c r="BL67" i="3"/>
  <c r="BA68" i="3"/>
  <c r="AZ68" i="3" s="1"/>
  <c r="BA69" i="3"/>
  <c r="AZ69" i="3" s="1"/>
  <c r="BA71" i="3"/>
  <c r="AZ71" i="3" s="1"/>
  <c r="BL71" i="3"/>
  <c r="BA72" i="3"/>
  <c r="AZ72" i="3" s="1"/>
  <c r="BA74" i="3"/>
  <c r="BL74" i="3"/>
  <c r="BA75" i="3"/>
  <c r="AZ75" i="3" s="1"/>
  <c r="BL77" i="3"/>
  <c r="G78" i="3"/>
  <c r="BL79" i="3"/>
  <c r="G80" i="3"/>
  <c r="G84" i="3"/>
  <c r="G88" i="3"/>
  <c r="BA89" i="3"/>
  <c r="BL89" i="3"/>
  <c r="BA91" i="3"/>
  <c r="AZ91" i="3" s="1"/>
  <c r="BL91" i="3"/>
  <c r="BA92" i="3"/>
  <c r="AZ92" i="3" s="1"/>
  <c r="BA94" i="3"/>
  <c r="BL94" i="3"/>
  <c r="BA95" i="3"/>
  <c r="AZ95" i="3" s="1"/>
  <c r="BL97" i="3"/>
  <c r="G98" i="3"/>
  <c r="BL99" i="3"/>
  <c r="G100" i="3"/>
  <c r="G104" i="3"/>
  <c r="BA105" i="3"/>
  <c r="BL105" i="3"/>
  <c r="BA107" i="3"/>
  <c r="BL107" i="3"/>
  <c r="BA108" i="3"/>
  <c r="AZ108" i="3" s="1"/>
  <c r="BA110" i="3"/>
  <c r="AZ110" i="3" s="1"/>
  <c r="BL110" i="3"/>
  <c r="BA111" i="3"/>
  <c r="AZ111" i="3" s="1"/>
  <c r="BA112" i="3"/>
  <c r="AZ112" i="3" s="1"/>
  <c r="W15" i="39"/>
  <c r="AB9" i="33"/>
  <c r="U9" i="33"/>
  <c r="J17" i="40"/>
  <c r="F86" i="40"/>
  <c r="G86" i="40" s="1"/>
  <c r="AC36" i="33"/>
  <c r="U40" i="21"/>
  <c r="S32" i="33"/>
  <c r="AB13" i="33"/>
  <c r="AC14" i="34"/>
  <c r="U32" i="34"/>
  <c r="W14" i="35"/>
  <c r="U11" i="36"/>
  <c r="AB46" i="39"/>
  <c r="AA34" i="33"/>
  <c r="S41" i="40"/>
  <c r="U47" i="39"/>
  <c r="W34" i="40"/>
  <c r="U17" i="21"/>
  <c r="AA29" i="35"/>
  <c r="AB38" i="34"/>
  <c r="H100" i="40"/>
  <c r="I100" i="40" s="1"/>
  <c r="J100" i="40" s="1"/>
  <c r="K100" i="40" s="1"/>
  <c r="L100" i="40" s="1"/>
  <c r="M100" i="40" s="1"/>
  <c r="S33" i="40"/>
  <c r="AC14" i="40"/>
  <c r="AB14" i="40"/>
  <c r="AZ494" i="3"/>
  <c r="AZ499" i="3"/>
  <c r="AZ522" i="3"/>
  <c r="AZ568" i="3"/>
  <c r="AA36" i="37"/>
  <c r="AZ299" i="3"/>
  <c r="K8" i="1"/>
  <c r="M8" i="1" s="1"/>
  <c r="E9" i="12"/>
  <c r="E32" i="6"/>
  <c r="C9" i="12"/>
  <c r="C10" i="12" s="1"/>
  <c r="U27" i="33"/>
  <c r="AB27" i="33"/>
  <c r="U45" i="33"/>
  <c r="AB45" i="33"/>
  <c r="U27" i="37"/>
  <c r="AB27" i="37"/>
  <c r="BA570" i="3"/>
  <c r="AZ570" i="3" s="1"/>
  <c r="BT5" i="3"/>
  <c r="BI5" i="3"/>
  <c r="H42" i="39"/>
  <c r="AB42" i="39" s="1"/>
  <c r="AZ216" i="3"/>
  <c r="BA218" i="3"/>
  <c r="AZ218" i="3" s="1"/>
  <c r="BA226" i="3"/>
  <c r="AZ226" i="3" s="1"/>
  <c r="AZ227" i="3"/>
  <c r="AZ377" i="3"/>
  <c r="S27" i="37"/>
  <c r="AZ502" i="3"/>
  <c r="AZ559" i="3"/>
  <c r="AZ541" i="3"/>
  <c r="AZ555" i="3"/>
  <c r="S45" i="21"/>
  <c r="AC13" i="36"/>
  <c r="W42" i="21"/>
  <c r="W46" i="33"/>
  <c r="AA39" i="37"/>
  <c r="AC35" i="21"/>
  <c r="S8" i="21"/>
  <c r="H9" i="21"/>
  <c r="J9" i="21"/>
  <c r="BL572" i="3"/>
  <c r="AZ572" i="3" s="1"/>
  <c r="J12" i="33"/>
  <c r="W12" i="33" s="1"/>
  <c r="F12" i="35"/>
  <c r="G559" i="3"/>
  <c r="G551" i="3"/>
  <c r="G547" i="3"/>
  <c r="G536" i="3"/>
  <c r="G532" i="3"/>
  <c r="G524" i="3"/>
  <c r="G512" i="3"/>
  <c r="G505" i="3"/>
  <c r="G497" i="3"/>
  <c r="G489" i="3"/>
  <c r="G481" i="3"/>
  <c r="G19" i="3"/>
  <c r="BB5" i="3"/>
  <c r="G18" i="3"/>
  <c r="J42" i="39"/>
  <c r="AC42" i="39" s="1"/>
  <c r="F42" i="39"/>
  <c r="BA389" i="3"/>
  <c r="AZ389" i="3" s="1"/>
  <c r="BA390" i="3"/>
  <c r="AZ390" i="3" s="1"/>
  <c r="BA391" i="3"/>
  <c r="AZ391" i="3" s="1"/>
  <c r="G394" i="3"/>
  <c r="G395" i="3"/>
  <c r="BL395" i="3"/>
  <c r="AZ395" i="3" s="1"/>
  <c r="BA396" i="3"/>
  <c r="AZ396" i="3" s="1"/>
  <c r="BL398" i="3"/>
  <c r="AZ398" i="3" s="1"/>
  <c r="G401" i="3"/>
  <c r="G402" i="3"/>
  <c r="BL402" i="3"/>
  <c r="AZ402" i="3" s="1"/>
  <c r="G405" i="3"/>
  <c r="BL405" i="3"/>
  <c r="AZ405" i="3" s="1"/>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AZ472"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AZ210" i="3" s="1"/>
  <c r="BA211" i="3"/>
  <c r="AZ211" i="3" s="1"/>
  <c r="BA212" i="3"/>
  <c r="AZ212" i="3" s="1"/>
  <c r="BA213" i="3"/>
  <c r="AZ213" i="3" s="1"/>
  <c r="BA214" i="3"/>
  <c r="AZ214" i="3" s="1"/>
  <c r="G220" i="3"/>
  <c r="G221" i="3"/>
  <c r="BL221" i="3"/>
  <c r="AZ221" i="3" s="1"/>
  <c r="BA222" i="3"/>
  <c r="AZ222" i="3" s="1"/>
  <c r="BA223" i="3"/>
  <c r="AZ223" i="3" s="1"/>
  <c r="BA224" i="3"/>
  <c r="AZ224" i="3" s="1"/>
  <c r="BL228" i="3"/>
  <c r="AZ228" i="3" s="1"/>
  <c r="BL229" i="3"/>
  <c r="AZ229" i="3" s="1"/>
  <c r="BA230" i="3"/>
  <c r="AZ230" i="3" s="1"/>
  <c r="BA231" i="3"/>
  <c r="AZ231" i="3" s="1"/>
  <c r="BA232" i="3"/>
  <c r="AZ232" i="3" s="1"/>
  <c r="G235" i="3"/>
  <c r="G236" i="3"/>
  <c r="BL236" i="3"/>
  <c r="AZ236" i="3" s="1"/>
  <c r="G239" i="3"/>
  <c r="G240" i="3"/>
  <c r="G241" i="3"/>
  <c r="BL241" i="3"/>
  <c r="AZ241" i="3" s="1"/>
  <c r="BA242" i="3"/>
  <c r="AZ242" i="3" s="1"/>
  <c r="BA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BL290" i="3"/>
  <c r="AZ290" i="3" s="1"/>
  <c r="BA291" i="3"/>
  <c r="AZ291" i="3" s="1"/>
  <c r="BA292" i="3"/>
  <c r="AZ292" i="3" s="1"/>
  <c r="G295" i="3"/>
  <c r="G296" i="3"/>
  <c r="BL296" i="3"/>
  <c r="AZ296" i="3" s="1"/>
  <c r="BA113" i="3"/>
  <c r="AZ113" i="3" s="1"/>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L23" i="3"/>
  <c r="AZ23" i="3" s="1"/>
  <c r="G26" i="3"/>
  <c r="BL26" i="3"/>
  <c r="AZ26" i="3" s="1"/>
  <c r="G29" i="3"/>
  <c r="BL29" i="3"/>
  <c r="AZ29" i="3" s="1"/>
  <c r="BA30" i="3"/>
  <c r="AZ30" i="3" s="1"/>
  <c r="BA31" i="3"/>
  <c r="AZ31" i="3" s="1"/>
  <c r="BA32" i="3"/>
  <c r="AZ32" i="3" s="1"/>
  <c r="G35" i="3"/>
  <c r="G36" i="3"/>
  <c r="BL36" i="3"/>
  <c r="AZ36" i="3" s="1"/>
  <c r="BA37" i="3"/>
  <c r="AZ37" i="3" s="1"/>
  <c r="BL39" i="3"/>
  <c r="AZ39" i="3" s="1"/>
  <c r="G42" i="3"/>
  <c r="BL42" i="3"/>
  <c r="AZ42" i="3" s="1"/>
  <c r="G45" i="3"/>
  <c r="BL45" i="3"/>
  <c r="AZ45" i="3" s="1"/>
  <c r="BA46" i="3"/>
  <c r="AZ46" i="3" s="1"/>
  <c r="BA47" i="3"/>
  <c r="AZ47" i="3" s="1"/>
  <c r="BA48" i="3"/>
  <c r="AZ48" i="3" s="1"/>
  <c r="G51" i="3"/>
  <c r="G52" i="3"/>
  <c r="BL52" i="3"/>
  <c r="AZ52" i="3" s="1"/>
  <c r="BA53" i="3"/>
  <c r="AZ53" i="3" s="1"/>
  <c r="BL55" i="3"/>
  <c r="AZ55" i="3" s="1"/>
  <c r="BA57" i="3"/>
  <c r="AZ57" i="3" s="1"/>
  <c r="BL59" i="3"/>
  <c r="AZ59" i="3" s="1"/>
  <c r="BA60" i="3"/>
  <c r="AZ60" i="3" s="1"/>
  <c r="G63" i="3"/>
  <c r="G64" i="3"/>
  <c r="BL64" i="3"/>
  <c r="BA65" i="3"/>
  <c r="AZ65" i="3" s="1"/>
  <c r="BA66" i="3"/>
  <c r="AZ66" i="3" s="1"/>
  <c r="G69" i="3"/>
  <c r="G70" i="3"/>
  <c r="BL70" i="3"/>
  <c r="AZ70" i="3" s="1"/>
  <c r="G73" i="3"/>
  <c r="BL73" i="3"/>
  <c r="G76" i="3"/>
  <c r="BL76" i="3"/>
  <c r="AZ76" i="3" s="1"/>
  <c r="BA77" i="3"/>
  <c r="AZ77" i="3" s="1"/>
  <c r="BA78" i="3"/>
  <c r="AZ78" i="3" s="1"/>
  <c r="BA79" i="3"/>
  <c r="AZ79" i="3" s="1"/>
  <c r="G82" i="3"/>
  <c r="G83" i="3"/>
  <c r="BL83" i="3"/>
  <c r="G86" i="3"/>
  <c r="G87" i="3"/>
  <c r="BL87" i="3"/>
  <c r="AZ87" i="3" s="1"/>
  <c r="BA88" i="3"/>
  <c r="AZ88" i="3" s="1"/>
  <c r="BL90" i="3"/>
  <c r="AZ90" i="3" s="1"/>
  <c r="G93" i="3"/>
  <c r="BL93" i="3"/>
  <c r="G96" i="3"/>
  <c r="BL96" i="3"/>
  <c r="AZ96" i="3" s="1"/>
  <c r="BA97" i="3"/>
  <c r="AZ97" i="3" s="1"/>
  <c r="BA98" i="3"/>
  <c r="AZ98" i="3" s="1"/>
  <c r="BA99" i="3"/>
  <c r="AZ99" i="3" s="1"/>
  <c r="G102" i="3"/>
  <c r="G103" i="3"/>
  <c r="BL103" i="3"/>
  <c r="BA104" i="3"/>
  <c r="AZ104" i="3" s="1"/>
  <c r="BL106" i="3"/>
  <c r="AZ106" i="3" s="1"/>
  <c r="G109" i="3"/>
  <c r="BL109" i="3"/>
  <c r="AZ109" i="3" s="1"/>
  <c r="G112" i="3"/>
  <c r="K12" i="1"/>
  <c r="M12" i="1" s="1"/>
  <c r="O12" i="1" s="1"/>
  <c r="P12" i="1" s="1"/>
  <c r="G1" i="69"/>
  <c r="G1" i="68"/>
  <c r="C42" i="1"/>
  <c r="J51" i="69"/>
  <c r="J51" i="68"/>
  <c r="J51" i="15"/>
  <c r="E26" i="57"/>
  <c r="I10" i="57"/>
  <c r="I21" i="57" s="1"/>
  <c r="D1" i="57" s="1"/>
  <c r="E10" i="57" s="1"/>
  <c r="AZ73" i="3"/>
  <c r="AZ83" i="3"/>
  <c r="AZ93" i="3"/>
  <c r="AZ103" i="3"/>
  <c r="AC43" i="39"/>
  <c r="U34" i="39"/>
  <c r="W33" i="39"/>
  <c r="S33" i="39"/>
  <c r="U27" i="39"/>
  <c r="W27" i="39"/>
  <c r="S23" i="39"/>
  <c r="C23" i="39"/>
  <c r="AB17" i="39"/>
  <c r="S17" i="39"/>
  <c r="W14" i="39"/>
  <c r="F34" i="15"/>
  <c r="F61" i="15" s="1"/>
  <c r="M20" i="69"/>
  <c r="F34" i="68"/>
  <c r="F34" i="69"/>
  <c r="M20" i="68"/>
  <c r="F27" i="43"/>
  <c r="M18" i="69"/>
  <c r="F32" i="69"/>
  <c r="F28" i="69"/>
  <c r="F32" i="68"/>
  <c r="F28" i="68"/>
  <c r="M18" i="68"/>
  <c r="G10" i="1"/>
  <c r="BA18" i="3"/>
  <c r="AC5" i="3"/>
  <c r="G17" i="3"/>
  <c r="BL17" i="3"/>
  <c r="G14" i="3"/>
  <c r="BF5" i="3"/>
  <c r="A2" i="55"/>
  <c r="B55" i="63" s="1"/>
  <c r="A11" i="55"/>
  <c r="B62" i="63" s="1"/>
  <c r="AB12" i="37"/>
  <c r="U12" i="37"/>
  <c r="W23" i="37"/>
  <c r="AC23" i="37"/>
  <c r="W41" i="34"/>
  <c r="AC41" i="34"/>
  <c r="AZ544" i="3"/>
  <c r="AZ558" i="3"/>
  <c r="AZ562" i="3"/>
  <c r="S38" i="37"/>
  <c r="AA38" i="37"/>
  <c r="U13" i="35"/>
  <c r="AB13" i="35"/>
  <c r="AB30" i="33"/>
  <c r="U30" i="33"/>
  <c r="S22" i="35"/>
  <c r="W28" i="34"/>
  <c r="AC28" i="34"/>
  <c r="AC39" i="37"/>
  <c r="W39" i="37"/>
  <c r="AB25" i="39"/>
  <c r="AC47" i="39"/>
  <c r="F71" i="9"/>
  <c r="W40" i="40"/>
  <c r="AZ345" i="3"/>
  <c r="AZ329" i="3"/>
  <c r="AZ305" i="3"/>
  <c r="S39" i="33"/>
  <c r="AZ492" i="3"/>
  <c r="AZ493" i="3"/>
  <c r="AB40" i="37"/>
  <c r="W35" i="35"/>
  <c r="S27" i="33"/>
  <c r="AA27" i="33"/>
  <c r="U13" i="21"/>
  <c r="AB13" i="21"/>
  <c r="AB28" i="21"/>
  <c r="U28" i="21"/>
  <c r="W34" i="36"/>
  <c r="AC34" i="36"/>
  <c r="AB19" i="21"/>
  <c r="U19" i="21"/>
  <c r="AB46" i="21"/>
  <c r="U46" i="21"/>
  <c r="AC9" i="34"/>
  <c r="W9" i="34"/>
  <c r="AA31" i="33"/>
  <c r="S31" i="33"/>
  <c r="AZ392" i="3"/>
  <c r="AZ397" i="3"/>
  <c r="AZ408" i="3"/>
  <c r="AZ413" i="3"/>
  <c r="AZ424" i="3"/>
  <c r="AZ437" i="3"/>
  <c r="AZ451" i="3"/>
  <c r="AZ453" i="3"/>
  <c r="AZ460" i="3"/>
  <c r="AZ464" i="3"/>
  <c r="AZ476" i="3"/>
  <c r="AZ480" i="3"/>
  <c r="AZ368" i="3"/>
  <c r="AZ384" i="3"/>
  <c r="AZ386" i="3"/>
  <c r="AA36" i="21"/>
  <c r="J28" i="33"/>
  <c r="F46" i="21"/>
  <c r="J30" i="21"/>
  <c r="H14" i="21"/>
  <c r="W40" i="33"/>
  <c r="S38" i="33"/>
  <c r="W8" i="34"/>
  <c r="AA28" i="34"/>
  <c r="F34" i="36"/>
  <c r="S34" i="36" s="1"/>
  <c r="F12" i="36"/>
  <c r="S12" i="36" s="1"/>
  <c r="U29" i="36"/>
  <c r="AA12" i="33"/>
  <c r="U33" i="33"/>
  <c r="F26" i="33"/>
  <c r="AA26" i="33" s="1"/>
  <c r="W39" i="34"/>
  <c r="U34" i="35"/>
  <c r="W36" i="35"/>
  <c r="U26" i="36"/>
  <c r="W23" i="36"/>
  <c r="U30" i="37"/>
  <c r="H12" i="21"/>
  <c r="H5" i="3"/>
  <c r="F9" i="34"/>
  <c r="AA9" i="34" s="1"/>
  <c r="J9" i="35"/>
  <c r="W9" i="35" s="1"/>
  <c r="F34" i="35"/>
  <c r="H24" i="36"/>
  <c r="J25" i="37"/>
  <c r="A30" i="64"/>
  <c r="A30" i="51"/>
  <c r="C18" i="9"/>
  <c r="D18" i="9" s="1"/>
  <c r="M44" i="9" s="1"/>
  <c r="AZ256" i="3"/>
  <c r="AZ259" i="3"/>
  <c r="AZ275" i="3"/>
  <c r="AZ279" i="3"/>
  <c r="AZ116" i="3"/>
  <c r="AZ129" i="3"/>
  <c r="AZ132" i="3"/>
  <c r="AZ145" i="3"/>
  <c r="AZ148" i="3"/>
  <c r="AZ33" i="3"/>
  <c r="AZ38" i="3"/>
  <c r="AZ49" i="3"/>
  <c r="AZ54" i="3"/>
  <c r="AZ64" i="3"/>
  <c r="AZ80" i="3"/>
  <c r="AZ89" i="3"/>
  <c r="AZ100" i="3"/>
  <c r="AZ105" i="3"/>
  <c r="BA21" i="3"/>
  <c r="AZ21" i="3" s="1"/>
  <c r="C52" i="15"/>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F3" i="35"/>
  <c r="K1" i="43"/>
  <c r="K1" i="12"/>
  <c r="G1" i="44"/>
  <c r="I4" i="6"/>
  <c r="AZ15" i="3"/>
  <c r="BK5" i="3"/>
  <c r="BO5" i="3"/>
  <c r="BP5" i="3"/>
  <c r="BN5" i="3"/>
  <c r="BL18" i="3"/>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A4" i="64"/>
  <c r="A4" i="51"/>
  <c r="B6" i="63" s="1"/>
  <c r="C51" i="10"/>
  <c r="H58" i="46"/>
  <c r="H61" i="46"/>
  <c r="H62" i="46"/>
  <c r="H75" i="46"/>
  <c r="I100" i="46"/>
  <c r="N100" i="46"/>
  <c r="H100" i="46"/>
  <c r="F108" i="46"/>
  <c r="H80" i="46"/>
  <c r="E100" i="46"/>
  <c r="G100" i="46"/>
  <c r="H84" i="46"/>
  <c r="H65" i="46"/>
  <c r="H66" i="46"/>
  <c r="C100" i="46"/>
  <c r="J100" i="46"/>
  <c r="M100" i="46"/>
  <c r="U12" i="35"/>
  <c r="AB12" i="35"/>
  <c r="W11" i="35"/>
  <c r="AA11" i="35"/>
  <c r="S14" i="37"/>
  <c r="U13" i="37"/>
  <c r="S13" i="21"/>
  <c r="C24" i="9"/>
  <c r="C25" i="9"/>
  <c r="AP7" i="1"/>
  <c r="G7" i="1"/>
  <c r="AP8" i="1"/>
  <c r="I20" i="46"/>
  <c r="C20" i="46" s="1"/>
  <c r="L5" i="54"/>
  <c r="B39" i="63" s="1"/>
  <c r="K5" i="54"/>
  <c r="B38" i="63" s="1"/>
  <c r="T41" i="4"/>
  <c r="A17" i="64" s="1"/>
  <c r="B46" i="50"/>
  <c r="B4" i="63" s="1"/>
  <c r="C59" i="34"/>
  <c r="D59" i="34" s="1"/>
  <c r="E59" i="34" s="1"/>
  <c r="C52" i="37"/>
  <c r="D52" i="37" s="1"/>
  <c r="F7" i="33"/>
  <c r="J7" i="33"/>
  <c r="D65" i="40"/>
  <c r="P24" i="46"/>
  <c r="B68" i="40" s="1"/>
  <c r="P25" i="46"/>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40" i="44"/>
  <c r="M11" i="44"/>
  <c r="M10" i="44"/>
  <c r="M23" i="15"/>
  <c r="F18" i="44"/>
  <c r="F39" i="44"/>
  <c r="M31" i="44"/>
  <c r="F45" i="44"/>
  <c r="M6" i="15"/>
  <c r="L49" i="44"/>
  <c r="F8" i="44"/>
  <c r="F43" i="44"/>
  <c r="M22" i="15"/>
  <c r="F8" i="15"/>
  <c r="F11" i="44"/>
  <c r="L48" i="44"/>
  <c r="F42" i="15"/>
  <c r="F38" i="44"/>
  <c r="M9" i="15"/>
  <c r="M28" i="15"/>
  <c r="F26" i="15"/>
  <c r="M25" i="44"/>
  <c r="F10" i="44"/>
  <c r="F16" i="15"/>
  <c r="J17" i="44"/>
  <c r="F28" i="44"/>
  <c r="F13" i="15"/>
  <c r="M24" i="44"/>
  <c r="M30" i="44"/>
  <c r="M26" i="44"/>
  <c r="F43" i="15"/>
  <c r="F7" i="15"/>
  <c r="M28" i="44"/>
  <c r="F9" i="15"/>
  <c r="F9" i="44"/>
  <c r="M8" i="44"/>
  <c r="F15" i="44"/>
  <c r="AZ25" i="3" l="1"/>
  <c r="K7" i="1"/>
  <c r="M7" i="1" s="1"/>
  <c r="G5" i="3"/>
  <c r="B3" i="3" s="1"/>
  <c r="E536" i="3" s="1"/>
  <c r="AZ22" i="3"/>
  <c r="AZ18" i="3"/>
  <c r="AP9" i="1"/>
  <c r="G3" i="46"/>
  <c r="H22" i="46" s="1"/>
  <c r="C13" i="39"/>
  <c r="AZ140" i="3"/>
  <c r="AZ248" i="3"/>
  <c r="AZ244" i="3"/>
  <c r="AZ217" i="3"/>
  <c r="AZ471" i="3"/>
  <c r="AZ426" i="3"/>
  <c r="AZ415" i="3"/>
  <c r="AC12" i="21"/>
  <c r="W12" i="21"/>
  <c r="AC27" i="33"/>
  <c r="W27" i="33"/>
  <c r="AC9" i="35"/>
  <c r="AB29" i="39"/>
  <c r="AO8" i="1"/>
  <c r="B73" i="39"/>
  <c r="AZ107" i="3"/>
  <c r="AZ94" i="3"/>
  <c r="AZ74" i="3"/>
  <c r="AZ56" i="3"/>
  <c r="AZ43" i="3"/>
  <c r="AZ24" i="3"/>
  <c r="AZ156" i="3"/>
  <c r="AZ293" i="3"/>
  <c r="AZ287" i="3"/>
  <c r="AZ283" i="3"/>
  <c r="AZ257" i="3"/>
  <c r="AZ253" i="3"/>
  <c r="AZ251" i="3"/>
  <c r="AZ439" i="3"/>
  <c r="AZ433" i="3"/>
  <c r="AB11" i="46"/>
  <c r="AB13" i="46" s="1"/>
  <c r="C31" i="43"/>
  <c r="C27" i="43"/>
  <c r="AA42" i="39"/>
  <c r="S42" i="39"/>
  <c r="AA12" i="35"/>
  <c r="S12" i="35"/>
  <c r="AB9" i="21"/>
  <c r="U9" i="21"/>
  <c r="AC33" i="37"/>
  <c r="H69" i="46"/>
  <c r="H77" i="46"/>
  <c r="AA12" i="36"/>
  <c r="H76" i="46"/>
  <c r="C7" i="46"/>
  <c r="AC23" i="21"/>
  <c r="C28" i="68"/>
  <c r="C28" i="69"/>
  <c r="AC9" i="21"/>
  <c r="W9" i="21"/>
  <c r="BL5" i="3"/>
  <c r="AZ17" i="3"/>
  <c r="O8" i="1"/>
  <c r="P8" i="1" s="1"/>
  <c r="M6" i="1"/>
  <c r="C15" i="43" s="1"/>
  <c r="F61" i="69"/>
  <c r="F61" i="68"/>
  <c r="F59" i="68"/>
  <c r="F59" i="69"/>
  <c r="F24" i="68"/>
  <c r="C24" i="68" s="1"/>
  <c r="F24" i="69"/>
  <c r="C16" i="46"/>
  <c r="C5" i="46" s="1"/>
  <c r="T10" i="46" s="1"/>
  <c r="V10" i="46" s="1"/>
  <c r="AB24" i="36"/>
  <c r="U24" i="36"/>
  <c r="U14" i="21"/>
  <c r="AB14" i="21"/>
  <c r="AA46" i="21"/>
  <c r="S46" i="21"/>
  <c r="W25" i="37"/>
  <c r="AC25" i="37"/>
  <c r="AA34" i="35"/>
  <c r="S34" i="35"/>
  <c r="U12" i="21"/>
  <c r="AB12" i="21"/>
  <c r="W30" i="21"/>
  <c r="AC30" i="21"/>
  <c r="W28" i="33"/>
  <c r="AC28" i="33"/>
  <c r="G6" i="1"/>
  <c r="I55" i="44"/>
  <c r="J54" i="44"/>
  <c r="L60" i="44"/>
  <c r="Q63" i="44" s="1"/>
  <c r="L59" i="44"/>
  <c r="Q75" i="44" s="1"/>
  <c r="J60" i="44"/>
  <c r="J58" i="44"/>
  <c r="J56" i="44" s="1"/>
  <c r="J59" i="44" s="1"/>
  <c r="Q52" i="44" s="1"/>
  <c r="L57" i="44"/>
  <c r="J61" i="44"/>
  <c r="Q50" i="44" s="1"/>
  <c r="F29" i="6"/>
  <c r="F28" i="6"/>
  <c r="E28" i="6" s="1"/>
  <c r="Q73" i="44"/>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8" i="39"/>
  <c r="E53" i="40"/>
  <c r="F27" i="6"/>
  <c r="E5" i="6"/>
  <c r="C8" i="44"/>
  <c r="M9" i="44"/>
  <c r="C29" i="44"/>
  <c r="E105" i="3"/>
  <c r="AF6" i="3"/>
  <c r="E324" i="3"/>
  <c r="E216" i="3"/>
  <c r="T6" i="3"/>
  <c r="E571" i="3"/>
  <c r="E273" i="3"/>
  <c r="E175" i="3"/>
  <c r="E12" i="6"/>
  <c r="E64" i="39" s="1"/>
  <c r="BA5" i="3"/>
  <c r="AZ13" i="3"/>
  <c r="G29" i="6"/>
  <c r="G30" i="6" s="1"/>
  <c r="G31" i="6" s="1"/>
  <c r="AZ16" i="3"/>
  <c r="E14" i="6"/>
  <c r="E10" i="6"/>
  <c r="E15" i="6"/>
  <c r="E13" i="6"/>
  <c r="E11" i="6"/>
  <c r="H70" i="46"/>
  <c r="H72" i="46"/>
  <c r="F24" i="15"/>
  <c r="C24" i="15" s="1"/>
  <c r="F26" i="44"/>
  <c r="C26" i="44" s="1"/>
  <c r="F26" i="12"/>
  <c r="F21" i="43"/>
  <c r="C23" i="43" s="1"/>
  <c r="D21" i="43" s="1"/>
  <c r="A9" i="64"/>
  <c r="A9" i="51"/>
  <c r="B9" i="63" s="1"/>
  <c r="T8" i="46"/>
  <c r="V8" i="46" s="1"/>
  <c r="T12" i="46"/>
  <c r="V12" i="46" s="1"/>
  <c r="T16" i="46"/>
  <c r="V16" i="46" s="1"/>
  <c r="T11" i="46"/>
  <c r="V11" i="46" s="1"/>
  <c r="T15" i="46"/>
  <c r="V15"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7" i="46"/>
  <c r="G37" i="46" s="1"/>
  <c r="I37" i="46" s="1"/>
  <c r="E4" i="4"/>
  <c r="C4" i="4"/>
  <c r="C27" i="15"/>
  <c r="F50" i="15"/>
  <c r="M7" i="15"/>
  <c r="F49" i="15"/>
  <c r="F70" i="15"/>
  <c r="G66" i="36"/>
  <c r="J18" i="36"/>
  <c r="M17" i="15"/>
  <c r="F31" i="15"/>
  <c r="F33" i="44"/>
  <c r="M19" i="44"/>
  <c r="F58" i="15"/>
  <c r="AE6" i="1"/>
  <c r="F43" i="69"/>
  <c r="M8" i="15"/>
  <c r="M26" i="68"/>
  <c r="F36" i="15"/>
  <c r="F26" i="68"/>
  <c r="F36" i="69"/>
  <c r="M27" i="68"/>
  <c r="M24" i="15"/>
  <c r="F37" i="69"/>
  <c r="F40" i="69"/>
  <c r="F9" i="69"/>
  <c r="F8" i="69"/>
  <c r="M8" i="68"/>
  <c r="F38" i="15"/>
  <c r="M28" i="69"/>
  <c r="F46" i="44"/>
  <c r="L48" i="68"/>
  <c r="L47" i="69"/>
  <c r="F26" i="69"/>
  <c r="F38" i="69"/>
  <c r="J36" i="15"/>
  <c r="M8" i="69"/>
  <c r="F40" i="15"/>
  <c r="M9" i="68"/>
  <c r="M9" i="69"/>
  <c r="M29" i="15"/>
  <c r="F13" i="69"/>
  <c r="M28" i="68"/>
  <c r="M24" i="68"/>
  <c r="F37" i="15"/>
  <c r="F9" i="68"/>
  <c r="M29" i="69"/>
  <c r="F38" i="68"/>
  <c r="C18" i="44"/>
  <c r="M22" i="69"/>
  <c r="C16" i="15"/>
  <c r="J15" i="15"/>
  <c r="F16" i="69"/>
  <c r="M26" i="15"/>
  <c r="F42" i="69"/>
  <c r="F43" i="68"/>
  <c r="J36" i="69"/>
  <c r="F8" i="68"/>
  <c r="L48" i="15"/>
  <c r="M22" i="68"/>
  <c r="J15" i="69"/>
  <c r="F6" i="68"/>
  <c r="L47" i="15"/>
  <c r="F40" i="68"/>
  <c r="F16" i="68"/>
  <c r="M6" i="69"/>
  <c r="F37" i="68"/>
  <c r="M29" i="68"/>
  <c r="M27" i="69"/>
  <c r="M23" i="69"/>
  <c r="F7" i="69"/>
  <c r="L47" i="68"/>
  <c r="F6" i="69"/>
  <c r="F7" i="68"/>
  <c r="L48" i="69"/>
  <c r="J36" i="68"/>
  <c r="M24" i="69"/>
  <c r="F6" i="15"/>
  <c r="F36" i="68"/>
  <c r="M26" i="69"/>
  <c r="M23" i="68"/>
  <c r="F13" i="68"/>
  <c r="M6" i="68"/>
  <c r="F42" i="68"/>
  <c r="J15" i="68"/>
  <c r="E503" i="3" l="1"/>
  <c r="E112" i="3"/>
  <c r="E566" i="3"/>
  <c r="E219" i="3"/>
  <c r="E373" i="3"/>
  <c r="E325" i="3"/>
  <c r="E559" i="3"/>
  <c r="E281" i="3"/>
  <c r="E102" i="3"/>
  <c r="E545" i="3"/>
  <c r="E565" i="3"/>
  <c r="E268" i="3"/>
  <c r="E563" i="3"/>
  <c r="E553" i="3"/>
  <c r="E497" i="3"/>
  <c r="E506" i="3"/>
  <c r="E144" i="3"/>
  <c r="E360" i="3"/>
  <c r="E392" i="3"/>
  <c r="E396" i="3"/>
  <c r="E334" i="3"/>
  <c r="E228" i="3"/>
  <c r="E40" i="3"/>
  <c r="E290" i="3"/>
  <c r="E198" i="3"/>
  <c r="E543" i="3"/>
  <c r="I6" i="3"/>
  <c r="AP16" i="1"/>
  <c r="F22" i="11" s="1"/>
  <c r="E27" i="6"/>
  <c r="K26" i="6" s="1"/>
  <c r="M26" i="6" s="1"/>
  <c r="I26" i="6" s="1"/>
  <c r="S26" i="6" s="1"/>
  <c r="Q16" i="1"/>
  <c r="F18" i="11" s="1"/>
  <c r="H16" i="1"/>
  <c r="G16" i="1"/>
  <c r="J12" i="40" s="1"/>
  <c r="AC12" i="40" s="1"/>
  <c r="E369" i="3"/>
  <c r="E214" i="3"/>
  <c r="E363" i="3"/>
  <c r="N6" i="3"/>
  <c r="E333" i="3"/>
  <c r="E195" i="3"/>
  <c r="E266" i="3"/>
  <c r="Z6" i="3"/>
  <c r="E213" i="3"/>
  <c r="E397" i="3"/>
  <c r="E47" i="3"/>
  <c r="E184" i="3"/>
  <c r="E473" i="3"/>
  <c r="E79" i="3"/>
  <c r="E272" i="3"/>
  <c r="E429" i="3"/>
  <c r="E116" i="3"/>
  <c r="E372" i="3"/>
  <c r="E465" i="3"/>
  <c r="E154" i="3"/>
  <c r="E243" i="3"/>
  <c r="E309" i="3"/>
  <c r="E448" i="3"/>
  <c r="E74"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O6" i="3"/>
  <c r="E283" i="3"/>
  <c r="E206" i="3"/>
  <c r="E115" i="3"/>
  <c r="E321" i="3"/>
  <c r="E380" i="3"/>
  <c r="E318" i="3"/>
  <c r="E316" i="3"/>
  <c r="E341" i="3"/>
  <c r="E254" i="3"/>
  <c r="E542" i="3"/>
  <c r="E494" i="3"/>
  <c r="E515" i="3"/>
  <c r="E167" i="3"/>
  <c r="E518" i="3"/>
  <c r="E562" i="3"/>
  <c r="E338" i="3"/>
  <c r="E269" i="3"/>
  <c r="E181" i="3"/>
  <c r="E42" i="3"/>
  <c r="E284" i="3"/>
  <c r="E45" i="3"/>
  <c r="E320" i="3"/>
  <c r="E183" i="3"/>
  <c r="E286" i="3"/>
  <c r="E489" i="3"/>
  <c r="E502" i="3"/>
  <c r="E314" i="3"/>
  <c r="E150" i="3"/>
  <c r="E362" i="3"/>
  <c r="E331" i="3"/>
  <c r="E440" i="3"/>
  <c r="E72" i="3"/>
  <c r="E345" i="3"/>
  <c r="AG6" i="3"/>
  <c r="V6" i="3"/>
  <c r="E264" i="3"/>
  <c r="E486" i="3"/>
  <c r="E67" i="3"/>
  <c r="E401" i="3"/>
  <c r="E482" i="3"/>
  <c r="E462" i="3"/>
  <c r="E520" i="3"/>
  <c r="E23" i="3"/>
  <c r="E69" i="3"/>
  <c r="E446" i="3"/>
  <c r="E152" i="3"/>
  <c r="E437" i="3"/>
  <c r="E46" i="3"/>
  <c r="E221" i="3"/>
  <c r="E457" i="3"/>
  <c r="E31" i="3"/>
  <c r="X6" i="3"/>
  <c r="AA6" i="3"/>
  <c r="AD6" i="3"/>
  <c r="E299" i="3"/>
  <c r="E327" i="3"/>
  <c r="E103" i="3"/>
  <c r="E200" i="3"/>
  <c r="E62" i="3"/>
  <c r="E389" i="3"/>
  <c r="E230" i="3"/>
  <c r="E143" i="3"/>
  <c r="E343" i="3"/>
  <c r="E84" i="3"/>
  <c r="E142" i="3"/>
  <c r="AP6" i="3"/>
  <c r="E410" i="3"/>
  <c r="E431" i="3"/>
  <c r="E468" i="3"/>
  <c r="E70" i="3"/>
  <c r="E109" i="3"/>
  <c r="E38" i="3"/>
  <c r="E185" i="3"/>
  <c r="E151" i="3"/>
  <c r="E148" i="3"/>
  <c r="E313" i="3"/>
  <c r="E27" i="3"/>
  <c r="E53" i="3"/>
  <c r="E412" i="3"/>
  <c r="E405" i="3"/>
  <c r="E469" i="3"/>
  <c r="E247" i="3"/>
  <c r="E136" i="3"/>
  <c r="E568" i="3"/>
  <c r="E85" i="3"/>
  <c r="E539" i="3"/>
  <c r="E332" i="3"/>
  <c r="E245" i="3"/>
  <c r="E139" i="3"/>
  <c r="E5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481" i="3"/>
  <c r="E564" i="3"/>
  <c r="E356" i="3"/>
  <c r="E20" i="3"/>
  <c r="E326" i="3"/>
  <c r="E509" i="3"/>
  <c r="E484" i="3"/>
  <c r="E358" i="3"/>
  <c r="E382" i="3"/>
  <c r="E18" i="3"/>
  <c r="E301" i="3"/>
  <c r="E377" i="3"/>
  <c r="E240" i="3"/>
  <c r="E17"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312" i="3"/>
  <c r="E163" i="3"/>
  <c r="E323" i="3"/>
  <c r="E378" i="3"/>
  <c r="E267" i="3"/>
  <c r="E226" i="3"/>
  <c r="E315" i="3"/>
  <c r="E118" i="3"/>
  <c r="E182" i="3"/>
  <c r="E169" i="3"/>
  <c r="E361" i="3"/>
  <c r="E14" i="3"/>
  <c r="E35" i="3"/>
  <c r="E106" i="3"/>
  <c r="E298" i="3"/>
  <c r="E339" i="3"/>
  <c r="E212" i="3"/>
  <c r="E210" i="3"/>
  <c r="E498" i="3"/>
  <c r="E153" i="3"/>
  <c r="E19" i="3"/>
  <c r="E90" i="3"/>
  <c r="E95" i="3"/>
  <c r="E432" i="3"/>
  <c r="E524" i="3"/>
  <c r="E307" i="3"/>
  <c r="E385" i="3"/>
  <c r="E260" i="3"/>
  <c r="E277" i="3"/>
  <c r="E177" i="3"/>
  <c r="E16" i="3"/>
  <c r="E436" i="3"/>
  <c r="E81" i="3"/>
  <c r="E217" i="3"/>
  <c r="E246" i="3"/>
  <c r="E173" i="3"/>
  <c r="E108" i="3"/>
  <c r="E403" i="3"/>
  <c r="E551" i="3"/>
  <c r="E558" i="3"/>
  <c r="E493" i="3"/>
  <c r="E538" i="3"/>
  <c r="E180" i="3"/>
  <c r="E499" i="3"/>
  <c r="E508" i="3"/>
  <c r="E530" i="3"/>
  <c r="E306" i="3"/>
  <c r="E355" i="3"/>
  <c r="E271" i="3"/>
  <c r="E379" i="3"/>
  <c r="E188" i="3"/>
  <c r="E555" i="3"/>
  <c r="E24" i="3"/>
  <c r="E300" i="3"/>
  <c r="E287" i="3"/>
  <c r="E191" i="3"/>
  <c r="E76" i="3"/>
  <c r="E529" i="3"/>
  <c r="E386" i="3"/>
  <c r="E120" i="3"/>
  <c r="E66" i="3"/>
  <c r="E433" i="3"/>
  <c r="E302" i="3"/>
  <c r="E229" i="3"/>
  <c r="E123" i="3"/>
  <c r="E61" i="3"/>
  <c r="E419" i="3"/>
  <c r="E235" i="3"/>
  <c r="E224" i="3"/>
  <c r="E285" i="3"/>
  <c r="E505" i="3"/>
  <c r="E162" i="3"/>
  <c r="E121" i="3"/>
  <c r="E197" i="3"/>
  <c r="AQ6" i="3"/>
  <c r="E58" i="3"/>
  <c r="E453" i="3"/>
  <c r="E400" i="3"/>
  <c r="E517" i="3"/>
  <c r="E347" i="3"/>
  <c r="E220" i="3"/>
  <c r="E279" i="3"/>
  <c r="E480" i="3"/>
  <c r="E145" i="3"/>
  <c r="E88" i="3"/>
  <c r="E417" i="3"/>
  <c r="E393" i="3"/>
  <c r="E255" i="3"/>
  <c r="E288" i="3"/>
  <c r="E172" i="3"/>
  <c r="E107" i="3"/>
  <c r="E402" i="3"/>
  <c r="E166" i="3"/>
  <c r="E257" i="3"/>
  <c r="E425" i="3"/>
  <c r="E113" i="3"/>
  <c r="E289" i="3"/>
  <c r="E398" i="3"/>
  <c r="E422" i="3"/>
  <c r="E98" i="3"/>
  <c r="E129" i="3"/>
  <c r="E174" i="3"/>
  <c r="E63" i="3"/>
  <c r="E110" i="3"/>
  <c r="E442" i="3"/>
  <c r="E218" i="3"/>
  <c r="E490" i="3"/>
  <c r="AK6" i="3"/>
  <c r="E454" i="3"/>
  <c r="E548" i="3"/>
  <c r="E215" i="3"/>
  <c r="E127" i="3"/>
  <c r="E391" i="3"/>
  <c r="E359" i="3"/>
  <c r="E91" i="3"/>
  <c r="E132" i="3"/>
  <c r="E421" i="3"/>
  <c r="E535" i="3"/>
  <c r="M7" i="69"/>
  <c r="J6" i="69" s="1"/>
  <c r="J5" i="69" s="1"/>
  <c r="J18" i="69" s="1"/>
  <c r="F49" i="69"/>
  <c r="F70" i="69"/>
  <c r="E413" i="3"/>
  <c r="E297" i="3"/>
  <c r="E561"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467" i="3"/>
  <c r="E39" i="3"/>
  <c r="L6" i="3"/>
  <c r="E203" i="3"/>
  <c r="AT6" i="3"/>
  <c r="E261" i="3"/>
  <c r="E275" i="3"/>
  <c r="E233" i="3"/>
  <c r="E303" i="3"/>
  <c r="E111" i="3"/>
  <c r="E507" i="3"/>
  <c r="E420" i="3"/>
  <c r="E37" i="3"/>
  <c r="E560" i="3"/>
  <c r="E189" i="3"/>
  <c r="E190" i="3"/>
  <c r="E533" i="3"/>
  <c r="E293" i="3"/>
  <c r="E232" i="3"/>
  <c r="W6" i="3"/>
  <c r="E550" i="3"/>
  <c r="E455" i="3"/>
  <c r="E383" i="3"/>
  <c r="AE6" i="3"/>
  <c r="E407" i="3"/>
  <c r="E438" i="3"/>
  <c r="E444" i="3"/>
  <c r="E97" i="3"/>
  <c r="E34" i="3"/>
  <c r="E48" i="3"/>
  <c r="AS6" i="3"/>
  <c r="E500" i="3"/>
  <c r="E168" i="3"/>
  <c r="J6" i="3"/>
  <c r="E179" i="3"/>
  <c r="E119" i="3"/>
  <c r="E141" i="3"/>
  <c r="E178" i="3"/>
  <c r="E357" i="3"/>
  <c r="Q6" i="3"/>
  <c r="E28" i="3"/>
  <c r="E75" i="3"/>
  <c r="E317" i="3"/>
  <c r="E33" i="3"/>
  <c r="E80" i="3"/>
  <c r="E60" i="3"/>
  <c r="E478" i="3"/>
  <c r="E447" i="3"/>
  <c r="E415" i="3"/>
  <c r="E426" i="3"/>
  <c r="E399" i="3"/>
  <c r="E547" i="3"/>
  <c r="E367" i="3"/>
  <c r="E292" i="3"/>
  <c r="E205" i="3"/>
  <c r="E32" i="3"/>
  <c r="E441" i="3"/>
  <c r="E463" i="3"/>
  <c r="E223" i="3"/>
  <c r="E274" i="3"/>
  <c r="E57" i="3"/>
  <c r="E101" i="3"/>
  <c r="E552" i="3"/>
  <c r="E262" i="3"/>
  <c r="E434" i="3"/>
  <c r="E99" i="3"/>
  <c r="E77" i="3"/>
  <c r="E164" i="3"/>
  <c r="E146" i="3"/>
  <c r="E82" i="3"/>
  <c r="E430" i="3"/>
  <c r="E424" i="3"/>
  <c r="E388" i="3"/>
  <c r="E263" i="3"/>
  <c r="E222" i="3"/>
  <c r="E311" i="3"/>
  <c r="E124" i="3"/>
  <c r="E186" i="3"/>
  <c r="E83" i="3"/>
  <c r="E349" i="3"/>
  <c r="E409" i="3"/>
  <c r="E470" i="3"/>
  <c r="E375" i="3"/>
  <c r="E528" i="3"/>
  <c r="E570" i="3"/>
  <c r="E231" i="3"/>
  <c r="E282" i="3"/>
  <c r="E117" i="3"/>
  <c r="E55" i="3"/>
  <c r="E459" i="3"/>
  <c r="E394" i="3"/>
  <c r="E439" i="3"/>
  <c r="E93" i="3"/>
  <c r="E22" i="3"/>
  <c r="E348" i="3"/>
  <c r="E147" i="3"/>
  <c r="E114" i="3"/>
  <c r="E250" i="3"/>
  <c r="E395" i="3"/>
  <c r="E411" i="3"/>
  <c r="E476" i="3"/>
  <c r="AF11" i="46"/>
  <c r="AF13" i="46" s="1"/>
  <c r="E86" i="3"/>
  <c r="F30" i="6"/>
  <c r="L101" i="46"/>
  <c r="L102" i="46" s="1"/>
  <c r="N101" i="46"/>
  <c r="N109" i="46" s="1"/>
  <c r="B113" i="46"/>
  <c r="D118" i="46" s="1"/>
  <c r="E118" i="46" s="1"/>
  <c r="F118" i="46" s="1"/>
  <c r="E101" i="46"/>
  <c r="E104" i="46" s="1"/>
  <c r="AG11" i="46"/>
  <c r="AG13" i="46" s="1"/>
  <c r="AH11" i="46"/>
  <c r="AH13" i="46" s="1"/>
  <c r="G101" i="46"/>
  <c r="G104" i="46" s="1"/>
  <c r="N104" i="45"/>
  <c r="F22" i="46"/>
  <c r="Z7" i="46"/>
  <c r="E22" i="46"/>
  <c r="Z11" i="46"/>
  <c r="Z13" i="46" s="1"/>
  <c r="AA11" i="46"/>
  <c r="AA13" i="46" s="1"/>
  <c r="C101" i="46"/>
  <c r="C106" i="46" s="1"/>
  <c r="J101" i="46"/>
  <c r="J105" i="46" s="1"/>
  <c r="G22" i="46"/>
  <c r="I101" i="46"/>
  <c r="I105" i="46" s="1"/>
  <c r="D101" i="46"/>
  <c r="D102" i="46" s="1"/>
  <c r="M101" i="46"/>
  <c r="M107" i="46" s="1"/>
  <c r="H101" i="46"/>
  <c r="H102" i="46" s="1"/>
  <c r="K101" i="46"/>
  <c r="K109" i="46" s="1"/>
  <c r="F101" i="46"/>
  <c r="F109" i="46" s="1"/>
  <c r="AC11" i="46"/>
  <c r="AC13" i="46" s="1"/>
  <c r="Y11" i="46"/>
  <c r="Y13" i="46" s="1"/>
  <c r="AD11" i="46"/>
  <c r="AD13" i="46" s="1"/>
  <c r="C23" i="46"/>
  <c r="C21" i="46" s="1"/>
  <c r="C29" i="46" s="1"/>
  <c r="E29" i="46" s="1"/>
  <c r="AI11" i="46"/>
  <c r="AI13" i="46" s="1"/>
  <c r="AJ11" i="46"/>
  <c r="AJ13" i="46" s="1"/>
  <c r="AE11" i="46"/>
  <c r="AE13" i="46" s="1"/>
  <c r="V38" i="35"/>
  <c r="I38" i="35" s="1"/>
  <c r="G43" i="35" s="1"/>
  <c r="H43" i="35" s="1"/>
  <c r="O6" i="1"/>
  <c r="P6" i="1" s="1"/>
  <c r="C15" i="12" s="1"/>
  <c r="J53" i="15"/>
  <c r="F1" i="15" s="1"/>
  <c r="I54" i="15"/>
  <c r="C39" i="46"/>
  <c r="G39" i="46" s="1"/>
  <c r="I39" i="46" s="1"/>
  <c r="C38" i="46"/>
  <c r="G38" i="46" s="1"/>
  <c r="I38" i="46" s="1"/>
  <c r="T13" i="46"/>
  <c r="V13" i="46" s="1"/>
  <c r="T9" i="46"/>
  <c r="V9" i="46" s="1"/>
  <c r="T14" i="46"/>
  <c r="V14" i="46" s="1"/>
  <c r="F67" i="15"/>
  <c r="F63" i="15"/>
  <c r="Q72" i="15"/>
  <c r="C6" i="15"/>
  <c r="C10" i="15" s="1"/>
  <c r="J57" i="15"/>
  <c r="J55" i="15" s="1"/>
  <c r="J58" i="15" s="1"/>
  <c r="Q51" i="15" s="1"/>
  <c r="L56" i="15"/>
  <c r="F65" i="15"/>
  <c r="F64" i="15"/>
  <c r="L58" i="15"/>
  <c r="Q74" i="15" s="1"/>
  <c r="L59" i="15"/>
  <c r="Q75" i="15" s="1"/>
  <c r="F70" i="68"/>
  <c r="Q72" i="68"/>
  <c r="L59" i="68"/>
  <c r="L58" i="68"/>
  <c r="J53" i="68"/>
  <c r="L56" i="68"/>
  <c r="I54" i="68"/>
  <c r="J57" i="68"/>
  <c r="J55" i="68" s="1"/>
  <c r="J58" i="68" s="1"/>
  <c r="Q51" i="68" s="1"/>
  <c r="J60" i="68"/>
  <c r="Q49" i="68" s="1"/>
  <c r="J59" i="68"/>
  <c r="F50" i="68"/>
  <c r="F63" i="69"/>
  <c r="C27" i="68"/>
  <c r="F63" i="68"/>
  <c r="C6" i="68"/>
  <c r="C10" i="68" s="1"/>
  <c r="C5" i="68" s="1"/>
  <c r="F65" i="68"/>
  <c r="F67" i="68"/>
  <c r="M7" i="68"/>
  <c r="J6" i="68" s="1"/>
  <c r="J5" i="68" s="1"/>
  <c r="F49" i="68"/>
  <c r="F64" i="68"/>
  <c r="F67" i="69"/>
  <c r="J53" i="69"/>
  <c r="L56" i="69"/>
  <c r="J59" i="69"/>
  <c r="I54" i="69"/>
  <c r="J60" i="69"/>
  <c r="Q49" i="69" s="1"/>
  <c r="J57" i="69"/>
  <c r="J55" i="69" s="1"/>
  <c r="J58" i="69" s="1"/>
  <c r="Q51" i="69" s="1"/>
  <c r="C6" i="69"/>
  <c r="C27" i="69"/>
  <c r="Q72" i="69"/>
  <c r="F64" i="69"/>
  <c r="F65" i="69"/>
  <c r="L59" i="69"/>
  <c r="L58" i="69"/>
  <c r="F50" i="69"/>
  <c r="O7" i="1"/>
  <c r="P7" i="1" s="1"/>
  <c r="C24" i="69"/>
  <c r="F107" i="46"/>
  <c r="H7" i="37"/>
  <c r="Q62" i="44"/>
  <c r="Q76" i="44"/>
  <c r="J7" i="37"/>
  <c r="W7" i="37" s="1"/>
  <c r="F1" i="44"/>
  <c r="Q54" i="44"/>
  <c r="F7" i="37"/>
  <c r="AA7" i="37" s="1"/>
  <c r="R42" i="37" s="1"/>
  <c r="E42" i="37" s="1"/>
  <c r="C7" i="44"/>
  <c r="C40" i="44" s="1"/>
  <c r="D115" i="46"/>
  <c r="E115" i="46" s="1"/>
  <c r="F115" i="46" s="1"/>
  <c r="G115" i="46" s="1"/>
  <c r="H115" i="46" s="1"/>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31" i="6"/>
  <c r="J12" i="39"/>
  <c r="AC12" i="39" s="1"/>
  <c r="D21" i="12"/>
  <c r="C21" i="12" s="1"/>
  <c r="D12" i="11"/>
  <c r="C12" i="11" s="1"/>
  <c r="C27" i="12"/>
  <c r="D26" i="12" s="1"/>
  <c r="E59" i="40"/>
  <c r="E29" i="6"/>
  <c r="L20" i="6" s="1"/>
  <c r="E58" i="40"/>
  <c r="E63" i="39"/>
  <c r="E16" i="6"/>
  <c r="AZ5" i="3"/>
  <c r="F33" i="12"/>
  <c r="C34" i="12" s="1"/>
  <c r="E60" i="40"/>
  <c r="E65" i="39"/>
  <c r="K19" i="6"/>
  <c r="K24" i="6"/>
  <c r="M24" i="6" s="1"/>
  <c r="I24" i="6" s="1"/>
  <c r="S24" i="6" s="1"/>
  <c r="K20" i="6"/>
  <c r="K25" i="6"/>
  <c r="M25" i="6" s="1"/>
  <c r="I25" i="6" s="1"/>
  <c r="S25" i="6" s="1"/>
  <c r="K14"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52" i="33"/>
  <c r="H52" i="33" s="1"/>
  <c r="G53" i="33"/>
  <c r="H53" i="33" s="1"/>
  <c r="E67" i="40"/>
  <c r="F65" i="40"/>
  <c r="E72" i="39"/>
  <c r="F70" i="39"/>
  <c r="E39" i="46"/>
  <c r="C48" i="15"/>
  <c r="W12" i="40"/>
  <c r="E46" i="37"/>
  <c r="F46" i="37" s="1"/>
  <c r="C48" i="33"/>
  <c r="C49" i="33"/>
  <c r="B3" i="33" s="1"/>
  <c r="B2" i="33" s="1"/>
  <c r="C16" i="68"/>
  <c r="M27" i="15"/>
  <c r="M29" i="44"/>
  <c r="AE9" i="1"/>
  <c r="C16" i="69"/>
  <c r="L52" i="44"/>
  <c r="I42" i="35" l="1"/>
  <c r="J42" i="35" s="1"/>
  <c r="E30" i="6"/>
  <c r="E31" i="6" s="1"/>
  <c r="K21" i="6"/>
  <c r="S8" i="1" s="1"/>
  <c r="K23" i="6"/>
  <c r="M23" i="6" s="1"/>
  <c r="I23" i="6" s="1"/>
  <c r="S23" i="6" s="1"/>
  <c r="K22" i="6"/>
  <c r="S9" i="1" s="1"/>
  <c r="F24" i="43"/>
  <c r="C26" i="43" s="1"/>
  <c r="D24" i="43" s="1"/>
  <c r="F12" i="40"/>
  <c r="AA12" i="40" s="1"/>
  <c r="F12" i="39"/>
  <c r="AA12" i="39" s="1"/>
  <c r="C103" i="46"/>
  <c r="AC6" i="3"/>
  <c r="G102" i="46"/>
  <c r="I116" i="46"/>
  <c r="J116" i="46" s="1"/>
  <c r="K116" i="46" s="1"/>
  <c r="L116" i="46" s="1"/>
  <c r="M116" i="46" s="1"/>
  <c r="K104" i="46"/>
  <c r="H6" i="3"/>
  <c r="E6" i="3" s="1"/>
  <c r="C48" i="69"/>
  <c r="C47" i="69" s="1"/>
  <c r="C59" i="69" s="1"/>
  <c r="L103" i="46"/>
  <c r="L107" i="46"/>
  <c r="L109" i="46"/>
  <c r="L106" i="46"/>
  <c r="B116" i="46"/>
  <c r="C116" i="46" s="1"/>
  <c r="L104" i="46"/>
  <c r="L105" i="46"/>
  <c r="B115" i="46"/>
  <c r="C115" i="46" s="1"/>
  <c r="N104" i="46"/>
  <c r="H106" i="46"/>
  <c r="E107" i="46"/>
  <c r="N106" i="46"/>
  <c r="N103" i="46"/>
  <c r="D105" i="46"/>
  <c r="H104" i="46"/>
  <c r="N107" i="46"/>
  <c r="N102" i="46"/>
  <c r="N105" i="46"/>
  <c r="D117" i="46"/>
  <c r="E117" i="46" s="1"/>
  <c r="F117" i="46" s="1"/>
  <c r="G117" i="46" s="1"/>
  <c r="H117" i="46" s="1"/>
  <c r="G106" i="46"/>
  <c r="I117" i="46"/>
  <c r="J117" i="46" s="1"/>
  <c r="K117" i="46" s="1"/>
  <c r="L117" i="46" s="1"/>
  <c r="M117" i="46" s="1"/>
  <c r="H109" i="46"/>
  <c r="H105" i="46"/>
  <c r="D107" i="46"/>
  <c r="D106" i="46"/>
  <c r="E102" i="46"/>
  <c r="E103" i="46"/>
  <c r="D22" i="46"/>
  <c r="B118" i="46"/>
  <c r="C118" i="46" s="1"/>
  <c r="G118" i="46"/>
  <c r="H118" i="46" s="1"/>
  <c r="D116" i="46"/>
  <c r="E116" i="46" s="1"/>
  <c r="F116" i="46" s="1"/>
  <c r="G116" i="46" s="1"/>
  <c r="H116" i="46" s="1"/>
  <c r="I118" i="46"/>
  <c r="J118" i="46" s="1"/>
  <c r="K118" i="46" s="1"/>
  <c r="L118" i="46" s="1"/>
  <c r="M118" i="46" s="1"/>
  <c r="G103" i="46"/>
  <c r="B117" i="46"/>
  <c r="C117" i="46" s="1"/>
  <c r="I115" i="46"/>
  <c r="J115" i="46" s="1"/>
  <c r="K115" i="46" s="1"/>
  <c r="L115" i="46" s="1"/>
  <c r="M115" i="46" s="1"/>
  <c r="H103" i="46"/>
  <c r="H107" i="46"/>
  <c r="D103" i="46"/>
  <c r="D109" i="46"/>
  <c r="D104" i="46"/>
  <c r="E109" i="46"/>
  <c r="E105" i="46"/>
  <c r="E106" i="46"/>
  <c r="F104" i="46"/>
  <c r="C107" i="46"/>
  <c r="C109" i="46"/>
  <c r="F103" i="46"/>
  <c r="C102" i="46"/>
  <c r="F102" i="46"/>
  <c r="F105" i="46"/>
  <c r="C104" i="46"/>
  <c r="F106" i="46"/>
  <c r="C105" i="46"/>
  <c r="M103" i="46"/>
  <c r="I109" i="46"/>
  <c r="G105" i="46"/>
  <c r="G109" i="46"/>
  <c r="G107" i="46"/>
  <c r="K103" i="46"/>
  <c r="K107" i="46"/>
  <c r="M105" i="46"/>
  <c r="M104" i="46"/>
  <c r="I107" i="46"/>
  <c r="I102" i="46"/>
  <c r="J102" i="46"/>
  <c r="J109" i="46"/>
  <c r="M106" i="46"/>
  <c r="M109" i="46"/>
  <c r="M102" i="46"/>
  <c r="I106" i="46"/>
  <c r="I103" i="46"/>
  <c r="I104" i="46"/>
  <c r="J106" i="46"/>
  <c r="K106" i="46"/>
  <c r="K102" i="46"/>
  <c r="J107" i="46"/>
  <c r="K105" i="46"/>
  <c r="J104" i="46"/>
  <c r="J103" i="46"/>
  <c r="Q53" i="15"/>
  <c r="K15" i="1"/>
  <c r="K16" i="1" s="1"/>
  <c r="C30" i="46"/>
  <c r="E30" i="46" s="1"/>
  <c r="C27" i="46" s="1"/>
  <c r="C5" i="15"/>
  <c r="C32" i="15" s="1"/>
  <c r="Q61" i="15"/>
  <c r="S7" i="37"/>
  <c r="AB12" i="39"/>
  <c r="I53" i="34"/>
  <c r="J53" i="34" s="1"/>
  <c r="Q62" i="15"/>
  <c r="C10" i="69"/>
  <c r="C5" i="69" s="1"/>
  <c r="J24" i="69"/>
  <c r="J26" i="69"/>
  <c r="Q62" i="69"/>
  <c r="Q75" i="69"/>
  <c r="C38" i="68"/>
  <c r="C32" i="68"/>
  <c r="Q61" i="68"/>
  <c r="Q74" i="68"/>
  <c r="Q74" i="69"/>
  <c r="Q61" i="69"/>
  <c r="F1" i="69"/>
  <c r="Q53" i="69"/>
  <c r="J24" i="68"/>
  <c r="J26" i="68"/>
  <c r="J18" i="68"/>
  <c r="C48" i="68"/>
  <c r="C47" i="68" s="1"/>
  <c r="Q53" i="68"/>
  <c r="F1" i="68"/>
  <c r="Q75" i="68"/>
  <c r="Q62" i="68"/>
  <c r="L19" i="6"/>
  <c r="L27" i="6" s="1"/>
  <c r="C34" i="44"/>
  <c r="U7" i="37"/>
  <c r="AB7" i="37"/>
  <c r="T42" i="37" s="1"/>
  <c r="G42" i="37" s="1"/>
  <c r="G47" i="37" s="1"/>
  <c r="H47" i="37" s="1"/>
  <c r="Q69" i="44"/>
  <c r="L58" i="44"/>
  <c r="L61" i="44" s="1"/>
  <c r="W12" i="39"/>
  <c r="U12" i="40"/>
  <c r="E41" i="36"/>
  <c r="F41" i="36" s="1"/>
  <c r="I47" i="37"/>
  <c r="J47" i="37" s="1"/>
  <c r="E53" i="33"/>
  <c r="F53" i="33" s="1"/>
  <c r="I53" i="33"/>
  <c r="J53" i="33" s="1"/>
  <c r="E38" i="35"/>
  <c r="I43" i="35" s="1"/>
  <c r="J43" i="35" s="1"/>
  <c r="I41" i="36"/>
  <c r="J41" i="36" s="1"/>
  <c r="R37" i="36"/>
  <c r="C26" i="46"/>
  <c r="C32" i="12"/>
  <c r="D30" i="12" s="1"/>
  <c r="D33" i="12"/>
  <c r="M14" i="1"/>
  <c r="M20" i="6"/>
  <c r="I20" i="6" s="1"/>
  <c r="S20" i="6" s="1"/>
  <c r="S7" i="1"/>
  <c r="K27" i="6"/>
  <c r="S6" i="1"/>
  <c r="M21" i="6"/>
  <c r="I21" i="6" s="1"/>
  <c r="S21" i="6" s="1"/>
  <c r="M22" i="6"/>
  <c r="I22" i="6" s="1"/>
  <c r="S22" i="6" s="1"/>
  <c r="E3" i="6"/>
  <c r="AY6" i="3"/>
  <c r="R43" i="37"/>
  <c r="R50" i="34"/>
  <c r="C50" i="34" s="1"/>
  <c r="B3" i="34" s="1"/>
  <c r="B2" i="34" s="1"/>
  <c r="E49" i="34"/>
  <c r="C39" i="35"/>
  <c r="B3" i="35" s="1"/>
  <c r="AC7" i="21"/>
  <c r="V48" i="21" s="1"/>
  <c r="I48" i="21" s="1"/>
  <c r="W7" i="21"/>
  <c r="U7" i="21"/>
  <c r="AB7" i="21"/>
  <c r="T48" i="21" s="1"/>
  <c r="G48" i="21" s="1"/>
  <c r="S7" i="21"/>
  <c r="AA7" i="21"/>
  <c r="R48" i="21" s="1"/>
  <c r="F72" i="39"/>
  <c r="G70" i="39"/>
  <c r="F67" i="40"/>
  <c r="G65" i="40"/>
  <c r="J24" i="15"/>
  <c r="J20" i="44"/>
  <c r="J26" i="44"/>
  <c r="C17" i="15"/>
  <c r="C17" i="69"/>
  <c r="AE8" i="1"/>
  <c r="AE7" i="1"/>
  <c r="F41" i="15"/>
  <c r="E7" i="67"/>
  <c r="C17" i="68"/>
  <c r="F7" i="67"/>
  <c r="C19" i="44"/>
  <c r="C65" i="69" l="1"/>
  <c r="S12" i="40"/>
  <c r="S12" i="39"/>
  <c r="S7" i="46"/>
  <c r="T7" i="46" s="1"/>
  <c r="V7" i="46" s="1"/>
  <c r="D113" i="46"/>
  <c r="J22" i="46" s="1"/>
  <c r="S3" i="46"/>
  <c r="T3" i="46" s="1"/>
  <c r="V3" i="46" s="1"/>
  <c r="S5" i="46"/>
  <c r="T5" i="46" s="1"/>
  <c r="V5" i="46" s="1"/>
  <c r="S6" i="46"/>
  <c r="T6" i="46" s="1"/>
  <c r="V6" i="46" s="1"/>
  <c r="S2" i="46"/>
  <c r="T2" i="46" s="1"/>
  <c r="V2" i="46" s="1"/>
  <c r="S4" i="46"/>
  <c r="T4" i="46" s="1"/>
  <c r="V4" i="46" s="1"/>
  <c r="B2" i="35"/>
  <c r="E10" i="12" s="1"/>
  <c r="E8" i="12"/>
  <c r="C38" i="15"/>
  <c r="F68" i="15"/>
  <c r="M19" i="6"/>
  <c r="M27" i="6" s="1"/>
  <c r="E4" i="67"/>
  <c r="C38" i="69"/>
  <c r="C32" i="69"/>
  <c r="C65" i="68"/>
  <c r="C59"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68"/>
  <c r="B7" i="67"/>
  <c r="F41" i="69"/>
  <c r="I19" i="6" l="1"/>
  <c r="I27" i="6" s="1"/>
  <c r="T7" i="1"/>
  <c r="J29" i="68"/>
  <c r="F68" i="68"/>
  <c r="J29" i="69"/>
  <c r="F68" i="69"/>
  <c r="L57" i="68"/>
  <c r="L60" i="68" s="1"/>
  <c r="L46" i="68" s="1"/>
  <c r="E68" i="39"/>
  <c r="E63" i="40"/>
  <c r="B2" i="67"/>
  <c r="B4" i="46"/>
  <c r="B3" i="46"/>
  <c r="T10" i="1"/>
  <c r="T9" i="1"/>
  <c r="T6" i="1"/>
  <c r="T11" i="1"/>
  <c r="T8" i="1"/>
  <c r="T12" i="1"/>
  <c r="O16" i="1"/>
  <c r="P14" i="1"/>
  <c r="P16" i="1" s="1"/>
  <c r="C13" i="12" s="1"/>
  <c r="C13" i="43"/>
  <c r="L16" i="1"/>
  <c r="N16" i="1"/>
  <c r="C29" i="43" s="1"/>
  <c r="D22" i="12"/>
  <c r="C22" i="12" s="1"/>
  <c r="C11" i="11" s="1"/>
  <c r="C10" i="11" s="1"/>
  <c r="D13" i="11"/>
  <c r="C13" i="11" s="1"/>
  <c r="D19" i="12"/>
  <c r="C19" i="12" s="1"/>
  <c r="C16" i="12"/>
  <c r="S19" i="6"/>
  <c r="S27" i="6" s="1"/>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6" i="44"/>
  <c r="C14" i="15"/>
  <c r="C14" i="68"/>
  <c r="C14" i="69"/>
  <c r="H19" i="6" l="1"/>
  <c r="C18" i="69"/>
  <c r="C15" i="69"/>
  <c r="C17" i="11"/>
  <c r="C18" i="11"/>
  <c r="C18" i="68"/>
  <c r="C15" i="68"/>
  <c r="C20" i="12"/>
  <c r="L57" i="69"/>
  <c r="L60" i="69" s="1"/>
  <c r="L46" i="69" s="1"/>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9"/>
  <c r="F35" i="69"/>
  <c r="F37" i="44"/>
  <c r="M21" i="68"/>
  <c r="F35" i="15"/>
  <c r="M23" i="44"/>
  <c r="M21" i="15"/>
  <c r="F35" i="68"/>
  <c r="C19" i="69" l="1"/>
  <c r="C20" i="69" s="1"/>
  <c r="C19" i="11"/>
  <c r="C20" i="11" s="1"/>
  <c r="C21" i="11" s="1"/>
  <c r="C22" i="11" s="1"/>
  <c r="C23" i="11" s="1"/>
  <c r="B2" i="11" s="1"/>
  <c r="B3" i="11" s="1"/>
  <c r="C26" i="69"/>
  <c r="C19" i="68"/>
  <c r="C20" i="68" s="1"/>
  <c r="C26" i="68" s="1"/>
  <c r="J20" i="68"/>
  <c r="F62" i="68"/>
  <c r="C61" i="68" s="1"/>
  <c r="C34" i="68"/>
  <c r="J20" i="69"/>
  <c r="F62" i="69"/>
  <c r="C61" i="69" s="1"/>
  <c r="C34" i="69"/>
  <c r="Q67" i="69"/>
  <c r="Q58"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69" l="1"/>
  <c r="C29" i="69" s="1"/>
  <c r="C13" i="69" s="1"/>
  <c r="B5" i="11"/>
  <c r="B4" i="11"/>
  <c r="F13" i="39"/>
  <c r="H13" i="39"/>
  <c r="J13" i="39"/>
  <c r="C23" i="68"/>
  <c r="C29" i="68" s="1"/>
  <c r="C28" i="44"/>
  <c r="C31" i="44" s="1"/>
  <c r="C35" i="44" s="1"/>
  <c r="I5" i="6"/>
  <c r="C26" i="15"/>
  <c r="C29" i="15" s="1"/>
  <c r="J59" i="15" s="1"/>
  <c r="J60" i="15" s="1"/>
  <c r="Q49" i="15" s="1"/>
  <c r="C23" i="12"/>
  <c r="C19" i="43"/>
  <c r="C22" i="43" s="1"/>
  <c r="C21" i="43" s="1"/>
  <c r="K67" i="40"/>
  <c r="L65" i="40"/>
  <c r="K72" i="39"/>
  <c r="L70" i="39"/>
  <c r="C56" i="69" l="1"/>
  <c r="C63" i="69" s="1"/>
  <c r="Q50" i="69"/>
  <c r="C33" i="69"/>
  <c r="C31" i="69" s="1"/>
  <c r="J19" i="69"/>
  <c r="J17" i="69" s="1"/>
  <c r="J14" i="69"/>
  <c r="J22" i="69" s="1"/>
  <c r="C36" i="69"/>
  <c r="J19" i="68"/>
  <c r="J17" i="68" s="1"/>
  <c r="Q50" i="68"/>
  <c r="C36" i="68"/>
  <c r="C13" i="68"/>
  <c r="C56" i="68"/>
  <c r="J14" i="68"/>
  <c r="C33" i="68"/>
  <c r="C31" i="68" s="1"/>
  <c r="C55" i="69"/>
  <c r="C64" i="69" s="1"/>
  <c r="J35" i="69"/>
  <c r="C37" i="69"/>
  <c r="Q71" i="69"/>
  <c r="AB13" i="39"/>
  <c r="U13" i="39"/>
  <c r="AC13" i="39"/>
  <c r="W13" i="39"/>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0" i="69" l="1"/>
  <c r="C58" i="69" s="1"/>
  <c r="C57" i="69" s="1"/>
  <c r="C66" i="69" s="1"/>
  <c r="C67" i="69" s="1"/>
  <c r="C70" i="69" s="1"/>
  <c r="J13" i="69"/>
  <c r="J23" i="69" s="1"/>
  <c r="J16" i="69" s="1"/>
  <c r="J25" i="69" s="1"/>
  <c r="C30" i="69"/>
  <c r="C39" i="69" s="1"/>
  <c r="J39" i="69" s="1"/>
  <c r="J40" i="69" s="1"/>
  <c r="J22" i="68"/>
  <c r="J13" i="68"/>
  <c r="J23" i="68" s="1"/>
  <c r="C37" i="68"/>
  <c r="C30" i="68" s="1"/>
  <c r="C39" i="68" s="1"/>
  <c r="J35" i="68"/>
  <c r="Q71" i="68"/>
  <c r="C55" i="68"/>
  <c r="C64" i="68" s="1"/>
  <c r="C63" i="68"/>
  <c r="C60" i="68"/>
  <c r="C58"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C40" i="69" l="1"/>
  <c r="Q48" i="69" s="1"/>
  <c r="Q54" i="69" s="1"/>
  <c r="Q70" i="69"/>
  <c r="Q69" i="69" s="1"/>
  <c r="J16" i="68"/>
  <c r="J25" i="68" s="1"/>
  <c r="C57" i="68"/>
  <c r="C66" i="68" s="1"/>
  <c r="C67" i="68" s="1"/>
  <c r="C70" i="68" s="1"/>
  <c r="Q68" i="68"/>
  <c r="C40" i="68"/>
  <c r="Q70" i="68"/>
  <c r="Q69" i="68" s="1"/>
  <c r="J39" i="68"/>
  <c r="J40"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69"/>
  <c r="Q68" i="69" l="1"/>
  <c r="C46" i="69"/>
  <c r="B2" i="69"/>
  <c r="D10" i="12" s="1"/>
  <c r="C43" i="69"/>
  <c r="J42" i="69"/>
  <c r="J43" i="69" s="1"/>
  <c r="Q57" i="69"/>
  <c r="Q63" i="69" s="1"/>
  <c r="Q66" i="69"/>
  <c r="Q76" i="69" s="1"/>
  <c r="Q66" i="68"/>
  <c r="Q76" i="68" s="1"/>
  <c r="Q48" i="68"/>
  <c r="Q54" i="68" s="1"/>
  <c r="Q57" i="68"/>
  <c r="Q63" i="68" s="1"/>
  <c r="C43" i="68"/>
  <c r="B2" i="68"/>
  <c r="J42" i="68"/>
  <c r="J43" i="68" s="1"/>
  <c r="C46"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D8" i="12" s="1"/>
  <c r="B3" i="68"/>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L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D19" i="9"/>
  <c r="L44" i="9" l="1"/>
  <c r="C35" i="12"/>
  <c r="C33" i="12" s="1"/>
  <c r="C28" i="12"/>
  <c r="C26" i="12" s="1"/>
  <c r="C31" i="12" s="1"/>
  <c r="C30" i="12" s="1"/>
  <c r="B3" i="40"/>
  <c r="B4" i="40"/>
  <c r="B5" i="40"/>
  <c r="B3" i="39"/>
  <c r="B4" i="39"/>
  <c r="B5" i="39"/>
  <c r="D21" i="9"/>
  <c r="D20" i="9"/>
  <c r="C36" i="12" l="1"/>
  <c r="B2" i="12" s="1"/>
  <c r="C45" i="9"/>
  <c r="H14" i="66" s="1"/>
  <c r="B7" i="66" s="1"/>
  <c r="C19" i="9"/>
  <c r="L43" i="9" l="1"/>
  <c r="G19" i="9"/>
  <c r="D22" i="9"/>
  <c r="B3" i="12"/>
  <c r="B4" i="12"/>
  <c r="B5" i="12"/>
  <c r="D7" i="66"/>
  <c r="C7" i="66"/>
  <c r="C20" i="9"/>
  <c r="C21" i="9"/>
  <c r="D27" i="9" l="1"/>
  <c r="G20" i="9"/>
  <c r="G21" i="9"/>
  <c r="C32" i="9"/>
  <c r="G22" i="9"/>
  <c r="N43" i="9"/>
  <c r="D45" i="9"/>
  <c r="E45" i="9"/>
  <c r="O40" i="9"/>
  <c r="F45" i="9"/>
  <c r="C42" i="9" l="1"/>
  <c r="C34" i="9"/>
  <c r="O43" i="9"/>
  <c r="O38" i="9"/>
  <c r="C33" i="9"/>
  <c r="C35" i="9"/>
  <c r="F42" i="9" s="1"/>
  <c r="K31" i="9"/>
  <c r="K32" i="9" s="1"/>
  <c r="R7" i="54"/>
  <c r="B52" i="63" s="1"/>
  <c r="K25" i="9" l="1"/>
  <c r="K26" i="9"/>
  <c r="E42" i="9"/>
  <c r="P5" i="54" s="1"/>
  <c r="B46" i="63" s="1"/>
  <c r="M38" i="9"/>
  <c r="K27" i="9" s="1"/>
  <c r="N38" i="9"/>
  <c r="K28" i="9" s="1"/>
  <c r="D42" i="9"/>
  <c r="Q5" i="54" s="1"/>
  <c r="B47" i="63" s="1"/>
  <c r="D14" i="66"/>
  <c r="C44" i="9"/>
  <c r="R5" i="54"/>
  <c r="B48" i="63" s="1"/>
  <c r="D63" i="9"/>
  <c r="N68" i="9"/>
  <c r="C111" i="9" l="1"/>
  <c r="C104" i="9" s="1"/>
  <c r="C96" i="9"/>
  <c r="C91" i="9" s="1"/>
  <c r="D71" i="9"/>
  <c r="D66" i="9" s="1"/>
  <c r="N72" i="9" s="1"/>
  <c r="D77" i="9"/>
  <c r="N75" i="9" s="1"/>
  <c r="C103" i="9"/>
  <c r="C90" i="9"/>
  <c r="D70" i="9"/>
  <c r="C82" i="9"/>
  <c r="C81" i="9" s="1"/>
  <c r="C85" i="9" s="1"/>
  <c r="C86" i="9" s="1"/>
  <c r="D72" i="9" s="1"/>
  <c r="G14" i="66"/>
  <c r="N69" i="9"/>
  <c r="O39" i="9"/>
  <c r="E44" i="9"/>
  <c r="D44" i="9"/>
  <c r="F44" i="9"/>
  <c r="F14" i="66"/>
  <c r="E14" i="66"/>
  <c r="C113" i="9" l="1"/>
  <c r="C114" i="9" s="1"/>
  <c r="E114" i="9" s="1"/>
  <c r="E115" i="9" s="1"/>
  <c r="C97" i="9"/>
  <c r="C98" i="9" s="1"/>
  <c r="E98" i="9" s="1"/>
  <c r="E99" i="9" s="1"/>
  <c r="C115" i="9"/>
  <c r="D76" i="9" s="1"/>
  <c r="D74" i="9" s="1"/>
  <c r="N74" i="9" s="1"/>
  <c r="M86" i="9"/>
  <c r="N86" i="9" s="1"/>
  <c r="M88" i="9"/>
  <c r="N88" i="9" s="1"/>
  <c r="M85" i="9"/>
  <c r="N85" i="9" s="1"/>
  <c r="M84" i="9"/>
  <c r="N84" i="9" s="1"/>
  <c r="M87" i="9"/>
  <c r="N87" i="9" s="1"/>
  <c r="M83" i="9"/>
  <c r="N83" i="9" s="1"/>
  <c r="K29" i="9"/>
  <c r="K30" i="9" s="1"/>
  <c r="R6" i="54"/>
  <c r="B50" i="63" s="1"/>
  <c r="N76" i="9"/>
  <c r="C99" i="9" l="1"/>
  <c r="N89" i="9"/>
  <c r="O89" i="9" s="1"/>
  <c r="O77" i="9"/>
  <c r="O78" i="9" s="1"/>
  <c r="O79" i="9" l="1"/>
  <c r="C46" i="9" s="1"/>
  <c r="K33" i="9" s="1"/>
  <c r="K34" i="9" s="1"/>
  <c r="Q77" i="9"/>
  <c r="D46" i="9" l="1"/>
  <c r="I14" i="66"/>
  <c r="B8" i="66" s="1"/>
  <c r="F46" i="9"/>
  <c r="E46" i="9"/>
  <c r="O41" i="9"/>
  <c r="R8" i="54" s="1"/>
  <c r="B54" i="63" s="1"/>
  <c r="O81" i="9"/>
  <c r="O80" i="9"/>
  <c r="C8" i="66" l="1"/>
  <c r="D8" i="66"/>
  <c r="B6" i="66" l="1"/>
  <c r="E15" i="66"/>
  <c r="F15" i="66"/>
  <c r="B5" i="66"/>
  <c r="C5" i="66" l="1"/>
  <c r="D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<sst xmlns="http://schemas.openxmlformats.org/spreadsheetml/2006/main" count="8738" uniqueCount="3382">
  <si>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</si>
  <si>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</si>
  <si>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</si>
  <si>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</si>
  <si>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</si>
  <si>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</si>
  <si>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</si>
  <si>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</si>
  <si>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</si>
  <si>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</si>
  <si>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</si>
  <si>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</si>
  <si>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</si>
  <si>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</si>
  <si>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</si>
  <si>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</si>
  <si>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</si>
  <si>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</si>
  <si>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</si>
  <si>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</si>
  <si>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</si>
  <si>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</si>
  <si>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</si>
  <si>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</si>
  <si>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</si>
  <si>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</si>
  <si>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</si>
  <si>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</si>
  <si>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</si>
  <si>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</si>
  <si>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</si>
  <si>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</si>
  <si>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</si>
  <si>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</si>
  <si>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</si>
  <si>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</si>
  <si>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</si>
  <si>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</si>
  <si>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</si>
  <si>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</si>
  <si>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</si>
  <si>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</si>
  <si>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</si>
  <si>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</si>
  <si>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</si>
  <si>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</si>
  <si>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</si>
  <si>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</si>
  <si>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</si>
  <si>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</si>
  <si>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</si>
  <si>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</si>
  <si>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</si>
  <si>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</si>
  <si>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</si>
  <si>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</si>
  <si>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</si>
  <si>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</si>
  <si>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</si>
  <si>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</si>
  <si>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</si>
  <si>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</si>
  <si>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</si>
  <si>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</si>
  <si>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</si>
  <si>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</si>
  <si>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</si>
  <si>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</si>
  <si>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</si>
  <si>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</si>
  <si>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</si>
  <si>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</si>
  <si>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</si>
  <si>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</si>
  <si>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</si>
  <si>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</si>
  <si>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</si>
  <si>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</si>
  <si>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</si>
  <si>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</si>
  <si>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</si>
  <si>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</si>
  <si>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</si>
  <si>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</si>
  <si>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</si>
  <si>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</si>
  <si>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</si>
  <si>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</si>
  <si>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</si>
  <si>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</si>
  <si>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</si>
  <si>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</si>
  <si>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</si>
  <si>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</si>
  <si>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</si>
  <si>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</si>
  <si>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</si>
  <si>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</si>
  <si>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</si>
  <si>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</si>
  <si>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</si>
  <si>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</si>
  <si>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</si>
  <si>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</si>
  <si>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</si>
  <si>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</si>
  <si>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</si>
  <si>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</si>
  <si>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</si>
  <si>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</si>
  <si>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</si>
  <si>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</si>
  <si>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</si>
  <si>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</si>
  <si>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</si>
  <si>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</si>
  <si>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</si>
  <si>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</si>
  <si>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</si>
  <si>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</si>
  <si>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</si>
  <si>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</si>
  <si>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</si>
  <si>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</si>
  <si>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</si>
  <si>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</si>
  <si>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</si>
  <si>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</si>
  <si>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</si>
  <si>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</si>
  <si>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</si>
  <si>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</si>
  <si>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</si>
  <si>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</si>
  <si>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</si>
  <si>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</si>
  <si>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</si>
  <si>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</si>
  <si>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</si>
  <si>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</si>
  <si>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</si>
  <si>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</si>
  <si>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</si>
  <si>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</si>
  <si>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</si>
  <si>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</si>
  <si>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</si>
  <si>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</si>
  <si>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</si>
  <si>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</si>
  <si>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</si>
  <si>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</si>
  <si>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</si>
  <si>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</si>
  <si>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</si>
  <si>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</si>
  <si>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</si>
  <si>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</si>
  <si>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</si>
  <si>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</si>
  <si>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</si>
  <si>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</si>
  <si>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</si>
  <si>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</si>
  <si>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</si>
  <si>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</si>
  <si>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</si>
  <si>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</si>
  <si>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</si>
  <si>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</si>
  <si>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</si>
  <si>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</si>
  <si>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</si>
  <si>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</si>
  <si>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</si>
  <si>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</si>
  <si>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</si>
  <si>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</si>
  <si>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</si>
  <si>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</si>
  <si>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</si>
  <si>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</si>
  <si>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</si>
  <si>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</si>
  <si>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</si>
  <si>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</si>
  <si>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</si>
  <si>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</si>
  <si>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</si>
  <si>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</si>
  <si>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</si>
  <si>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</si>
  <si>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</si>
  <si>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</si>
  <si>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</si>
  <si>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</si>
  <si>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</si>
  <si>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</si>
  <si>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</si>
  <si>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</si>
  <si>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</si>
  <si>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</si>
  <si>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</si>
  <si>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</si>
  <si>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</si>
  <si>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</si>
  <si>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</si>
  <si>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</si>
  <si>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</si>
  <si>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</si>
  <si>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</si>
  <si>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</si>
  <si>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</si>
  <si>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</si>
  <si>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</si>
  <si>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</si>
  <si>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</si>
  <si>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</si>
  <si>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</si>
  <si>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</si>
  <si>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</si>
  <si>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</si>
  <si>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</si>
  <si>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</si>
  <si>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</si>
  <si>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</si>
  <si>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</si>
  <si>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</si>
  <si>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</si>
  <si>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</si>
  <si>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</si>
  <si>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</si>
  <si>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</si>
  <si>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</si>
  <si>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</si>
  <si>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</si>
  <si>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</si>
  <si>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</si>
  <si>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</si>
  <si>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</si>
  <si>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</si>
  <si>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</si>
  <si>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</si>
  <si>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</si>
  <si>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</si>
  <si>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</si>
  <si>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</si>
  <si>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</si>
  <si>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</si>
  <si>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</si>
  <si>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</si>
  <si>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</si>
  <si>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</si>
  <si>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</si>
  <si>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</si>
  <si>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</si>
  <si>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</si>
  <si>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</si>
  <si>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</si>
  <si>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</si>
  <si>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</si>
  <si>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</si>
  <si>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</si>
  <si>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</si>
  <si>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</si>
  <si>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</si>
  <si>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</si>
  <si>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</si>
  <si>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</si>
  <si>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</si>
  <si>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</si>
  <si>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</si>
  <si>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</si>
  <si>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</si>
  <si>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</si>
  <si>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</si>
  <si>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</si>
  <si>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</si>
  <si>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</si>
  <si>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</si>
  <si>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</si>
  <si>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</si>
  <si>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</si>
  <si>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</si>
  <si>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</si>
  <si>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</si>
  <si>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</si>
  <si>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</si>
  <si>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</si>
  <si>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</si>
  <si>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</si>
  <si>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</si>
  <si>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</si>
  <si>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</si>
  <si>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</si>
  <si>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</si>
  <si>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</si>
  <si>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</si>
  <si>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</si>
  <si>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</si>
  <si>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</si>
  <si>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</si>
  <si>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</si>
  <si>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</si>
  <si>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</si>
  <si>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</si>
  <si>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</si>
  <si>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</si>
  <si>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</si>
  <si>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</si>
  <si>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</si>
  <si>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</si>
  <si>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</si>
  <si>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</si>
  <si>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</si>
  <si>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</si>
  <si>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</si>
  <si>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</si>
  <si>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</si>
  <si>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</si>
  <si>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</si>
  <si>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</si>
  <si>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</si>
  <si>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</si>
  <si>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</si>
  <si>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</si>
  <si>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</si>
  <si>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</si>
  <si>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</si>
  <si>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</si>
  <si>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</si>
  <si>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</si>
  <si>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</si>
  <si>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</si>
  <si>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</si>
  <si>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</si>
  <si>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</si>
  <si>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</si>
  <si>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</si>
  <si>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</si>
  <si>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</si>
  <si>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</si>
  <si>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</si>
  <si>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</si>
  <si>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</si>
  <si>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</si>
  <si>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</si>
  <si>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</si>
  <si>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</si>
  <si>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</si>
  <si>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</si>
  <si>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</si>
  <si>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</si>
  <si>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</si>
  <si>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</si>
  <si>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</si>
  <si>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</si>
  <si>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</si>
  <si>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</si>
  <si>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</si>
  <si>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</si>
  <si>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</si>
  <si>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</si>
  <si>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</si>
  <si>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</si>
  <si>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</si>
  <si>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</si>
  <si>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</si>
  <si>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</si>
  <si>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</si>
  <si>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</si>
  <si>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</si>
  <si>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</si>
  <si>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</si>
  <si>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</si>
  <si>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</si>
  <si>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</si>
  <si>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</si>
  <si>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</si>
  <si>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</si>
  <si>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</si>
  <si>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</si>
  <si>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</si>
  <si>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</si>
  <si>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</si>
  <si>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</si>
  <si>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</si>
  <si>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</si>
  <si>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</si>
  <si>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</si>
  <si>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</si>
  <si>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</si>
  <si>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</si>
  <si>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</si>
  <si>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</si>
  <si>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</si>
  <si>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</si>
  <si>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</si>
  <si>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</si>
  <si>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</si>
  <si>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</si>
  <si>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</si>
  <si>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</si>
  <si>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</si>
  <si>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</si>
  <si>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</si>
  <si>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</si>
  <si>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</si>
  <si>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</si>
  <si>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</si>
  <si>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</si>
  <si>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</si>
  <si>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</si>
  <si>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</si>
  <si>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</si>
  <si>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</si>
  <si>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</si>
  <si>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</si>
  <si>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</si>
  <si>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</si>
  <si>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</si>
  <si>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</si>
  <si>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</si>
  <si>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</si>
  <si>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</si>
  <si>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</si>
  <si>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</si>
  <si>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</si>
  <si>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</si>
  <si>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</si>
  <si>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</si>
  <si>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</si>
  <si>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</si>
  <si>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</si>
  <si>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</si>
  <si>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</si>
  <si>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</si>
  <si>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</si>
  <si>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</si>
  <si>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</si>
  <si>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</si>
  <si>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</si>
  <si>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</si>
  <si>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</si>
  <si>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</si>
  <si>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</si>
  <si>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</si>
  <si>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</si>
  <si>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</si>
  <si>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</si>
  <si>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</si>
  <si>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</si>
  <si>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</si>
  <si>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</si>
  <si>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</si>
  <si>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</si>
  <si>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</si>
  <si>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</si>
  <si>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</si>
  <si>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</si>
  <si>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</si>
  <si>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</si>
  <si>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</si>
  <si>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</si>
  <si>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</si>
  <si>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</si>
  <si>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</si>
  <si>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</si>
  <si>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</si>
  <si>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</si>
  <si>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</si>
  <si>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</si>
  <si>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</si>
  <si>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</si>
  <si>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</si>
  <si>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</si>
  <si>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</si>
  <si>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</si>
  <si>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</si>
  <si>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</si>
  <si>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</si>
  <si>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</si>
  <si>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</si>
  <si>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</si>
  <si>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</si>
  <si>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</si>
  <si>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</si>
  <si>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</si>
  <si>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</si>
  <si>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</si>
  <si>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</si>
  <si>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</si>
  <si>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</si>
  <si>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</si>
  <si>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</si>
  <si>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</si>
  <si>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</si>
  <si>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</si>
  <si>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</si>
  <si>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</si>
  <si>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</si>
  <si>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</si>
  <si>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</si>
  <si>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</si>
  <si>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</si>
  <si>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</si>
  <si>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</si>
  <si>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</si>
  <si>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</si>
  <si>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</si>
  <si>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</si>
  <si>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</si>
  <si>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</si>
  <si>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</si>
  <si>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</si>
  <si>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</si>
  <si>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</si>
  <si>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</si>
  <si>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</si>
  <si>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</si>
  <si>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</si>
  <si>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</si>
  <si>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</si>
  <si>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</si>
  <si>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</si>
  <si>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</si>
  <si>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</si>
  <si>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</si>
  <si>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</si>
  <si>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</si>
  <si>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</si>
  <si>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</si>
  <si>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</si>
  <si>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</si>
  <si>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</si>
  <si>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</si>
  <si>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</si>
  <si>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</si>
  <si>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</si>
  <si>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</si>
  <si>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</si>
  <si>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</si>
  <si>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</si>
  <si>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</si>
  <si>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</si>
  <si>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</si>
  <si>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</si>
  <si>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</si>
  <si>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</si>
  <si>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</si>
  <si>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</si>
  <si>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</si>
  <si>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</si>
  <si>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</si>
  <si>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</si>
  <si>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</si>
  <si>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</si>
  <si>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</si>
  <si>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</si>
  <si>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</si>
  <si>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</si>
  <si>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</si>
  <si>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</si>
  <si>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</si>
  <si>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</si>
  <si>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</si>
  <si>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</si>
  <si>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</si>
  <si>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</si>
  <si>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</si>
  <si>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</si>
  <si>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</si>
  <si>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</si>
  <si>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</si>
  <si>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</si>
  <si>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</si>
  <si>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</si>
  <si>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</si>
  <si>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</si>
  <si>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</si>
  <si>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</si>
  <si>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</si>
  <si>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</si>
  <si>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</si>
  <si>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</si>
  <si>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</si>
  <si>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</si>
  <si>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</si>
  <si>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</si>
  <si>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</si>
  <si>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</si>
  <si>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</si>
  <si>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</si>
  <si>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</si>
  <si>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</si>
  <si>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</si>
  <si>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</si>
  <si>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</si>
  <si>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</si>
  <si>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</si>
  <si>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</si>
  <si>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</si>
  <si>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</si>
  <si>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</si>
  <si>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</si>
  <si>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</si>
  <si>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</si>
  <si>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</si>
  <si>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</si>
  <si>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</si>
  <si>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</si>
  <si>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</si>
  <si>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</si>
  <si>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</si>
  <si>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</si>
  <si>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</si>
  <si>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</si>
  <si>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</si>
  <si>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</si>
  <si>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</si>
  <si>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</si>
  <si>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</si>
  <si>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</si>
  <si>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</si>
  <si>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</si>
  <si>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</si>
  <si>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</si>
  <si>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</si>
  <si>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</si>
  <si>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</si>
  <si>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</si>
  <si>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</si>
  <si>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</si>
  <si>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</si>
  <si>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</si>
  <si>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</si>
  <si>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</si>
  <si>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</si>
  <si>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</si>
  <si>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</si>
  <si>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</si>
  <si>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</si>
  <si>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</si>
  <si>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</si>
  <si>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</si>
  <si>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</si>
  <si>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</si>
  <si>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</si>
  <si>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</si>
  <si>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</si>
  <si>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</si>
  <si>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</si>
  <si>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</si>
  <si>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</si>
  <si>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</si>
  <si>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</si>
  <si>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</si>
  <si>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</si>
  <si>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</si>
  <si>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</si>
  <si>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</si>
  <si>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</si>
  <si>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</si>
  <si>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</si>
  <si>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</si>
  <si>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</si>
  <si>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</si>
  <si>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</si>
  <si>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</si>
  <si>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</si>
  <si>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</si>
  <si>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</si>
  <si>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</si>
  <si>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</si>
  <si>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</si>
  <si>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</si>
  <si>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</si>
  <si>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</si>
  <si>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</si>
  <si>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</si>
  <si>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</si>
  <si>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</si>
  <si>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</si>
  <si>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</si>
  <si>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</si>
  <si>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</si>
  <si>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</si>
  <si>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</si>
  <si>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</si>
  <si>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</si>
  <si>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</si>
  <si>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</si>
  <si>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</si>
  <si>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</si>
  <si>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</si>
  <si>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</si>
  <si>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</si>
  <si>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</si>
  <si>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</si>
  <si>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</si>
  <si>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</si>
  <si>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</si>
  <si>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</si>
  <si>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</si>
  <si>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</si>
  <si>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</si>
  <si>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</si>
  <si>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</si>
  <si>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</si>
  <si>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</si>
  <si>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</si>
  <si>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</si>
  <si>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</si>
  <si>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</si>
  <si>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</si>
  <si>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</si>
  <si>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</si>
  <si>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</si>
  <si>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</si>
  <si>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</si>
  <si>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</si>
  <si>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</si>
  <si>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</si>
  <si>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</si>
  <si>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</si>
  <si>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</si>
  <si>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</si>
  <si>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</si>
  <si>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</si>
  <si>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</si>
  <si>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</si>
  <si>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</si>
  <si>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</si>
  <si>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</si>
  <si>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</si>
  <si>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</si>
  <si>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</si>
  <si>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</si>
  <si>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</si>
  <si>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</si>
  <si>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</si>
  <si>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</si>
  <si>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</si>
  <si>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</si>
  <si>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</si>
  <si>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</si>
  <si>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</si>
  <si>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</si>
  <si>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</si>
  <si>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</si>
  <si>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</si>
  <si>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</si>
  <si>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</si>
  <si>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</si>
  <si>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</si>
  <si>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</si>
  <si>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</si>
  <si>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</si>
  <si>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</si>
  <si>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</si>
  <si>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</si>
  <si>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</si>
  <si>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</si>
  <si>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</si>
  <si>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</si>
  <si>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</si>
  <si>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</si>
  <si>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</si>
  <si>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</si>
  <si>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</si>
  <si>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</si>
  <si>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</si>
  <si>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</si>
  <si>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</si>
  <si>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</si>
  <si>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</si>
  <si>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</si>
  <si>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</si>
  <si>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</si>
  <si>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</si>
  <si>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</si>
  <si>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</si>
  <si>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</si>
  <si>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</si>
  <si>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</si>
  <si>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</si>
  <si>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</si>
  <si>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</si>
  <si>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</si>
  <si>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</si>
  <si>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</si>
  <si>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</si>
  <si>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</si>
  <si>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</si>
  <si>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</si>
  <si>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</si>
  <si>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</si>
  <si>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</si>
  <si>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</si>
  <si>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</si>
  <si>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</si>
  <si>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</si>
  <si>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</si>
  <si>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</si>
  <si>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</si>
  <si>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</si>
  <si>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</si>
  <si>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</si>
  <si>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</si>
  <si>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</si>
  <si>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</si>
  <si>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</si>
  <si>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</si>
  <si>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</si>
  <si>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</si>
  <si>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</si>
  <si>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</si>
  <si>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</si>
  <si>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</si>
  <si>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</si>
  <si>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</si>
  <si>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</si>
  <si>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</si>
  <si>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</si>
  <si>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</si>
  <si>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</si>
  <si>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</si>
  <si>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</si>
  <si>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</si>
  <si>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</si>
  <si>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</si>
  <si>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</si>
  <si>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</si>
  <si>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</si>
  <si>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</si>
  <si>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</si>
  <si>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</si>
  <si>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</si>
  <si>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</si>
  <si>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</si>
  <si>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</si>
  <si>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</si>
  <si>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</si>
  <si>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</si>
  <si>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</si>
  <si>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</si>
  <si>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</si>
  <si>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</si>
  <si>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</si>
  <si>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</si>
  <si>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</si>
  <si>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</si>
  <si>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</si>
  <si>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</si>
  <si>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</si>
  <si>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</si>
  <si>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</si>
  <si>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</si>
  <si>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</si>
  <si>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</si>
  <si>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</si>
  <si>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</si>
  <si>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</si>
  <si>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</si>
  <si>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</si>
  <si>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</si>
  <si>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</si>
  <si>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</si>
  <si>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</si>
  <si>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</si>
  <si>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</si>
  <si>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</si>
  <si>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</si>
  <si>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</si>
  <si>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</si>
  <si>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</si>
  <si>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</si>
  <si>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</si>
  <si>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</si>
  <si>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</si>
  <si>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</si>
  <si>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</si>
  <si>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</si>
  <si>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</si>
  <si>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</si>
  <si>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</si>
  <si>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</si>
  <si>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</si>
  <si>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</si>
  <si>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</si>
  <si>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</si>
  <si>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</si>
  <si>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</si>
  <si>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</si>
  <si>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</si>
  <si>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</si>
  <si>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</si>
  <si>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</si>
  <si>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</si>
  <si>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</si>
  <si>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</si>
  <si>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</si>
  <si>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</si>
  <si>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</si>
  <si>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</si>
  <si>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</si>
  <si>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</si>
  <si>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</si>
  <si>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</si>
  <si>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</si>
  <si>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</si>
  <si>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</si>
  <si>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</si>
  <si>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</si>
  <si>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</si>
  <si>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</si>
  <si>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</si>
  <si>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</si>
  <si>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</si>
  <si>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</si>
  <si>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</si>
  <si>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</si>
  <si>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</si>
  <si>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</si>
  <si>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</si>
  <si>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</si>
  <si>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</si>
  <si>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</si>
  <si>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</si>
  <si>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</si>
  <si>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</si>
  <si>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</si>
  <si>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</si>
  <si>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</si>
  <si>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</si>
  <si>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</si>
  <si>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</si>
  <si>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</si>
  <si>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</si>
  <si>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</si>
  <si>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</si>
  <si>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</si>
  <si>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</si>
  <si>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</si>
  <si>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</si>
  <si>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</si>
  <si>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</si>
  <si>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</si>
  <si>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</si>
  <si>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</si>
  <si>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</si>
  <si>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</si>
  <si>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</si>
  <si>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</si>
  <si>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</si>
  <si>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</si>
  <si>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</si>
  <si>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</si>
  <si>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</si>
  <si>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</si>
  <si>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</si>
  <si>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</si>
  <si>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</si>
  <si>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</si>
  <si>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</si>
  <si>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</si>
  <si>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</si>
  <si>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</si>
  <si>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</si>
  <si>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</si>
  <si>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</si>
  <si>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</si>
  <si>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</si>
  <si>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</si>
  <si>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</si>
  <si>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</si>
  <si>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</si>
  <si>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</si>
  <si>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</si>
  <si>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</si>
  <si>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</si>
  <si>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</si>
  <si>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</si>
  <si>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</si>
  <si>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</si>
  <si>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</si>
  <si>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</si>
  <si>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</si>
  <si>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</si>
  <si>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</si>
  <si>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</si>
  <si>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</si>
  <si>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</si>
  <si>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</si>
  <si>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</si>
  <si>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</si>
  <si>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</si>
  <si>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</si>
  <si>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</si>
  <si>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</si>
  <si>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</si>
  <si>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</si>
  <si>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</si>
  <si>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</si>
  <si>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</si>
  <si>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</si>
  <si>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</si>
  <si>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</si>
  <si>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</si>
  <si>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</si>
  <si>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</si>
  <si>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</si>
  <si>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</si>
  <si>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</si>
  <si>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</si>
  <si>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</si>
  <si>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</si>
  <si>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</si>
  <si>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</si>
  <si>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</si>
  <si>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</si>
  <si>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</si>
  <si>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</si>
  <si>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</si>
  <si>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</si>
  <si>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</si>
  <si>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</si>
  <si>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</si>
  <si>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</si>
  <si>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</si>
  <si>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</si>
  <si>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</si>
  <si>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</si>
  <si>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</si>
  <si>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</si>
  <si>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</si>
  <si>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</si>
  <si>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</si>
  <si>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</si>
  <si>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</si>
  <si>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</si>
  <si>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</si>
  <si>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</si>
  <si>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</si>
  <si>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</si>
  <si>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</si>
  <si>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</si>
  <si>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</si>
  <si>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</si>
  <si>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</si>
  <si>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</si>
  <si>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</si>
  <si>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</si>
  <si>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</si>
  <si>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</si>
  <si>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</si>
  <si>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</si>
  <si>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</si>
  <si>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</si>
  <si>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</si>
  <si>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</si>
  <si>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</si>
  <si>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</si>
  <si>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</si>
  <si>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</si>
  <si>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</si>
  <si>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</si>
  <si>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</si>
  <si>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</si>
  <si>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</si>
  <si>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</si>
  <si>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</si>
  <si>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</si>
  <si>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</si>
  <si>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</si>
  <si>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</si>
  <si>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</si>
  <si>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</si>
  <si>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</si>
  <si>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</si>
  <si>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</si>
  <si>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</si>
  <si>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</si>
  <si>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</si>
  <si>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</si>
  <si>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</si>
  <si>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</si>
  <si>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</si>
  <si>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</si>
  <si>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</si>
  <si>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</si>
  <si>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</si>
  <si>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</si>
  <si>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</si>
  <si>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</si>
  <si>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</si>
  <si>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</si>
  <si>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</si>
  <si>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</si>
  <si>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</si>
  <si>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</si>
  <si>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</si>
  <si>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</si>
  <si>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</si>
  <si>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</si>
  <si>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</si>
  <si>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</si>
  <si>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</si>
  <si>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</si>
  <si>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</si>
  <si>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</si>
  <si>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</si>
  <si>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</si>
  <si>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</si>
  <si>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</si>
  <si>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</si>
  <si>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</si>
  <si>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</si>
  <si>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</si>
  <si>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</si>
  <si>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</si>
  <si>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</si>
  <si>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</si>
  <si>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</si>
  <si>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</si>
  <si>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</si>
  <si>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</si>
  <si>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</si>
  <si>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</si>
  <si>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</si>
  <si>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</si>
  <si>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</si>
  <si>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</si>
  <si>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</si>
  <si>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</si>
  <si>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</si>
  <si>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</si>
  <si>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</si>
  <si>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</si>
  <si>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</si>
  <si>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</si>
  <si>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</si>
  <si>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</si>
  <si>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</si>
  <si>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</si>
  <si>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</si>
  <si>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</si>
  <si>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</si>
  <si>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</si>
  <si>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</si>
  <si>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</si>
  <si>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</si>
  <si>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</si>
  <si>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</si>
  <si>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</si>
  <si>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</si>
  <si>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</si>
  <si>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</si>
  <si>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</si>
  <si>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</si>
  <si>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</si>
  <si>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</si>
  <si>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</si>
  <si>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</si>
  <si>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</si>
  <si>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</si>
  <si>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</si>
  <si>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</si>
  <si>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</si>
  <si>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</si>
  <si>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</si>
  <si>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</si>
  <si>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</si>
  <si>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</si>
  <si>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</si>
  <si>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</si>
  <si>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</si>
  <si>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</si>
  <si>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</si>
  <si>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</si>
  <si>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</si>
  <si>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</si>
  <si>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</si>
  <si>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</si>
  <si>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</si>
  <si>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</si>
  <si>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</si>
  <si>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</si>
  <si>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</si>
  <si>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</si>
  <si>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</si>
  <si>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</si>
  <si>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</si>
  <si>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</si>
  <si>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</si>
  <si>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</si>
  <si>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</si>
  <si>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</si>
  <si>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</si>
  <si>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</si>
  <si>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</si>
  <si>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</si>
  <si>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</si>
  <si>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</si>
  <si>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</si>
  <si>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</si>
  <si>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</si>
  <si>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</si>
  <si>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</si>
  <si>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</si>
  <si>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</si>
  <si>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</si>
  <si>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</si>
  <si>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</si>
  <si>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</si>
  <si>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</si>
  <si>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</si>
  <si>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</si>
  <si>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</si>
  <si>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</si>
  <si>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</si>
  <si>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</si>
  <si>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</si>
  <si>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</si>
  <si>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</si>
  <si>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</si>
  <si>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</si>
  <si>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</si>
  <si>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</si>
  <si>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</si>
  <si>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</si>
  <si>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</si>
  <si>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</si>
  <si>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</si>
  <si>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</si>
  <si>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</si>
  <si>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</si>
  <si>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</si>
  <si>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</si>
  <si>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</si>
  <si>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</si>
  <si>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</si>
  <si>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</si>
  <si>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</si>
  <si>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</si>
  <si>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</si>
  <si>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</si>
  <si>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</si>
  <si>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</si>
  <si>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</si>
  <si>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</si>
  <si>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</si>
  <si>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</si>
  <si>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</si>
  <si>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</si>
  <si>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</si>
  <si>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</si>
  <si>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</si>
  <si>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</si>
  <si>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</si>
  <si>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</si>
  <si>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</si>
  <si>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</si>
  <si>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</si>
  <si>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</si>
  <si>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</si>
  <si>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</si>
  <si>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</si>
  <si>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</si>
  <si>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</si>
  <si>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</si>
  <si>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</si>
  <si>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</si>
  <si>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</si>
  <si>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</si>
  <si>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</si>
  <si>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</si>
  <si>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</si>
  <si>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</si>
  <si>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</si>
  <si>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</si>
  <si>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</si>
  <si>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</si>
  <si>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</si>
  <si>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</si>
  <si>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</si>
  <si>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</si>
  <si>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</si>
  <si>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</si>
  <si>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</si>
  <si>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</si>
  <si>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</si>
  <si>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</si>
  <si>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</si>
  <si>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</si>
  <si>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</si>
  <si>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</si>
  <si>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</si>
  <si>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</si>
  <si>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</si>
  <si>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</si>
  <si>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</si>
  <si>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</si>
  <si>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</si>
  <si>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</si>
  <si>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</si>
  <si>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</si>
  <si>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</si>
  <si>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</si>
  <si>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</si>
  <si>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</si>
  <si>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</si>
  <si>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</si>
  <si>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</si>
  <si>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</si>
  <si>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</si>
  <si>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</si>
  <si>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</si>
  <si>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</si>
  <si>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</si>
  <si>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</si>
  <si>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</si>
  <si>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</si>
  <si>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</si>
  <si>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</si>
  <si>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</si>
  <si>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</si>
  <si>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</si>
  <si>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</si>
  <si>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</si>
  <si>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</si>
  <si>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</si>
  <si>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</si>
  <si>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</si>
  <si>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</si>
  <si>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</si>
  <si>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</si>
  <si>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</si>
  <si>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</si>
  <si>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</si>
  <si>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</si>
  <si>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</si>
  <si>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</si>
  <si>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</si>
  <si>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</si>
  <si>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</si>
  <si>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</si>
  <si>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</si>
  <si>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</si>
  <si>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</si>
  <si>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</si>
  <si>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</si>
  <si>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</si>
  <si>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</si>
  <si>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</si>
  <si>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</si>
  <si>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</si>
  <si>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</si>
  <si>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</si>
  <si>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</si>
  <si>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</si>
  <si>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</si>
  <si>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</si>
  <si>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</si>
  <si>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</si>
  <si>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</si>
  <si>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</si>
  <si>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</si>
  <si>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</si>
  <si>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</si>
  <si>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</si>
  <si>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</si>
  <si>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</si>
  <si>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</si>
  <si>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</si>
  <si>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</si>
  <si>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</si>
  <si>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</si>
  <si>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</si>
  <si>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</si>
  <si>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</si>
  <si>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</si>
  <si>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</si>
  <si>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</si>
  <si>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</si>
  <si>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</si>
  <si>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</si>
  <si>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</si>
  <si>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</si>
  <si>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</si>
  <si>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</si>
  <si>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</si>
  <si>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</si>
  <si>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</si>
  <si>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</si>
  <si>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</si>
  <si>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</si>
  <si>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</si>
  <si>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</si>
  <si>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</si>
  <si>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</si>
  <si>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</si>
  <si>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</si>
  <si>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</si>
  <si>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</si>
  <si>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</si>
  <si>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</si>
  <si>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</si>
  <si>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</si>
  <si>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</si>
  <si>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</si>
  <si>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</si>
  <si>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</si>
  <si>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</si>
  <si>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</si>
  <si>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</si>
  <si>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</si>
  <si>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</si>
  <si>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</si>
  <si>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</si>
  <si>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</si>
  <si>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</si>
  <si>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</si>
  <si>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</si>
  <si>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</si>
  <si>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</si>
  <si>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</si>
  <si>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</si>
  <si>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</si>
  <si>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</si>
  <si>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</si>
  <si>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</si>
  <si>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</si>
  <si>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</si>
  <si>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</si>
  <si>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</si>
  <si>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</si>
  <si>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</si>
  <si>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</si>
  <si>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</si>
  <si>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</si>
  <si>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</si>
  <si>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</si>
  <si>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</si>
  <si>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</si>
  <si>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</si>
  <si>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</si>
  <si>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</si>
  <si>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</si>
  <si>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</si>
  <si>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</si>
  <si>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</si>
  <si>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</si>
  <si>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</si>
  <si>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</si>
  <si>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</si>
  <si>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</si>
  <si>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</si>
  <si>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</si>
  <si>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</si>
  <si>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</si>
  <si>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</si>
  <si>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</si>
  <si>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</si>
  <si>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</si>
  <si>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</si>
  <si>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</si>
  <si>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</si>
  <si>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</si>
  <si>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</si>
  <si>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</si>
  <si>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</si>
  <si>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</si>
  <si>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</si>
  <si>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</si>
  <si>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</si>
  <si>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</si>
  <si>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</si>
  <si>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</si>
  <si>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</si>
  <si>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</si>
  <si>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</si>
  <si>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</si>
  <si>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</si>
  <si>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</si>
  <si>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</si>
  <si>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</si>
  <si>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</si>
  <si>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</si>
  <si>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</si>
  <si>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</si>
  <si>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</si>
  <si>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</si>
  <si>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</si>
  <si>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</si>
  <si>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</si>
  <si>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</si>
  <si>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</si>
  <si>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</si>
  <si>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</si>
  <si>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</si>
  <si>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</si>
  <si>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</si>
  <si>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</si>
  <si>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</si>
  <si>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</si>
  <si>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</si>
  <si>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</si>
  <si>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</si>
  <si>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</si>
  <si>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</si>
  <si>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</si>
  <si>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</si>
  <si>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</si>
  <si>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</si>
  <si>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</si>
  <si>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</si>
  <si>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</si>
  <si>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</si>
  <si>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</si>
  <si>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</si>
  <si>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</si>
  <si>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</si>
  <si>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</si>
  <si>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</si>
  <si>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</si>
  <si>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</si>
  <si>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</si>
  <si>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</si>
  <si>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</si>
  <si>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</si>
  <si>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</si>
  <si>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</si>
  <si>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</si>
  <si>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</si>
  <si>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</si>
  <si>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</si>
  <si>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</si>
  <si>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</si>
  <si>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</si>
  <si>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</si>
  <si>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</si>
  <si>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</si>
  <si>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</si>
  <si>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</si>
  <si>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</si>
  <si>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</si>
  <si>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</si>
  <si>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</si>
  <si>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</si>
  <si>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</si>
  <si>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</si>
  <si>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</si>
  <si>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</si>
  <si>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</si>
  <si>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</si>
  <si>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</si>
  <si>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</si>
  <si>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</si>
  <si>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</si>
  <si>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</si>
  <si>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</si>
  <si>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</si>
  <si>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</si>
  <si>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</si>
  <si>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</si>
  <si>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</si>
  <si>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</si>
  <si>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</si>
  <si>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</si>
  <si>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</si>
  <si>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</si>
  <si>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</si>
  <si>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</si>
  <si>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</si>
  <si>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</si>
  <si>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</si>
  <si>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</si>
  <si>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</si>
  <si>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</si>
  <si>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</si>
  <si>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</si>
  <si>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</si>
  <si>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</si>
  <si>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</si>
  <si>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</si>
  <si>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</si>
  <si>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</si>
  <si>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</si>
  <si>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</si>
  <si>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</si>
  <si>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</si>
  <si>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</si>
  <si>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</si>
  <si>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</si>
  <si>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</si>
  <si>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</si>
  <si>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</si>
  <si>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</si>
  <si>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</si>
  <si>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</si>
  <si>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</si>
  <si>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</si>
  <si>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</si>
  <si>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</si>
  <si>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</si>
  <si>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</si>
  <si>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</si>
  <si>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</si>
  <si>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</si>
  <si>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</si>
  <si>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</si>
  <si>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</si>
  <si>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</si>
  <si>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</si>
  <si>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</si>
  <si>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</si>
  <si>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</si>
  <si>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</si>
  <si>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</si>
  <si>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</si>
  <si>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</si>
  <si>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</si>
  <si>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</si>
  <si>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</si>
  <si>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</si>
  <si>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</si>
  <si>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</si>
  <si>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</si>
  <si>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</si>
  <si>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</si>
  <si>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</si>
  <si>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</si>
  <si>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</si>
  <si>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</si>
  <si>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</si>
  <si>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</si>
  <si>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</si>
  <si>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</si>
  <si>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</si>
  <si>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</si>
  <si>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</si>
  <si>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</si>
  <si>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</si>
  <si>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</si>
  <si>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</si>
  <si>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</si>
  <si>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</si>
  <si>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</si>
  <si>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</si>
  <si>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</si>
  <si>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</si>
  <si>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</si>
  <si>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</si>
  <si>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</si>
  <si>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</si>
  <si>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</si>
  <si>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</si>
  <si>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</si>
  <si>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</si>
  <si>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</si>
  <si>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</si>
  <si>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</si>
  <si>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</si>
  <si>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</si>
  <si>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</si>
  <si>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</si>
  <si>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</si>
  <si>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</si>
  <si>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</si>
  <si>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</si>
  <si>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</si>
  <si>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</si>
  <si>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</si>
  <si>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</si>
  <si>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</si>
  <si>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</si>
  <si>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</si>
  <si>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</si>
  <si>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</si>
  <si>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</si>
  <si>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</si>
  <si>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</si>
  <si>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</si>
  <si>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</si>
  <si>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</si>
  <si>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</si>
  <si>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</si>
  <si>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</si>
  <si>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</si>
  <si>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</si>
  <si>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</si>
  <si>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</si>
  <si>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</si>
  <si>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</si>
  <si>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</si>
  <si>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</si>
  <si>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</si>
  <si>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</si>
  <si>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</si>
  <si>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</si>
  <si>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</si>
  <si>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</si>
  <si>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</si>
  <si>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</si>
  <si>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</si>
  <si>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</si>
  <si>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</si>
  <si>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</si>
  <si>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</si>
  <si>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</si>
  <si>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</si>
  <si>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</si>
  <si>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</si>
  <si>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</si>
  <si>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</si>
  <si>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</si>
  <si>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</si>
  <si>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</si>
  <si>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</si>
  <si>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</si>
  <si>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</si>
  <si>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</si>
  <si>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</si>
  <si>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</si>
  <si>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</si>
  <si>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</si>
  <si>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</si>
  <si>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</si>
  <si>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</si>
  <si>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</si>
  <si>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</si>
  <si>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</si>
  <si>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</si>
  <si>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</si>
  <si>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</si>
  <si>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</si>
  <si>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</si>
  <si>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</si>
  <si>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</si>
  <si>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</si>
  <si>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</si>
  <si>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</si>
  <si>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</si>
  <si>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</si>
  <si>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</si>
  <si>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</si>
  <si>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</si>
  <si>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</si>
  <si>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</si>
  <si>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</si>
  <si>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</si>
  <si>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</si>
  <si>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</si>
  <si>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</si>
  <si>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</si>
  <si>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</si>
  <si>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</si>
  <si>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</si>
  <si>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</si>
  <si>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</si>
  <si>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</si>
  <si>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</si>
  <si>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</si>
  <si>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</si>
  <si>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</si>
  <si>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</si>
  <si>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</si>
  <si>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</si>
  <si>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</si>
  <si>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</si>
  <si>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</si>
  <si>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</si>
  <si>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</si>
  <si>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</si>
  <si>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</si>
  <si>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</si>
  <si>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</si>
  <si>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</si>
  <si>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</si>
  <si>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</si>
  <si>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</si>
  <si>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</si>
  <si>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</si>
  <si>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</si>
  <si>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</si>
  <si>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</si>
  <si>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</si>
  <si>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</si>
  <si>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</si>
  <si>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</si>
  <si>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</si>
  <si>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</si>
  <si>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</si>
  <si>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</si>
  <si>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</si>
  <si>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</si>
  <si>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</si>
  <si>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</si>
  <si>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</si>
  <si>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</si>
  <si>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</si>
  <si>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</si>
  <si>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</si>
  <si>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</si>
  <si>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</si>
  <si>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</si>
  <si>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</si>
  <si>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</si>
  <si>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</si>
  <si>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</si>
  <si>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</si>
  <si>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</si>
  <si>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</si>
  <si>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</si>
  <si>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</si>
  <si>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</si>
  <si>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</si>
  <si>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</si>
  <si>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</si>
  <si>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</si>
  <si>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</si>
  <si>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</si>
  <si>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</si>
  <si>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</si>
  <si>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</si>
  <si>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</si>
  <si>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</si>
  <si>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</si>
  <si>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</si>
  <si>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</si>
  <si>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</si>
  <si>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</si>
  <si>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</si>
  <si>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</si>
  <si>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</si>
  <si>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</si>
  <si>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</si>
  <si>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</si>
  <si>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</si>
  <si>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</si>
  <si>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</si>
  <si>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</si>
  <si>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</si>
  <si>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</si>
  <si>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</si>
  <si>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</si>
  <si>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</si>
  <si>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</si>
  <si>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</si>
  <si>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</si>
  <si>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</si>
  <si>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</si>
  <si>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</si>
  <si>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</si>
  <si>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</si>
  <si>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</si>
  <si>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</si>
  <si>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</si>
  <si>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</si>
  <si>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</si>
  <si>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</si>
  <si>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</si>
  <si>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</si>
  <si>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</si>
  <si>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</si>
  <si>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</si>
  <si>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</si>
  <si>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</si>
  <si>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</si>
  <si>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</si>
  <si>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</si>
  <si>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</si>
  <si>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</si>
  <si>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</si>
  <si>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</si>
  <si>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</si>
  <si>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</si>
  <si>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</si>
  <si>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</si>
  <si>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</si>
  <si>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</si>
  <si>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</si>
  <si>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</si>
  <si>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</si>
  <si>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</si>
  <si>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</si>
  <si>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</si>
  <si>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</si>
  <si>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</si>
  <si>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</si>
  <si>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</si>
  <si>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</si>
  <si>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</si>
  <si>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</si>
  <si>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</si>
  <si>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</si>
  <si>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</si>
  <si>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</si>
  <si>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</si>
  <si>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</si>
  <si>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</si>
  <si>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</si>
  <si>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</si>
  <si>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</si>
  <si>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</si>
  <si>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</si>
  <si>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</si>
  <si>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</si>
  <si>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</si>
  <si>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</si>
  <si>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</si>
  <si>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</si>
  <si>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</si>
  <si>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</si>
  <si>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</si>
  <si>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</si>
  <si>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</si>
  <si>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</si>
  <si>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</si>
  <si>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</si>
  <si>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</si>
  <si>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</si>
  <si>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</si>
  <si>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</si>
  <si>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</si>
  <si>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</si>
  <si>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</si>
  <si>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</si>
  <si>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</si>
  <si>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</si>
  <si>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</si>
  <si>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</si>
  <si>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</si>
  <si>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</si>
  <si>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</si>
  <si>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</si>
  <si>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</si>
  <si>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</si>
  <si>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</si>
  <si>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</si>
  <si>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</si>
  <si>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</si>
  <si>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</si>
  <si>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</si>
  <si>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</si>
  <si>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</si>
  <si>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</si>
  <si>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</si>
  <si>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</si>
  <si>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</si>
  <si>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</si>
  <si>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</si>
  <si>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</si>
  <si>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</si>
  <si>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</si>
  <si>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</si>
  <si>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</si>
  <si>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</si>
  <si>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</si>
  <si>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</si>
  <si>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</si>
  <si>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</si>
  <si>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</si>
  <si>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</si>
  <si>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</si>
  <si>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</si>
  <si>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</si>
  <si>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</si>
  <si>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</si>
  <si>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</si>
  <si>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</si>
  <si>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</si>
  <si>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</si>
  <si>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</si>
  <si>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</si>
  <si>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</si>
  <si>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</si>
  <si>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</si>
  <si>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</si>
  <si>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</si>
  <si>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</si>
  <si>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</si>
  <si>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</si>
  <si>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</si>
  <si>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</si>
  <si>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</si>
  <si>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</si>
  <si>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</si>
  <si>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</si>
  <si>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</si>
  <si>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</si>
  <si>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</si>
  <si>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</si>
  <si>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</si>
  <si>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</si>
  <si>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</si>
  <si>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</si>
  <si>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</si>
  <si>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</si>
  <si>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</si>
  <si>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</si>
  <si>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</si>
  <si>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</si>
  <si>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</si>
  <si>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</si>
  <si>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</si>
  <si>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</si>
  <si>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</si>
  <si>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</si>
  <si>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</si>
  <si>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</si>
  <si>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</si>
  <si>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</si>
  <si>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</si>
  <si>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</si>
  <si>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</si>
  <si>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</si>
  <si>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</si>
  <si>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</si>
  <si>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</si>
  <si>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</si>
  <si>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</si>
  <si>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</si>
  <si>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</si>
  <si>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</si>
  <si>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</si>
  <si>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</si>
  <si>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</si>
  <si>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</si>
  <si>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</si>
  <si>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</si>
  <si>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</si>
  <si>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</si>
  <si>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</si>
  <si>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</si>
  <si>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</si>
  <si>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</si>
  <si>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</si>
  <si>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</si>
  <si>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</si>
  <si>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</si>
  <si>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</si>
  <si>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</si>
  <si>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</si>
  <si>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</si>
  <si>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</si>
  <si>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</si>
  <si>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</si>
  <si>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</si>
  <si>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</si>
  <si>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</si>
  <si>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</si>
  <si>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</si>
  <si>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</si>
  <si>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</si>
  <si>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</si>
  <si>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</si>
  <si>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</si>
  <si>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</si>
  <si>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</si>
  <si>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</si>
  <si>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</si>
  <si>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</si>
  <si>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</si>
  <si>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</si>
  <si>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</si>
  <si>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</si>
  <si>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</si>
  <si>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</si>
  <si>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</si>
  <si>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</si>
  <si>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</si>
  <si>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</si>
  <si>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</si>
  <si>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</si>
  <si>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</si>
  <si>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</si>
  <si>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</si>
  <si>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</si>
  <si>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</si>
  <si>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</si>
  <si>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</si>
  <si>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</si>
  <si>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</si>
  <si>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</si>
  <si>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</si>
  <si>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</si>
  <si>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</si>
  <si>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</si>
  <si>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</si>
  <si>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</si>
  <si>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</si>
  <si>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</si>
  <si>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</si>
  <si>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</si>
  <si>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</si>
  <si>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</si>
  <si>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</si>
  <si>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</si>
  <si>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</si>
  <si>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</si>
  <si>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</si>
  <si>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</si>
  <si>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</si>
  <si>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</si>
  <si>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</si>
  <si>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</si>
  <si>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</si>
  <si>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</si>
  <si>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</si>
  <si>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</si>
  <si>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</si>
  <si>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</si>
  <si>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</si>
  <si>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</si>
  <si>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</si>
  <si>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</si>
  <si>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</si>
  <si>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</si>
  <si>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</si>
  <si>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</si>
  <si>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</si>
  <si>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</si>
  <si>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</si>
  <si>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</si>
  <si>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</si>
  <si>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</si>
  <si>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</si>
  <si>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</si>
  <si>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</si>
  <si>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</si>
  <si>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</si>
  <si>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</si>
  <si>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</si>
  <si>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</si>
  <si>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</si>
  <si>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</si>
  <si>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</si>
  <si>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</si>
  <si>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</si>
  <si>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</si>
  <si>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</si>
  <si>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</si>
  <si>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</si>
  <si>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</si>
  <si>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</si>
  <si>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</si>
  <si>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</si>
  <si>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</si>
  <si>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</si>
  <si>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</si>
  <si>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</si>
  <si>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</si>
  <si>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</si>
  <si>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</si>
  <si>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</si>
  <si>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</si>
  <si>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</si>
  <si>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</si>
  <si>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</si>
  <si>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</si>
  <si>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</si>
  <si>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</si>
  <si>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</si>
  <si>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</si>
  <si>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</si>
  <si>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</si>
  <si>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</si>
  <si>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</si>
  <si>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</si>
  <si>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</si>
  <si>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</si>
  <si>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</si>
  <si>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</si>
  <si>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</si>
  <si>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</si>
  <si>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</si>
  <si>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</si>
  <si>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</si>
  <si>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</si>
  <si>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</si>
  <si>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</si>
  <si>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</si>
  <si>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</si>
  <si>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</si>
  <si>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</si>
  <si>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</si>
  <si>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</si>
  <si>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</si>
  <si>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</si>
  <si>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</si>
  <si>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</si>
  <si>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</si>
  <si>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</si>
  <si>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</si>
  <si>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</si>
  <si>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</si>
  <si>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</si>
  <si>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</si>
  <si>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</si>
  <si>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</si>
  <si>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</si>
  <si>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</si>
  <si>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</si>
  <si>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</si>
  <si>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</si>
  <si>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</si>
  <si>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</si>
  <si>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</si>
  <si>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</si>
  <si>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</si>
  <si>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</si>
  <si>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</si>
  <si>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</si>
  <si>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</si>
  <si>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</si>
  <si>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</si>
  <si>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</si>
  <si>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</si>
  <si>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</si>
  <si>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</si>
  <si>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</si>
  <si>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</si>
  <si>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</si>
  <si>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</si>
  <si>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</si>
  <si>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</si>
  <si>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</si>
  <si>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</si>
  <si>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</si>
  <si>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</si>
  <si>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</si>
  <si>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</si>
  <si>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</si>
  <si>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</si>
  <si>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</si>
  <si>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</si>
  <si>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</si>
  <si>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</si>
  <si>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</si>
  <si>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</si>
  <si>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</si>
  <si>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</si>
  <si>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</si>
  <si>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</si>
  <si>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</si>
  <si>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</si>
  <si>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</si>
  <si>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</si>
  <si>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</si>
  <si>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</si>
  <si>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</si>
  <si>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</si>
  <si>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</si>
  <si>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</si>
  <si>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</si>
  <si>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</si>
  <si>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</si>
  <si>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</si>
  <si>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</si>
  <si>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</si>
  <si>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</si>
  <si>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</si>
  <si>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</si>
  <si>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</si>
  <si>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</si>
  <si>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</si>
  <si>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</si>
  <si>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</si>
  <si>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</si>
  <si>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</si>
  <si>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</si>
  <si>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</si>
  <si>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</si>
  <si>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</si>
  <si>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</si>
  <si>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</si>
  <si>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</si>
  <si>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</si>
  <si>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</si>
  <si>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</si>
  <si>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</si>
  <si>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</si>
  <si>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</si>
  <si>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</si>
  <si>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</si>
  <si>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</si>
  <si>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</si>
  <si>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</si>
  <si>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</si>
  <si>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</si>
  <si>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</si>
  <si>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</si>
  <si>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</si>
  <si>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</si>
  <si>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</si>
  <si>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</si>
  <si>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</si>
  <si>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</si>
  <si>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</si>
  <si>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</si>
  <si>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</si>
  <si>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</si>
  <si>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</si>
  <si>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</si>
  <si>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</si>
  <si>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</si>
  <si>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</si>
  <si>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</si>
  <si>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</si>
  <si>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</si>
  <si>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</si>
  <si>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</si>
  <si>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</si>
  <si>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</si>
  <si>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</si>
  <si>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</si>
  <si>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</si>
  <si>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</si>
  <si>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</si>
  <si>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</si>
  <si>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</si>
  <si>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</si>
  <si>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</si>
  <si>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</si>
  <si>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</si>
  <si>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</si>
  <si>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</si>
  <si>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</si>
  <si>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</si>
  <si>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</si>
  <si>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</si>
  <si>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</si>
  <si>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</si>
  <si>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</si>
  <si>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</si>
  <si>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</si>
  <si>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</si>
  <si>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</si>
  <si>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</si>
  <si>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</si>
  <si>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</si>
  <si>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</si>
  <si>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</si>
  <si>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</si>
  <si>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</si>
  <si>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</si>
  <si>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</si>
  <si>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</si>
  <si>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</si>
  <si>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</si>
  <si>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</si>
  <si>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</si>
  <si>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</si>
  <si>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</si>
  <si>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</si>
  <si>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</si>
  <si>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</si>
  <si>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</si>
  <si>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</si>
  <si>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</si>
  <si>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</si>
  <si>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</si>
  <si>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</si>
  <si>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</si>
  <si>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</si>
  <si>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</si>
  <si>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</si>
  <si>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</si>
  <si>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</si>
  <si>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</si>
  <si>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</si>
  <si>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</si>
  <si>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</si>
  <si>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</si>
  <si>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</si>
  <si>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</si>
  <si>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</si>
  <si>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</si>
  <si>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</si>
  <si>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</si>
  <si>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</si>
  <si>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</si>
  <si>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</si>
  <si>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</si>
  <si>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</si>
  <si>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</si>
  <si>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</si>
  <si>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</si>
  <si>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</si>
  <si>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</si>
  <si>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</si>
  <si>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</si>
  <si>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</si>
  <si>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</si>
  <si>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</si>
  <si>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</si>
  <si>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</si>
  <si>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</si>
  <si>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</si>
  <si>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</si>
  <si>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</si>
  <si>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</si>
  <si>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</si>
  <si>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</si>
  <si>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</si>
  <si>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</si>
  <si>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</si>
  <si>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</si>
  <si>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</si>
  <si>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</si>
  <si>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</si>
  <si>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</si>
  <si>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</si>
  <si>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</si>
  <si>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</si>
  <si>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</si>
  <si>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</si>
  <si>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</si>
  <si>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</si>
  <si>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</si>
  <si>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</si>
  <si>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</si>
  <si>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</si>
  <si>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</si>
  <si>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</si>
  <si>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</si>
  <si>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</si>
  <si>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</si>
  <si>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</si>
  <si>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</si>
  <si>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</si>
  <si>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</si>
  <si>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</si>
  <si>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</si>
  <si>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</si>
  <si>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</si>
  <si>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</si>
  <si>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</si>
  <si>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</si>
  <si>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</si>
  <si>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</si>
  <si>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</si>
  <si>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</si>
  <si>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</si>
  <si>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</si>
  <si>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</si>
  <si>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</si>
  <si>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</si>
  <si>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</si>
  <si>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</si>
  <si>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</si>
  <si>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</si>
  <si>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</si>
  <si>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</si>
  <si>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</si>
  <si>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</si>
  <si>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</si>
  <si>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</si>
  <si>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</si>
  <si>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</si>
  <si>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</si>
  <si>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</si>
  <si>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</si>
  <si>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</si>
  <si>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</si>
  <si>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</si>
  <si>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</si>
  <si>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</si>
  <si>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</si>
  <si>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</si>
  <si>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</si>
  <si>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</si>
  <si>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</si>
  <si>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</si>
  <si>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</si>
  <si>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</si>
  <si>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</si>
  <si>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</si>
  <si>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</si>
  <si>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</si>
  <si>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</si>
  <si>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</si>
  <si>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</si>
  <si>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</si>
  <si>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</si>
  <si>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</si>
  <si>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</si>
  <si>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</si>
  <si>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</si>
  <si>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</si>
  <si>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</si>
  <si>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</si>
  <si>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</si>
  <si>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</si>
  <si>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</si>
  <si>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</si>
  <si>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</si>
  <si>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</si>
  <si>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</si>
  <si>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</si>
  <si>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</si>
  <si>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</si>
  <si>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</si>
  <si>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</si>
  <si>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</si>
  <si>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</si>
  <si>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</si>
  <si>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</si>
  <si>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</si>
  <si>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</si>
  <si>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</si>
  <si>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</si>
  <si>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</si>
  <si>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</si>
  <si>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</si>
  <si>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</si>
  <si>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</si>
  <si>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</si>
  <si>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</si>
  <si>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</si>
  <si>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</si>
  <si>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</si>
  <si>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</si>
  <si>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</si>
  <si>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</si>
  <si>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</si>
  <si>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</si>
  <si>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</si>
  <si>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</si>
  <si>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</si>
  <si>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</si>
  <si>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</si>
  <si>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</si>
  <si>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</si>
  <si>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</si>
  <si>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</si>
  <si>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</si>
  <si>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</si>
  <si>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</si>
  <si>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</si>
  <si>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</si>
  <si>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</si>
  <si>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</si>
  <si>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</si>
  <si>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</si>
  <si>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</si>
  <si>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</si>
  <si>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</si>
  <si>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</si>
  <si>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</si>
  <si>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</si>
  <si>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</si>
  <si>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</si>
  <si>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</si>
  <si>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</si>
  <si>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</si>
  <si>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</si>
  <si>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</si>
  <si>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</si>
  <si>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</si>
  <si>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</si>
  <si>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</si>
  <si>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</si>
  <si>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</si>
  <si>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</si>
  <si>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</si>
  <si>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</si>
  <si>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</si>
  <si>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</si>
  <si>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</si>
  <si>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</si>
  <si>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</si>
  <si>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</si>
  <si>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</si>
  <si>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</si>
  <si>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</si>
  <si>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</si>
  <si>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</si>
  <si>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</si>
  <si>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</si>
  <si>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</si>
  <si>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</si>
  <si>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</si>
  <si>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</si>
  <si>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</si>
  <si>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</si>
  <si>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</si>
  <si>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</si>
  <si>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</si>
  <si>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</si>
  <si>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</si>
  <si>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</si>
  <si>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</si>
  <si>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</si>
  <si>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</si>
  <si>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</si>
  <si>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</si>
  <si>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</si>
  <si>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</si>
  <si>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</si>
  <si>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</si>
  <si>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</si>
  <si>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</si>
  <si>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</si>
  <si>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</si>
  <si>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</si>
  <si>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</si>
  <si>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</si>
  <si>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</si>
  <si>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</si>
  <si>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</si>
  <si>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</si>
  <si>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</si>
  <si>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</si>
  <si>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</si>
  <si>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</si>
  <si>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</si>
  <si>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</si>
  <si>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</si>
  <si>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</si>
  <si>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</si>
  <si>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</si>
  <si>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</si>
  <si>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</si>
  <si>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</si>
  <si>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</si>
  <si>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</si>
  <si>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</si>
  <si>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</si>
  <si>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</si>
  <si>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</si>
  <si>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</si>
  <si>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</si>
  <si>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</si>
  <si>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</si>
  <si>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</si>
  <si>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</si>
  <si>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</si>
  <si>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</si>
  <si>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</si>
  <si>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</si>
  <si>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</si>
  <si>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</si>
  <si>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</si>
  <si>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</si>
  <si>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</si>
  <si>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</si>
  <si>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</si>
  <si>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</si>
  <si>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</si>
  <si>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</si>
  <si>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</si>
  <si>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</si>
  <si>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</si>
  <si>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</si>
  <si>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</si>
  <si>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</si>
  <si>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</si>
  <si>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</si>
  <si>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</si>
  <si>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</si>
  <si>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</si>
  <si>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</si>
  <si>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</si>
  <si>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</si>
  <si>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</si>
  <si>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</si>
  <si>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</si>
  <si>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</si>
  <si>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</si>
  <si>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</si>
  <si>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</si>
  <si>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</si>
  <si>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</si>
  <si>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</si>
  <si>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</si>
  <si>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</si>
  <si>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</si>
  <si>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</si>
  <si>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</si>
  <si>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</si>
  <si>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</si>
  <si>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</si>
  <si>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</si>
  <si>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</si>
  <si>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</si>
  <si>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</si>
  <si>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</si>
  <si>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</si>
  <si>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</si>
  <si>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</si>
  <si>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</si>
  <si>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</si>
  <si>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</si>
  <si>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</si>
  <si>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</si>
  <si>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</si>
  <si>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</si>
  <si>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</si>
  <si>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</si>
  <si>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</si>
  <si>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</si>
  <si>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</si>
  <si>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</si>
  <si>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</si>
  <si>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</si>
  <si>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</si>
  <si>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</si>
  <si>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</si>
  <si>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</si>
  <si>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</si>
  <si>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</si>
  <si>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</si>
  <si>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</si>
  <si>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</si>
  <si>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</si>
  <si>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</si>
  <si>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</si>
  <si>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</si>
  <si>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</si>
  <si>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</si>
  <si>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</si>
  <si>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</si>
  <si>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</si>
  <si>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</si>
  <si>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</si>
  <si>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</si>
  <si>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</si>
  <si>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</si>
  <si>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</si>
  <si>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</si>
  <si>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</si>
  <si>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</si>
  <si>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</si>
  <si>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</si>
  <si>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</si>
  <si>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</si>
  <si>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</si>
  <si>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</si>
  <si>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</si>
  <si>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</si>
  <si>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</si>
  <si>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</si>
  <si>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</si>
  <si>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</si>
  <si>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</si>
  <si>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</si>
  <si>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</si>
  <si>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</si>
  <si>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</si>
  <si>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</si>
  <si>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</si>
  <si>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</si>
  <si>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</si>
  <si>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</si>
  <si>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</si>
  <si>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</si>
  <si>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</si>
  <si>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</si>
  <si>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</si>
  <si>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</si>
  <si>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</si>
  <si>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</si>
  <si>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</si>
  <si>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</si>
  <si>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</si>
  <si>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</si>
  <si>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</si>
  <si>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</si>
  <si>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</si>
  <si>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</si>
  <si>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</si>
  <si>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</si>
  <si>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</si>
  <si>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</si>
  <si>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</si>
  <si>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</si>
  <si>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</si>
  <si>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</si>
  <si>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</si>
  <si>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</si>
  <si>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</si>
  <si>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</si>
  <si>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</si>
  <si>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</si>
  <si>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</si>
  <si>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</si>
  <si>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</si>
  <si>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</si>
  <si>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</si>
  <si>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</si>
  <si>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</si>
  <si>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</si>
  <si>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</si>
  <si>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</si>
  <si>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</si>
  <si>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</si>
  <si>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</si>
  <si>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</si>
  <si>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</si>
  <si>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</si>
  <si>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</si>
  <si>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</si>
  <si>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</si>
  <si>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</si>
  <si>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</si>
  <si>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</si>
  <si>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</si>
  <si>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</si>
  <si>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</si>
  <si>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</si>
  <si>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</si>
  <si>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</si>
  <si>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</si>
  <si>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</si>
  <si>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</si>
  <si>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</si>
  <si>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</si>
  <si>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</si>
  <si>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</si>
  <si>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</si>
  <si>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</si>
  <si>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</si>
  <si>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</si>
  <si>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</si>
  <si>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</si>
  <si>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</si>
  <si>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</si>
  <si>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</si>
  <si>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</si>
  <si>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</si>
  <si>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</si>
  <si>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</si>
  <si>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</si>
  <si>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</si>
  <si>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</si>
  <si>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</si>
  <si>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</si>
  <si>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</si>
  <si>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</si>
  <si>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</si>
  <si>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</si>
  <si>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</si>
  <si>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</si>
  <si>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</si>
  <si>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</si>
  <si>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</si>
  <si>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</si>
  <si>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</si>
  <si>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</si>
  <si>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</si>
  <si>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</si>
  <si>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</si>
  <si>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</si>
  <si>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</si>
  <si>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</si>
  <si>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</si>
  <si>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</si>
  <si>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</si>
  <si>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</si>
  <si>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</si>
  <si>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</si>
  <si>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</si>
  <si>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</si>
  <si>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</si>
  <si>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</si>
  <si>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</si>
  <si>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</si>
  <si>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</si>
  <si>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</si>
  <si>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</si>
  <si>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</si>
  <si>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</si>
  <si>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</si>
  <si>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</si>
  <si>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</si>
  <si>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</si>
  <si>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</si>
  <si>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</si>
  <si>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</si>
  <si>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</si>
  <si>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</si>
  <si>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</si>
  <si>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</si>
  <si>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</si>
  <si>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</si>
  <si>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</si>
  <si>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</si>
  <si>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</si>
  <si>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</si>
  <si>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</si>
  <si>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</si>
  <si>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</si>
  <si>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</si>
  <si>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</si>
  <si>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</si>
  <si>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</si>
  <si>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</si>
  <si>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</si>
  <si>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</si>
  <si>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</si>
  <si>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</si>
  <si>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</si>
  <si>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</si>
  <si>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</si>
  <si>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</si>
  <si>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</si>
  <si>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</si>
  <si>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</si>
  <si>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</si>
  <si>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</si>
  <si>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</si>
  <si>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</si>
  <si>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</si>
  <si>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</si>
  <si>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</si>
  <si>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</si>
  <si>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</si>
  <si>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</si>
  <si>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</si>
  <si>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</si>
  <si>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</si>
  <si>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</si>
  <si>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</si>
  <si>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</si>
  <si>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</si>
  <si>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</si>
  <si>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</si>
  <si>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</si>
  <si>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</si>
  <si>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</si>
  <si>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</si>
  <si>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</si>
  <si>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</si>
  <si>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</si>
  <si>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</si>
  <si>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</si>
  <si>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</si>
  <si>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</si>
  <si>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</si>
  <si>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</si>
  <si>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</si>
  <si>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</si>
  <si>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</si>
  <si>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</si>
  <si>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</si>
  <si>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</si>
  <si>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</si>
  <si>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</si>
  <si>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</si>
  <si>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</si>
  <si>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</si>
  <si>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</si>
  <si>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</si>
  <si>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</si>
  <si>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</si>
  <si>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</si>
  <si>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</si>
  <si>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</si>
  <si>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</si>
  <si>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</si>
  <si>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</si>
  <si>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</si>
  <si>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</si>
  <si>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</si>
  <si>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</si>
  <si>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</si>
  <si>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</si>
  <si>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</si>
  <si>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</si>
  <si>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</si>
  <si>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</si>
  <si>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</si>
  <si>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</si>
  <si>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</si>
  <si>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</si>
  <si>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欧红伟</t>
  </si>
  <si>
    <t>崔锴</t>
  </si>
  <si>
    <t>抵押</t>
  </si>
  <si>
    <t>抵押价格</t>
  </si>
  <si>
    <t>企业</t>
  </si>
  <si>
    <t>R2二类居住用地</t>
  </si>
  <si>
    <t>R2二类居住用地</t>
    <phoneticPr fontId="6" type="noConversion"/>
  </si>
  <si>
    <t>住宅</t>
    <phoneticPr fontId="6" type="noConversion"/>
  </si>
  <si>
    <t>《国有建设用地使用权出让合同》[]及附件、《北京市规划委员会关于同意XX项目的规划设计方案的规划意见复函》[]以及《建设工程规划许可证》[]</t>
    <phoneticPr fontId="6" type="noConversion"/>
  </si>
  <si>
    <t>一致</t>
  </si>
  <si>
    <t>符合</t>
  </si>
  <si>
    <t>出让</t>
  </si>
  <si>
    <t>否</t>
  </si>
  <si>
    <t>居住项目</t>
  </si>
  <si>
    <t>低密度住宅</t>
  </si>
  <si>
    <t>场地平整</t>
  </si>
  <si>
    <t>平整</t>
  </si>
  <si>
    <t>通路</t>
  </si>
  <si>
    <t>通电</t>
  </si>
  <si>
    <t>通讯</t>
  </si>
  <si>
    <t>通上水</t>
  </si>
  <si>
    <t>通下水</t>
  </si>
  <si>
    <t>地上</t>
  </si>
  <si>
    <t>地下</t>
  </si>
  <si>
    <t>仓储</t>
  </si>
  <si>
    <t>戊类库房</t>
  </si>
  <si>
    <t>车库</t>
  </si>
  <si>
    <t>地下仓储</t>
  </si>
  <si>
    <t>商业</t>
  </si>
  <si>
    <t>住宅</t>
    <phoneticPr fontId="7" type="noConversion"/>
  </si>
  <si>
    <t>地下库房</t>
  </si>
  <si>
    <t>地下库房</t>
    <phoneticPr fontId="7" type="noConversion"/>
  </si>
  <si>
    <t>地下车库</t>
    <phoneticPr fontId="7" type="noConversion"/>
  </si>
  <si>
    <t>不动产收益法-住宅</t>
    <phoneticPr fontId="14" type="noConversion"/>
  </si>
  <si>
    <t>不动产收益法-库房</t>
  </si>
  <si>
    <t>不动产收益法-库房</t>
    <phoneticPr fontId="14" type="noConversion"/>
  </si>
  <si>
    <t>不动产收益法-车库</t>
  </si>
  <si>
    <t>不动产收益法-车库</t>
    <phoneticPr fontId="14" type="noConversion"/>
  </si>
  <si>
    <t>土地（套用方法）</t>
  </si>
  <si>
    <t>押一</t>
  </si>
  <si>
    <t>钢混</t>
  </si>
  <si>
    <t>自定义</t>
  </si>
  <si>
    <t>已全部缴纳</t>
  </si>
  <si>
    <t>均价</t>
    <phoneticPr fontId="15"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</si>
  <si>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</si>
  <si>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</si>
  <si>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</si>
  <si>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</si>
  <si>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</si>
  <si>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</si>
  <si>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</si>
  <si>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</si>
  <si>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</si>
  <si>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</si>
  <si>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</si>
  <si>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</si>
  <si>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</si>
  <si>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</si>
  <si>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</si>
  <si>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</si>
  <si>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</si>
  <si>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</si>
  <si>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</si>
  <si>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</si>
  <si>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</si>
  <si>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</si>
  <si>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</si>
  <si>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</si>
  <si>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</si>
  <si>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</si>
  <si>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</si>
  <si>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</si>
  <si>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</si>
  <si>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</si>
  <si>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</si>
  <si>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</si>
  <si>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</si>
  <si>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</si>
  <si>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</si>
  <si>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</si>
  <si>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</si>
  <si>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</si>
  <si>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</si>
  <si>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</si>
  <si>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</si>
  <si>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</si>
  <si>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</si>
  <si>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北京市海淀区“海淀北部地区整体开发”翠湖科技园HD00-0303-6022地块R2二类居住用地</t>
  </si>
  <si>
    <t>住宅用地</t>
  </si>
  <si>
    <t>海淀区</t>
  </si>
  <si>
    <t>海淀区温泉镇</t>
  </si>
  <si>
    <t>挂牌</t>
  </si>
  <si>
    <t>京土整储挂(海)[2017]100号</t>
  </si>
  <si>
    <t>≤30%</t>
  </si>
  <si>
    <t>≤30</t>
  </si>
  <si>
    <t>限地价,限房价,竞自持,报高标准商品住宅建设方案,90/70</t>
  </si>
  <si>
    <t>限地价,限房价,90/70</t>
  </si>
  <si>
    <t>未开工</t>
  </si>
  <si>
    <t>2017-12-08</t>
  </si>
  <si>
    <t>2017-12-28</t>
  </si>
  <si>
    <t>2018-01-12</t>
  </si>
  <si>
    <t>已成交</t>
  </si>
  <si>
    <t>中国葛洲坝集团房地产开发有限公司</t>
  </si>
  <si>
    <t>居住70年、商业40年、办公50年</t>
  </si>
  <si>
    <t>北京市海淀区苏州街站一体化棚户区改造项目前期工作及拟改造土地使用权</t>
  </si>
  <si>
    <t>北京市海淀区海淀南路12号院,海淀区中关村西区苏州街和海淀南路交界处东南角</t>
  </si>
  <si>
    <t>招标</t>
  </si>
  <si>
    <t>京土棚改招(海)[2017]001号</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</si>
  <si>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</si>
  <si>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</si>
  <si>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</si>
  <si>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</si>
  <si>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综合用地(含住宅)</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</si>
  <si>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</si>
  <si>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</si>
  <si>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</si>
  <si>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</si>
  <si>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</si>
  <si>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</si>
  <si>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</si>
  <si>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</si>
  <si>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北京市海淀区&amp;quot;海淀北部地区整体开发”西北旺镇亮甲店村HD00-0404-6005、6006地块R2二类居住用地</t>
  </si>
  <si>
    <t>京土整储挂(海)[2017]078号</t>
  </si>
  <si>
    <t>≤36</t>
  </si>
  <si>
    <t>居住建筑规模全部建设“共有产权住房”</t>
  </si>
  <si>
    <t>限房价,含自住房/共有产权住房</t>
  </si>
  <si>
    <t>2017-09-30</t>
  </si>
  <si>
    <t>2017-10-20</t>
  </si>
  <si>
    <t>2017-11-03</t>
  </si>
  <si>
    <t>中铁置业集团北京有限公司和北京建工地产有限责任公司联合体</t>
  </si>
  <si>
    <t>北京市海淀区四道口地区I地块F1住宅混合公建用地</t>
  </si>
  <si>
    <t>海淀区四道口</t>
  </si>
  <si>
    <t>京土整储挂(海)[2017]067号</t>
  </si>
  <si>
    <t>F1住宅混合公建用地</t>
  </si>
  <si>
    <t>≤60</t>
  </si>
  <si>
    <t>限地价,限房价,竞自持,90/70</t>
  </si>
  <si>
    <t>2017-09-01</t>
  </si>
  <si>
    <t>2017-09-21</t>
  </si>
  <si>
    <t>2017-10-11</t>
  </si>
  <si>
    <t>北京天恒正同资产管理有限公司</t>
  </si>
  <si>
    <t>海淀区“海淀北部地区整体开发”翠湖科技园HD00-0303-6009、6010地块R2二类居住用地</t>
  </si>
  <si>
    <t>京土整储挂(海)[2017]055号</t>
  </si>
  <si>
    <t>6009:1.5;6010:1.8</t>
  </si>
  <si>
    <t>6009:≤24;6010≤30</t>
  </si>
  <si>
    <t>2017-06-30</t>
  </si>
  <si>
    <t>2017-07-25</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</si>
  <si>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</si>
  <si>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</si>
  <si>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</si>
  <si>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</si>
  <si>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</si>
  <si>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6019:≤36;6020≤30</t>
  </si>
  <si>
    <t>定向安置房,</t>
  </si>
  <si>
    <t>限地价,限房价,竞自持,报高标准商品住宅建设方案,90/70,含保障房用地</t>
  </si>
  <si>
    <t>限地价,限房价,竞自持,90/70,含保障房用地</t>
  </si>
  <si>
    <t>北京万翰企业管理有限公司和深圳安创投资管理有限公司联合体</t>
  </si>
  <si>
    <t>海淀区“海淀北部地区整体开发”永丰产业基地(新)HD00-0401-0062、0166、0158地块</t>
  </si>
  <si>
    <t>海淀区西北旺镇</t>
  </si>
  <si>
    <t>京土整储挂(海)[2016]018号</t>
  </si>
  <si>
    <t>限地价,限房价,竞自持,报高标准商品住宅建设方案</t>
  </si>
  <si>
    <t>开工中</t>
  </si>
  <si>
    <t>2016-09-29</t>
  </si>
  <si>
    <t>2016-11-02</t>
  </si>
  <si>
    <t>2016-12-01</t>
  </si>
  <si>
    <t>北京万科企业有限公司</t>
  </si>
  <si>
    <t>海淀区“海淀北部地区整体开发”永丰产业基地(新)HD00-0401-0132、0120、0162地块</t>
  </si>
  <si>
    <t>京土整储挂(海)[2016]019号</t>
  </si>
  <si>
    <t>R2二类居住用地、B11零售商业用地</t>
  </si>
  <si>
    <t>北京万科企业有限公司和北京金第房地产开发有限责任公司联合体</t>
  </si>
  <si>
    <t>海淀区“海淀北部地区整体开发”永丰产业基地(新)HD00-0401-0093、0097、0099、0108地块</t>
  </si>
  <si>
    <t>京土整储挂(海)[2016]020号</t>
  </si>
  <si>
    <t>限地价,限房价,竞自持</t>
  </si>
  <si>
    <t>2016-11-17</t>
  </si>
  <si>
    <t>中粮地产(北京)有限公司、北京中瑞凯华投资管理有限公司、北京天恒乐活城置业有限公司联合体</t>
  </si>
  <si>
    <t>海淀区“海淀北部地区整体开发”永丰产业基地(新)HD00-0401-0146地块</t>
  </si>
  <si>
    <t>京土整储挂(海)[2016]017号</t>
  </si>
  <si>
    <t>公共租赁房,</t>
  </si>
  <si>
    <t>除公共租赁住房外,居住剩余建筑规模全部建设自住型商品住房,销售限价35000元/平方米(含全装修成本)。</t>
  </si>
  <si>
    <t>2016-10-19</t>
  </si>
  <si>
    <t>中铁置业集团北京有限公司</t>
  </si>
  <si>
    <t>海淀北部地区整体开发中关村永丰产业基地HD-0402-0030地块</t>
  </si>
  <si>
    <t>海淀北部地区整体开发范围,海淀区西北旺镇</t>
  </si>
  <si>
    <t>京土整储挂(海)[2015]014号</t>
  </si>
  <si>
    <t>现场竞报自住型商品住房面积60500平方米,销售限价为22500元/平方米。</t>
  </si>
  <si>
    <t>已完工</t>
  </si>
  <si>
    <t>2015-03-23</t>
  </si>
  <si>
    <t>2015-04-13</t>
  </si>
  <si>
    <t>2015-04-27</t>
  </si>
  <si>
    <t>北京郎园置业有限公司</t>
  </si>
  <si>
    <t>住宅70年、商业40年、综合50年</t>
  </si>
  <si>
    <r>
      <t>R2</t>
    </r>
    <r>
      <rPr>
        <sz val="11"/>
        <rFont val="宋体"/>
        <family val="3"/>
        <charset val="134"/>
      </rPr>
      <t>二类居住用地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</si>
  <si>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</si>
  <si>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估价对象周边居住用地比例较少、有颐风庄园、大牛坊社区等居住项目，综合评价居住社区成熟度一般</t>
    <phoneticPr fontId="3" type="noConversion"/>
  </si>
  <si>
    <t>一般</t>
  </si>
  <si>
    <t>楼面地价</t>
  </si>
  <si>
    <t>周边路网密集，行车出入便捷，且项目及周边道路均设有停车场位，停车便捷。周边1公里范围内有438路、365路、449路、570路等多条公交线路及地铁16号线永丰站，公交便捷度较好。</t>
    <phoneticPr fontId="3" type="noConversion"/>
  </si>
  <si>
    <t>较好</t>
  </si>
  <si>
    <t>有部分有其他用地，对本宗地略有影响</t>
    <phoneticPr fontId="21" type="noConversion"/>
  </si>
  <si>
    <t>有部分有其他用地，对本宗地略有影响</t>
    <phoneticPr fontId="26" type="noConversion"/>
  </si>
  <si>
    <t>区域自然环境：无；人文环境有北京北大资源研修学院、；综合评价环境状况一般</t>
    <phoneticPr fontId="3" type="noConversion"/>
  </si>
  <si>
    <t>区域自然环境：百望山森林公园；人文环境有北京理工大学西山实验区、；综合评价环境状况较好</t>
    <phoneticPr fontId="26" type="noConversion"/>
  </si>
  <si>
    <t>区域自然环境：东埠头沟公园；人文环境有北京行政学院二分院、；综合评价环境状况较好</t>
    <phoneticPr fontId="26" type="noConversion"/>
  </si>
  <si>
    <t>周边2公里内的公共服务配套设施齐备，有购物场所（华联超市）、医院（无）、银行（工商银行、北京农商银行）、学校（海淀科技园小学）、餐饮等公共服务配套设施。</t>
    <phoneticPr fontId="3" type="noConversion"/>
  </si>
  <si>
    <r>
      <rPr>
        <sz val="11"/>
        <rFont val="宋体"/>
        <family val="3"/>
        <charset val="134"/>
      </rPr>
      <t>周边</t>
    </r>
    <r>
      <rPr>
        <sz val="11"/>
        <rFont val="Arial"/>
        <family val="2"/>
      </rPr>
      <t>2</t>
    </r>
    <r>
      <rPr>
        <sz val="11"/>
        <rFont val="宋体"/>
        <family val="3"/>
        <charset val="134"/>
      </rPr>
      <t>公里内的公共服务配套设施齐备，有购物场所（超市发超市）、医院（北京航空材料研究院职工医院）、银行（中信银行、北京农商银行）、学校（温泉第二中学、温泉中心小学）、餐饮等公共服务配套设施。</t>
    </r>
    <phoneticPr fontId="26" type="noConversion"/>
  </si>
  <si>
    <r>
      <rPr>
        <sz val="11"/>
        <rFont val="宋体"/>
        <family val="3"/>
        <charset val="134"/>
      </rPr>
      <t>周边</t>
    </r>
    <r>
      <rPr>
        <sz val="11"/>
        <rFont val="Arial"/>
        <family val="2"/>
      </rPr>
      <t>2</t>
    </r>
    <r>
      <rPr>
        <sz val="11"/>
        <rFont val="宋体"/>
        <family val="3"/>
        <charset val="134"/>
      </rPr>
      <t>公里内的公共服务配套设施齐备，有购物场所（安泰购物中心）、医院（无）、银行（工商银行银行北京农商银行）、学校（永丰中心小学）、餐饮等公共服务配套设施。</t>
    </r>
    <phoneticPr fontId="26" type="noConversion"/>
  </si>
  <si>
    <t>七通</t>
  </si>
  <si>
    <t>双面临街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</si>
  <si>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</si>
  <si>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</si>
  <si>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</si>
  <si>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</si>
  <si>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</si>
  <si>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</si>
  <si>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宗地形状规则</t>
  </si>
  <si>
    <t>宗地形状较规则</t>
  </si>
  <si>
    <t>宗地形状不规则，对宗地利用有影响</t>
  </si>
  <si>
    <t>宗地形状极其不规则，对宗地利用影响很大</t>
  </si>
  <si>
    <t>临街宽度及深度比例适宜，利于土地利用</t>
    <phoneticPr fontId="26" type="noConversion"/>
  </si>
  <si>
    <t>临街宽度及深度比例较适宜，对土地利用无不利影响</t>
  </si>
  <si>
    <t>临街宽度及深度比例较适宜，对土地利用无不利影响</t>
    <phoneticPr fontId="26" type="noConversion"/>
  </si>
  <si>
    <t>临街宽度及深度比例一般，对土地利用影响不大</t>
    <phoneticPr fontId="26" type="noConversion"/>
  </si>
  <si>
    <t>临街宽度及深度比例较不适宜，对土地利用有一定的影响</t>
    <phoneticPr fontId="26" type="noConversion"/>
  </si>
  <si>
    <t>临街宽度及深度比例不适宜，影响土地利用</t>
    <phoneticPr fontId="26" type="noConversion"/>
  </si>
  <si>
    <t>五通</t>
  </si>
  <si>
    <t>自持商品房比例</t>
    <phoneticPr fontId="26" type="noConversion"/>
  </si>
  <si>
    <t>项目全部</t>
  </si>
  <si>
    <t>土地</t>
  </si>
  <si>
    <t>剩余法-待开发</t>
  </si>
  <si>
    <t>比较法-住宅、综合</t>
  </si>
  <si>
    <t>是否限价</t>
    <phoneticPr fontId="26" type="noConversion"/>
  </si>
  <si>
    <t>是</t>
    <phoneticPr fontId="26" type="noConversion"/>
  </si>
  <si>
    <t>每套面积</t>
    <phoneticPr fontId="3" type="noConversion"/>
  </si>
  <si>
    <t>2018-1-0242-P01DYGJ1</t>
    <phoneticPr fontId="6" type="noConversion"/>
  </si>
  <si>
    <t>农业银行</t>
    <phoneticPr fontId="6" type="noConversion"/>
  </si>
  <si>
    <t>普通住宅</t>
  </si>
  <si>
    <t>底商</t>
  </si>
  <si>
    <t>商业</t>
    <phoneticPr fontId="7" type="noConversion"/>
  </si>
  <si>
    <t>不动产收益法-商业</t>
  </si>
  <si>
    <t>北京市朝阳区豆各庄乡水牛坊村1306-635地块R2二类居住用地、1306-636地块A8社区综合服务用地</t>
  </si>
  <si>
    <t>朝阳区</t>
  </si>
  <si>
    <t>朝阳区豆各庄乡</t>
  </si>
  <si>
    <t>京土整储挂(朝)[2017]105号</t>
  </si>
  <si>
    <t>R2二类居住用地、A8社区综合服务用地</t>
  </si>
  <si>
    <t>出让宗地居住建筑规模全部用于建设“共有产权住房”,销售价格36000元/平方米(含全装修费用)</t>
  </si>
  <si>
    <t>2017-12-22</t>
  </si>
  <si>
    <t>2018-01-11</t>
  </si>
  <si>
    <t>2018-01-25</t>
  </si>
  <si>
    <t>中铁房地产集团北方有限公司</t>
  </si>
  <si>
    <t>北京市朝阳孙河乡北甸西村2902-14地块R2二类居住用地</t>
  </si>
  <si>
    <t>京土整储挂(朝)[2017]102号</t>
  </si>
  <si>
    <t>≤18</t>
  </si>
  <si>
    <t>限地价,限房价</t>
  </si>
  <si>
    <t>2017-12-14</t>
  </si>
  <si>
    <t>2018-01-03</t>
  </si>
  <si>
    <t>2018-01-17</t>
  </si>
  <si>
    <t>北京乐优富拓投资有限公司和北京燕都水郡房地产开发有限公司联合体</t>
  </si>
  <si>
    <t>北京市朝阳区孙河乡北甸西村、北甸东村、西甸村2902-46地块R2二类居住用地</t>
  </si>
  <si>
    <t>朝阳区孙河乡</t>
  </si>
  <si>
    <t>京土整储挂(朝)[2017]096号</t>
  </si>
  <si>
    <t>≤12</t>
  </si>
  <si>
    <t>2017-11-30</t>
  </si>
  <si>
    <t>2017-12-20</t>
  </si>
  <si>
    <t>2018-01-04</t>
  </si>
  <si>
    <t>北京中瑞凯华投资管理有限公司和北京德俊置业有限公司联合体</t>
  </si>
  <si>
    <t>北京市朝阳区豆各庄乡马家湾村1306-606地块R2二类居住用地</t>
  </si>
  <si>
    <t>京土整储挂(朝)[2017]090号</t>
  </si>
  <si>
    <t>≤24</t>
  </si>
  <si>
    <t>2017-11-10</t>
  </si>
  <si>
    <t>中铁房地产集团北方有限公司(中铁建)</t>
  </si>
  <si>
    <t>北京市朝阳区东坝乡驹子房村1109-663地块R2二类居住用地</t>
  </si>
  <si>
    <t>朝阳区东坝乡</t>
  </si>
  <si>
    <t>京土整储挂(朝)[2017]077号</t>
  </si>
  <si>
    <t>居住建筑规模全部用于建设“共有产权住房”</t>
  </si>
  <si>
    <t>天恒+旭辉+首开+房地</t>
  </si>
  <si>
    <t>北京市朝阳区孙河乡北甸西村、西甸村2902-29地块R2二类居住用地、2902-17地块A8社区综合服务设施用地、2902-15地块A334托幼用地</t>
  </si>
  <si>
    <t>京土整储挂(朝)[2017]061号</t>
  </si>
  <si>
    <t>2017-08-04</t>
  </si>
  <si>
    <t>2017-08-24</t>
  </si>
  <si>
    <t>2017-09-07</t>
  </si>
  <si>
    <t>张家口鸿运房地产开发有限公司</t>
  </si>
  <si>
    <t>朝阳区孙河乡西甸村2902-86地块</t>
  </si>
  <si>
    <t>朝阳区孙河乡西甸村</t>
  </si>
  <si>
    <t>京土整储挂(朝)[2017]029号</t>
  </si>
  <si>
    <t>2017-03-26</t>
  </si>
  <si>
    <t>2017-04-18</t>
  </si>
  <si>
    <t>2017-05-03</t>
  </si>
  <si>
    <t>中粮地产(北京)有限公司、北京天恒正同资产管理有限公司和北京辉广企业管理有限公司联合体</t>
  </si>
  <si>
    <t>居住70年商业40年办公50年</t>
  </si>
  <si>
    <t>朝阳区管庄乡</t>
  </si>
  <si>
    <t>京土整储挂(朝)[2017]023号</t>
  </si>
  <si>
    <t>居住建筑规模全部为自住型商品房,销售限价29000元/平方米</t>
  </si>
  <si>
    <t>2017-03-22</t>
  </si>
  <si>
    <t>2017-04-11</t>
  </si>
  <si>
    <t>2017-04-25</t>
  </si>
  <si>
    <t>北京世纪鸿城置业有限公司</t>
  </si>
  <si>
    <t>朝阳区东风乡豆各庄村0311-610等地块(东风乡农民安置房项目)</t>
  </si>
  <si>
    <t>朝阳区东风乡豆各庄村</t>
  </si>
  <si>
    <t>京土整储挂(朝)[2016]028号</t>
  </si>
  <si>
    <t>R2二类居住用地、A33基础教育用地</t>
  </si>
  <si>
    <t>2016-11-24</t>
  </si>
  <si>
    <t>2016-12-14</t>
  </si>
  <si>
    <t>2016-12-28</t>
  </si>
  <si>
    <t>北京星火房地产开发有限责任公司</t>
  </si>
  <si>
    <t>朝阳区将台乡驼房营村1016-34、36、40、41地块</t>
  </si>
  <si>
    <t>朝阳区将台乡驼房营村</t>
  </si>
  <si>
    <t>京土整储挂(朝)[2015]080号</t>
  </si>
  <si>
    <t>F2公建混合住宅用地、A33基础教育用地、R2二类居住用地、U12供电用地</t>
  </si>
  <si>
    <t>2015-12-31</t>
  </si>
  <si>
    <t>2016-01-20</t>
  </si>
  <si>
    <t>2016-02-03</t>
  </si>
  <si>
    <t>致昌(北京)企业管理有限公司、杭州臻美投资有限公司和中交地产有限公司联合体</t>
  </si>
  <si>
    <t>朝阳区常营乡1201-602、603地块</t>
  </si>
  <si>
    <t>朝阳区常营乡</t>
  </si>
  <si>
    <t>京土整储挂(朝)[2015]049号</t>
  </si>
  <si>
    <t>限价房,</t>
  </si>
  <si>
    <t>现场竞报“自住型商品住房”面积36000平方米,销售限价为22000元/平方米。</t>
  </si>
  <si>
    <t>2015-10-09</t>
  </si>
  <si>
    <t>2015-10-29</t>
  </si>
  <si>
    <t>2015-11-12</t>
  </si>
  <si>
    <t>北京世博宏业房地产开发有限公司和北京首都开发股份有限公司联合体</t>
  </si>
  <si>
    <t>朝阳区孙河乡西甸村2902-L01、2902-L02地块</t>
  </si>
  <si>
    <t>京土整储挂(朝)[2015]031号</t>
  </si>
  <si>
    <t>A61机构养老设施用地、R2二类居住用地</t>
  </si>
  <si>
    <t>2015-08-05</t>
  </si>
  <si>
    <t>2015-08-25</t>
  </si>
  <si>
    <t>2015-09-09</t>
  </si>
  <si>
    <t>北京懋源房屋开发有限公司和北京懋源宏展投资管理中心(有限合伙)联合体</t>
  </si>
  <si>
    <t>住宅70年、商业40年、办公50年</t>
  </si>
  <si>
    <t>朝阳区东坝南区1106-657地块住宅混合公建用地</t>
  </si>
  <si>
    <t>朝阳区东坝乡东风村</t>
  </si>
  <si>
    <t>京土整储挂(朝)[2015]030号</t>
  </si>
  <si>
    <t>2015-08-03</t>
  </si>
  <si>
    <t>2015-08-24</t>
  </si>
  <si>
    <t>2015-09-08</t>
  </si>
  <si>
    <t>北京保利营房地产开发有限公司、北京首都开发股份有限公司和北京龙湖中佰置业有限公司联合体</t>
  </si>
  <si>
    <t>朝阳区孙河乡北甸西村2902-18、2902-19、2902-27地块</t>
  </si>
  <si>
    <t>朝阳区孙河乡北甸西村</t>
  </si>
  <si>
    <t>京土整储挂(朝)[2015]029号</t>
  </si>
  <si>
    <t>F1住宅混合公建用地、R2二类居住用地、R22社区配套服务设施</t>
  </si>
  <si>
    <t>2015-07-30</t>
  </si>
  <si>
    <t>2015-08-19</t>
  </si>
  <si>
    <t>2015-09-02</t>
  </si>
  <si>
    <t>北京保利营房地产开发有限公司和北京首都开发股份有限公司联合体</t>
  </si>
  <si>
    <t>海淀区西北旺镇</t>
    <phoneticPr fontId="3" type="noConversion"/>
  </si>
  <si>
    <t>朝阳区豆各庄乡</t>
    <phoneticPr fontId="3" type="noConversion"/>
  </si>
  <si>
    <t>朝阳区东坝乡</t>
    <phoneticPr fontId="3" type="noConversion"/>
  </si>
  <si>
    <t>朝阳区管庄乡</t>
    <phoneticPr fontId="3" type="noConversion"/>
  </si>
  <si>
    <t>F1住宅混合公建用地</t>
    <phoneticPr fontId="233" type="noConversion"/>
  </si>
  <si>
    <r>
      <t>F1</t>
    </r>
    <r>
      <rPr>
        <sz val="11"/>
        <rFont val="宋体"/>
        <family val="3"/>
        <charset val="134"/>
      </rPr>
      <t>住宅混合公建用地</t>
    </r>
    <phoneticPr fontId="26" type="noConversion"/>
  </si>
  <si>
    <t>R2二类居住用地、A8社区综合服务设施用地、A334托幼用地</t>
    <phoneticPr fontId="233" type="noConversion"/>
  </si>
  <si>
    <r>
      <t>R2</t>
    </r>
    <r>
      <rPr>
        <sz val="11"/>
        <rFont val="宋体"/>
        <family val="3"/>
        <charset val="134"/>
      </rPr>
      <t>二类居住用地、</t>
    </r>
    <r>
      <rPr>
        <sz val="11"/>
        <rFont val="Arial"/>
        <family val="2"/>
      </rPr>
      <t>A8</t>
    </r>
    <r>
      <rPr>
        <sz val="11"/>
        <rFont val="宋体"/>
        <family val="3"/>
        <charset val="134"/>
      </rPr>
      <t>社区综合服务设施用地、</t>
    </r>
    <r>
      <rPr>
        <sz val="11"/>
        <rFont val="Arial"/>
        <family val="2"/>
      </rPr>
      <t>A334</t>
    </r>
    <r>
      <rPr>
        <sz val="11"/>
        <rFont val="宋体"/>
        <family val="3"/>
        <charset val="134"/>
      </rPr>
      <t>托幼用地</t>
    </r>
    <phoneticPr fontId="26" type="noConversion"/>
  </si>
  <si>
    <r>
      <t>68.77</t>
    </r>
    <r>
      <rPr>
        <sz val="11"/>
        <color rgb="FFFF0000"/>
        <rFont val="宋体"/>
        <family val="3"/>
        <charset val="134"/>
      </rPr>
      <t>、</t>
    </r>
    <r>
      <rPr>
        <sz val="11"/>
        <color rgb="FFFF0000"/>
        <rFont val="Arial"/>
        <family val="2"/>
      </rPr>
      <t>48.76</t>
    </r>
    <r>
      <rPr>
        <sz val="11"/>
        <color rgb="FFFF0000"/>
        <rFont val="宋体"/>
        <family val="3"/>
        <charset val="134"/>
      </rPr>
      <t>、</t>
    </r>
    <r>
      <rPr>
        <sz val="11"/>
        <color rgb="FFFF0000"/>
        <rFont val="Arial"/>
        <family val="2"/>
      </rPr>
      <t>38.75</t>
    </r>
    <phoneticPr fontId="26" type="noConversion"/>
  </si>
  <si>
    <t>居住全部为共有产权住房</t>
    <phoneticPr fontId="26" type="noConversion"/>
  </si>
  <si>
    <t>居住全部为自住型商品房</t>
    <phoneticPr fontId="26" type="noConversion"/>
  </si>
  <si>
    <t>六通</t>
  </si>
  <si>
    <t>多面临街</t>
  </si>
  <si>
    <t>海淀区“海淀北部地区整体开发”西北旺镇亮甲店村HD00-0404-6006地块R2二类居住用地</t>
    <phoneticPr fontId="6" type="noConversion"/>
  </si>
  <si>
    <t>《不动产权证书》[京（2017）海不动产权第号]</t>
    <phoneticPr fontId="6" type="noConversion"/>
  </si>
  <si>
    <t>售价</t>
  </si>
  <si>
    <t>西北旺项目</t>
    <phoneticPr fontId="3" type="noConversion"/>
  </si>
  <si>
    <t>五矿万科。如园</t>
    <phoneticPr fontId="3" type="noConversion"/>
  </si>
  <si>
    <t>北京城建。世华龙樾</t>
    <phoneticPr fontId="3" type="noConversion"/>
  </si>
  <si>
    <t>海淀区</t>
    <phoneticPr fontId="3" type="noConversion"/>
  </si>
  <si>
    <t>车库</t>
    <phoneticPr fontId="3" type="noConversion"/>
  </si>
  <si>
    <t>40-50（含）</t>
  </si>
  <si>
    <t>好</t>
  </si>
  <si>
    <t>写字楼</t>
    <phoneticPr fontId="3" type="noConversion"/>
  </si>
  <si>
    <t>商业</t>
    <phoneticPr fontId="3" type="noConversion"/>
  </si>
  <si>
    <t>地下</t>
    <phoneticPr fontId="3" type="noConversion"/>
  </si>
  <si>
    <t>是</t>
    <phoneticPr fontId="3" type="noConversion"/>
  </si>
  <si>
    <t>否</t>
    <phoneticPr fontId="3" type="noConversion"/>
  </si>
  <si>
    <t>平面车位</t>
    <phoneticPr fontId="3" type="noConversion"/>
  </si>
  <si>
    <t>立体车位</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</si>
  <si>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</si>
  <si>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</si>
  <si>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</si>
  <si>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</si>
  <si>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</si>
  <si>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</si>
  <si>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</si>
  <si>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</si>
  <si>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</si>
  <si>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精装修</t>
  </si>
  <si>
    <t>平面车位</t>
  </si>
  <si>
    <t>北京建邦中铁房地产开发有限公司</t>
    <phoneticPr fontId="6" type="noConversion"/>
  </si>
  <si>
    <t>《不动产权证书》[京（2018）海不动产权第0000091号]</t>
    <phoneticPr fontId="3" type="noConversion"/>
  </si>
  <si>
    <t>2#</t>
    <phoneticPr fontId="3" type="noConversion"/>
  </si>
  <si>
    <t>4#</t>
  </si>
  <si>
    <t>5#</t>
  </si>
  <si>
    <t>6#</t>
  </si>
  <si>
    <t>7#</t>
  </si>
  <si>
    <t>8#</t>
  </si>
  <si>
    <t>2018规土（海）建字0023、27号</t>
    <phoneticPr fontId="3" type="noConversion"/>
  </si>
  <si>
    <t>3#</t>
    <phoneticPr fontId="3" type="noConversion"/>
  </si>
  <si>
    <t>1#</t>
    <phoneticPr fontId="3" type="noConversion"/>
  </si>
  <si>
    <t>9#</t>
  </si>
  <si>
    <t>10#</t>
  </si>
  <si>
    <t>11#</t>
  </si>
  <si>
    <t>12#</t>
  </si>
  <si>
    <t>车库</t>
    <phoneticPr fontId="3" type="noConversion"/>
  </si>
  <si>
    <t>人防</t>
    <phoneticPr fontId="3" type="noConversion"/>
  </si>
  <si>
    <t>按租金收入计税</t>
  </si>
  <si>
    <t>华润·萬橡府</t>
    <phoneticPr fontId="3" type="noConversion"/>
  </si>
  <si>
    <t>朝阳区管庄乡塔营村1208-605地块</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</si>
</sst>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33" fillId="8" borderId="0" xfId="0" applyFont="1" applyFill="1" applyAlignment="1" applyProtection="1">
      <alignment horizontal="left"/>
      <protection locked="0"/>
    </xf>
    <xf numFmtId="185" fontId="76" fillId="8" borderId="0" xfId="0" applyNumberFormat="1" applyFont="1" applyFill="1" applyAlignment="1" applyProtection="1">
      <alignment horizontal="left"/>
      <protection locked="0"/>
    </xf>
    <xf numFmtId="0" fontId="76" fillId="8" borderId="0" xfId="0" applyFont="1" applyFill="1" applyAlignment="1" applyProtection="1">
      <alignment horizontal="left"/>
      <protection locked="0"/>
    </xf>
    <xf numFmtId="0" fontId="164" fillId="0" borderId="2" xfId="0" applyFont="1" applyBorder="1" applyAlignment="1"/>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lignment vertical="center" wrapText="1"/>
    </xf>
    <xf numFmtId="0" fontId="196" fillId="0" borderId="154" xfId="0" applyFont="1" applyBorder="1" applyAlignment="1">
      <alignment vertical="center" wrapText="1"/>
    </xf>
    <xf numFmtId="0" fontId="144" fillId="0"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protection locked="0"/>
    </xf>
    <xf numFmtId="9" fontId="149" fillId="0" borderId="11" xfId="0" applyNumberFormat="1" applyFont="1" applyFill="1" applyBorder="1" applyAlignment="1" applyProtection="1">
      <alignment horizontal="center" vertical="center" wrapText="1"/>
      <protection locked="0"/>
    </xf>
    <xf numFmtId="0" fontId="149" fillId="5" borderId="12" xfId="0" applyNumberFormat="1" applyFont="1" applyFill="1" applyBorder="1" applyAlignment="1" applyProtection="1">
      <alignment horizontal="center" vertical="center" wrapText="1"/>
    </xf>
    <xf numFmtId="0" fontId="149" fillId="0" borderId="11" xfId="0" applyNumberFormat="1" applyFont="1" applyFill="1" applyBorder="1" applyAlignment="1" applyProtection="1">
      <alignment horizontal="center" vertical="center" wrapText="1"/>
      <protection locked="0"/>
    </xf>
    <xf numFmtId="9" fontId="149" fillId="0" borderId="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0" fontId="81" fillId="0" borderId="0" xfId="0" applyFont="1" applyAlignment="1" applyProtection="1">
      <alignment vertical="center" wrapText="1"/>
      <protection locked="0"/>
    </xf>
    <xf numFmtId="180" fontId="71" fillId="0" borderId="2" xfId="0" applyNumberFormat="1" applyFont="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184" fontId="188" fillId="0" borderId="2" xfId="0" applyNumberFormat="1" applyFont="1" applyFill="1" applyBorder="1" applyAlignment="1" applyProtection="1">
      <alignment horizontal="center" vertical="center" shrinkToFit="1"/>
      <protection locked="0"/>
    </xf>
    <xf numFmtId="177" fontId="11" fillId="0" borderId="2"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58" fillId="6" borderId="2" xfId="0" applyFont="1" applyFill="1" applyBorder="1" applyAlignment="1"/>
    <xf numFmtId="0" fontId="170" fillId="6" borderId="2" xfId="0" applyFont="1" applyFill="1" applyBorder="1" applyAlignment="1"/>
    <xf numFmtId="0" fontId="164" fillId="0" borderId="2" xfId="0" applyFont="1" applyFill="1" applyBorder="1" applyAlignment="1"/>
    <xf numFmtId="0" fontId="156" fillId="0" borderId="30" xfId="0" applyFont="1" applyFill="1" applyBorder="1" applyAlignment="1" applyProtection="1">
      <alignment vertical="center" wrapText="1"/>
      <protection locked="0"/>
    </xf>
    <xf numFmtId="0" fontId="156" fillId="0" borderId="59" xfId="0" applyFont="1" applyFill="1" applyBorder="1" applyAlignment="1" applyProtection="1">
      <alignment vertical="center" wrapText="1"/>
      <protection locked="0"/>
    </xf>
    <xf numFmtId="0" fontId="153" fillId="0" borderId="20" xfId="0" applyNumberFormat="1" applyFont="1" applyFill="1" applyBorder="1" applyAlignment="1" applyProtection="1">
      <alignment horizontal="center" vertical="center" wrapText="1"/>
      <protection locked="0"/>
    </xf>
    <xf numFmtId="182" fontId="85" fillId="0" borderId="25" xfId="0"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53" fillId="6" borderId="59" xfId="0" applyNumberFormat="1" applyFont="1" applyFill="1" applyBorder="1" applyAlignment="1" applyProtection="1">
      <alignment horizontal="center" vertical="center" wrapText="1"/>
      <protection locked="0"/>
    </xf>
    <xf numFmtId="0" fontId="277" fillId="0" borderId="2" xfId="0"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60" fillId="0" borderId="11" xfId="0" applyNumberFormat="1"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8</xdr:col>
      <xdr:colOff>379906</xdr:colOff>
      <xdr:row>63</xdr:row>
      <xdr:rowOff>27800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124325"/>
          <a:ext cx="8752381" cy="6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2656</v>
      </c>
      <c r="B1" s="2915" t="s">
        <v>2753</v>
      </c>
    </row>
    <row r="2" spans="1:55" s="2919" customFormat="1" ht="15" thickTop="1">
      <c r="A2" s="2917" t="s">
        <v>2660</v>
      </c>
      <c r="B2" s="2918" t="str">
        <f>'预评函-封皮'!B37</f>
        <v>北京市海淀区“海淀北部地区整体开发”西北旺镇亮甲店村HD00-0404-6006地块R2二类居住用地出让国有建设用地使用权抵押价格预评估</v>
      </c>
      <c r="AX2" s="2920"/>
      <c r="AZ2" s="2920"/>
      <c r="BA2" s="2921"/>
      <c r="BC2" s="2921"/>
    </row>
    <row r="3" spans="1:55" s="2922" customFormat="1">
      <c r="A3" s="2901" t="s">
        <v>2661</v>
      </c>
      <c r="B3" s="2904" t="str">
        <f>'预评函-封皮'!B40</f>
        <v>北京建邦中铁房地产开发有限公司</v>
      </c>
    </row>
    <row r="4" spans="1:55" s="2903" customFormat="1">
      <c r="A4" s="2901" t="s">
        <v>2662</v>
      </c>
      <c r="B4" s="2902" t="str">
        <f>'预评函-封皮'!B46</f>
        <v>欧红伟、崔锴</v>
      </c>
      <c r="N4" s="2903" t="str">
        <f>'预评函-1'!A28</f>
        <v/>
      </c>
    </row>
    <row r="5" spans="1:55" s="2916" customFormat="1" ht="15" thickBot="1">
      <c r="A5" s="2923" t="s">
        <v>2663</v>
      </c>
      <c r="B5" s="2924" t="str">
        <f>'预评函-封皮'!B49</f>
        <v>康正预评字2018-1-0242-P01DYGJ1号</v>
      </c>
    </row>
    <row r="6" spans="1:55" s="2925" customFormat="1" ht="15" thickTop="1">
      <c r="A6" s="2917" t="s">
        <v>2705</v>
      </c>
      <c r="B6" s="2918" t="str">
        <f>'预评函-1'!A4</f>
        <v>受贵公司委托，我公司对北京市海淀区“海淀北部地区整体开发”西北旺镇亮甲店村HD00-0404-6006地块R2二类居住用地出让国有建设用地使用权抵押价格进行了预评估。</v>
      </c>
      <c r="AM6" s="2926"/>
    </row>
    <row r="7" spans="1:55" s="2900" customFormat="1">
      <c r="A7" s="2901" t="s">
        <v>2657</v>
      </c>
      <c r="B7" s="2902" t="str">
        <f>'预评函-1'!A6</f>
        <v>估价对象为北京建邦中铁房地产开发有限公司使用的、位于北京市海淀区“海淀北部地区整体开发”西北旺镇亮甲店村HD00-0404-6006地块R2二类居住用地出让国有建设用地使用权。根据《国有土地使用证》[]，估价对象（分摊）出让国有建设用地使用权面积为41849.37平方米。根据《建设工程规划许可证》[]、《出让合同》[]，估价对象规划建筑面积为152440.46平方米。</v>
      </c>
    </row>
    <row r="8" spans="1:55" s="2900" customFormat="1">
      <c r="A8" s="2901" t="s">
        <v>2658</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2708</v>
      </c>
      <c r="B9" s="2902"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2659</v>
      </c>
      <c r="B10" s="2902" t="str">
        <f>'预评函-1'!A11</f>
        <v>2018年9月5日（评估专业人员勘察现场之日）</v>
      </c>
    </row>
    <row r="11" spans="1:55" s="2900" customFormat="1">
      <c r="A11" s="2901" t="s">
        <v>2665</v>
      </c>
      <c r="B11" s="2902" t="str">
        <f>'预评函-1'!A14</f>
        <v>根据《不动产权证书》[京（2017）海不动产权第号]，本次评估估价对象证载（地类）用途为R2二类居住用地。</v>
      </c>
    </row>
    <row r="12" spans="1:55" s="2900" customFormat="1">
      <c r="A12" s="2901" t="s">
        <v>2666</v>
      </c>
      <c r="B12" s="2902" t="str">
        <f>'预评函-1'!A15</f>
        <v>本次评估设定用途即为证载用途住宅。</v>
      </c>
    </row>
    <row r="13" spans="1:55" s="2900" customFormat="1">
      <c r="A13" s="2901" t="s">
        <v>2667</v>
      </c>
      <c r="B13" s="2902" t="str">
        <f>'预评函-1'!A17</f>
        <v>根据委托估价方介绍及评估专业人员现场勘查，本次评估估价对象实际土地开发程度为红线外市政基础设施达“七通”（即通路、通电、通讯、通上水、通下水、、）、宗地红线内场地平整。</v>
      </c>
    </row>
    <row r="14" spans="1:55" s="2900" customFormat="1">
      <c r="A14" s="2901" t="s">
        <v>2668</v>
      </c>
      <c r="B14" s="2902" t="str">
        <f>'预评函-1'!A18</f>
        <v>本次评估设定土地开发程度为红线外市政基础设施达“七通”、宗地红线内场地平整。</v>
      </c>
    </row>
    <row r="15" spans="1:55" s="2900" customFormat="1">
      <c r="A15" s="2901" t="s">
        <v>2664</v>
      </c>
      <c r="B15" s="2902" t="str">
        <f>'预评函-1'!A20</f>
        <v>根据《国有土地使用证》[]，估价对象（分摊）出让国有建设用地使用权面积为41849.37平方米。根据《建设工程规划许可证》[]、《出让合同》[]，估价对象规划建筑面积为152440.46平方米。</v>
      </c>
    </row>
    <row r="16" spans="1:55" s="2900" customFormat="1">
      <c r="A16" s="2901" t="s">
        <v>2669</v>
      </c>
      <c r="B16" s="2902" t="str">
        <f>'预评函-1'!A22</f>
        <v>本次估价对象为出让国有建设用地使用权，《不动产权证书》[京（2017）海不动产权第号]证载土地终止日期为住宅2087年12月17日、商业2057年12月17日地下车库2067年12月17日、地下仓储2067年12月17日。截至估价期日，出让国有建设用地使用权剩余土地使用年限为。</v>
      </c>
    </row>
    <row r="17" spans="1:48" s="2900" customFormat="1">
      <c r="A17" s="2901" t="s">
        <v>2670</v>
      </c>
      <c r="B17" s="2902" t="str">
        <f>'预评函-1'!A23</f>
        <v>本次评估设定估价对象剩余土地使用年限为。</v>
      </c>
    </row>
    <row r="18" spans="1:48" s="2900" customFormat="1">
      <c r="A18" s="2901" t="s">
        <v>2671</v>
      </c>
      <c r="B18" s="2902" t="str">
        <f>'预评函-1'!A25</f>
        <v>本次估价的“出让国有建设用地使用权价格”是指在估价对象土地所有权为国家所有，使用权性质为出让，在公开市场条件下、于估价期日2018年9月5日，在规划利用条件下、设定土地开发程度为红线外“七通”、宗地内场地平整，设定用途为住宅，剩余土地使用年限为的出让国有建设用地使用权价格。</v>
      </c>
    </row>
    <row r="19" spans="1:48" s="2900" customFormat="1">
      <c r="A19" s="2901" t="s">
        <v>2672</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2673</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2674</v>
      </c>
      <c r="B21" s="2924" t="str">
        <f>'预评函-1'!A28</f>
        <v/>
      </c>
    </row>
    <row r="22" spans="1:48" ht="15" thickTop="1">
      <c r="A22" s="2912" t="s">
        <v>2675</v>
      </c>
      <c r="B22" s="291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1" t="s">
        <v>2676</v>
      </c>
      <c r="B23" s="2902" t="str">
        <f>'预评函-2'!K2</f>
        <v>估价期日：2018年9月5日</v>
      </c>
    </row>
    <row r="24" spans="1:48">
      <c r="A24" s="2901" t="s">
        <v>2677</v>
      </c>
      <c r="B24" s="2902" t="str">
        <f>'预评函-2'!R2</f>
        <v>估价期日的国有建设用地使用权性质：出让</v>
      </c>
    </row>
    <row r="25" spans="1:48">
      <c r="A25" s="2901" t="s">
        <v>2733</v>
      </c>
      <c r="B25" s="2902" t="str">
        <f>'预评函-2'!A3</f>
        <v>估价期日土地使用者</v>
      </c>
    </row>
    <row r="26" spans="1:48">
      <c r="A26" s="2901" t="s">
        <v>2709</v>
      </c>
      <c r="B26" s="2902" t="str">
        <f>'预评函-2'!A5</f>
        <v>中信开发</v>
      </c>
    </row>
    <row r="27" spans="1:48">
      <c r="A27" s="2901" t="s">
        <v>2734</v>
      </c>
      <c r="B27" s="2902" t="str">
        <f>'预评函-2'!B3</f>
        <v>宗地编号/不动产单元号</v>
      </c>
    </row>
    <row r="28" spans="1:48">
      <c r="A28" s="2901" t="s">
        <v>2710</v>
      </c>
      <c r="B28" s="2902" t="str">
        <f>'预评函-2'!B5</f>
        <v>11111111111</v>
      </c>
    </row>
    <row r="29" spans="1:48">
      <c r="A29" s="2901" t="s">
        <v>2736</v>
      </c>
      <c r="B29" s="2902">
        <f>'预评函-2'!C5</f>
        <v>22</v>
      </c>
    </row>
    <row r="30" spans="1:48">
      <c r="A30" s="2901" t="s">
        <v>2737</v>
      </c>
      <c r="B30" s="2902" t="str">
        <f>'预评函-2'!D3</f>
        <v>土地使用证编号/不动产权证书编号</v>
      </c>
    </row>
    <row r="31" spans="1:48">
      <c r="A31" s="2901" t="s">
        <v>2711</v>
      </c>
      <c r="B31" s="2902" t="str">
        <f>'预评函-2'!D5</f>
        <v>京国土字第111号</v>
      </c>
    </row>
    <row r="32" spans="1:48">
      <c r="A32" s="2901" t="s">
        <v>2712</v>
      </c>
      <c r="B32" s="2902" t="str">
        <f>'预评函-2'!E5</f>
        <v>R2二类居住用地</v>
      </c>
      <c r="AV32" s="2906"/>
    </row>
    <row r="33" spans="1:2">
      <c r="A33" s="2901" t="s">
        <v>2713</v>
      </c>
      <c r="B33" s="2902">
        <f>'预评函-2'!F5</f>
        <v>258</v>
      </c>
    </row>
    <row r="34" spans="1:2">
      <c r="A34" s="2901" t="s">
        <v>2714</v>
      </c>
      <c r="B34" s="2902" t="str">
        <f>'预评函-2'!G5</f>
        <v>住宅</v>
      </c>
    </row>
    <row r="35" spans="1:2">
      <c r="A35" s="2901" t="s">
        <v>2715</v>
      </c>
      <c r="B35" s="2902">
        <f>'预评函-2'!H5</f>
        <v>1.5</v>
      </c>
    </row>
    <row r="36" spans="1:2">
      <c r="A36" s="2901" t="s">
        <v>2716</v>
      </c>
      <c r="B36" s="2902">
        <f>'预评函-2'!I5</f>
        <v>1.5</v>
      </c>
    </row>
    <row r="37" spans="1:2">
      <c r="A37" s="2901" t="s">
        <v>2717</v>
      </c>
      <c r="B37" s="2902">
        <f>'预评函-2'!J5</f>
        <v>1.5</v>
      </c>
    </row>
    <row r="38" spans="1:2">
      <c r="A38" s="2901" t="s">
        <v>2718</v>
      </c>
      <c r="B38" s="2902" t="str">
        <f>'预评函-2'!K5</f>
        <v>红线外七通、宗地红线内场地平整</v>
      </c>
    </row>
    <row r="39" spans="1:2">
      <c r="A39" s="2901" t="s">
        <v>2719</v>
      </c>
      <c r="B39" s="2902" t="str">
        <f>'预评函-2'!L5</f>
        <v>红线外七通、宗地红线内场地平整</v>
      </c>
    </row>
    <row r="40" spans="1:2">
      <c r="A40" s="2901" t="s">
        <v>2738</v>
      </c>
      <c r="B40" s="2902" t="str">
        <f>'预评函-2'!M3</f>
        <v>（剩余）土地使用年限/年</v>
      </c>
    </row>
    <row r="41" spans="1:2">
      <c r="A41" s="2901" t="s">
        <v>2720</v>
      </c>
      <c r="B41" s="2902">
        <f>'预评函-2'!M5</f>
        <v>0</v>
      </c>
    </row>
    <row r="42" spans="1:2">
      <c r="A42" s="2901" t="s">
        <v>2739</v>
      </c>
      <c r="B42" s="2902" t="str">
        <f>'预评函-2'!N3</f>
        <v>（分摊）出让国有建设用地使用权面积/㎡</v>
      </c>
    </row>
    <row r="43" spans="1:2">
      <c r="A43" s="2901" t="s">
        <v>2721</v>
      </c>
      <c r="B43" s="2902">
        <f>'预评函-2'!N5</f>
        <v>41849.370000000003</v>
      </c>
    </row>
    <row r="44" spans="1:2">
      <c r="A44" s="2901" t="s">
        <v>2740</v>
      </c>
      <c r="B44" s="2902" t="str">
        <f>'预评函-2'!O3</f>
        <v>规划建筑面积/㎡</v>
      </c>
    </row>
    <row r="45" spans="1:2">
      <c r="A45" s="2901" t="s">
        <v>2722</v>
      </c>
      <c r="B45" s="2902">
        <f>'预评函-2'!O5</f>
        <v>152440.46</v>
      </c>
    </row>
    <row r="46" spans="1:2">
      <c r="A46" s="2901" t="s">
        <v>2723</v>
      </c>
      <c r="B46" s="2902">
        <f ca="1">'预评函-2'!P5</f>
        <v>77080</v>
      </c>
    </row>
    <row r="47" spans="1:2">
      <c r="A47" s="2901" t="s">
        <v>2724</v>
      </c>
      <c r="B47" s="2902">
        <f ca="1">'预评函-2'!Q5</f>
        <v>21161</v>
      </c>
    </row>
    <row r="48" spans="1:2">
      <c r="A48" s="2901" t="s">
        <v>2725</v>
      </c>
      <c r="B48" s="2902">
        <f ca="1">'预评函-2'!R5</f>
        <v>322575</v>
      </c>
    </row>
    <row r="49" spans="1:2">
      <c r="A49" s="2901" t="s">
        <v>2741</v>
      </c>
      <c r="B49" s="2902" t="str">
        <f>'预评函-2'!A6</f>
        <v>抵押价格</v>
      </c>
    </row>
    <row r="50" spans="1:2">
      <c r="A50" s="2901" t="s">
        <v>2726</v>
      </c>
      <c r="B50" s="2902">
        <f ca="1">'预评函-2'!R6</f>
        <v>322575</v>
      </c>
    </row>
    <row r="51" spans="1:2">
      <c r="A51" s="2901" t="s">
        <v>2742</v>
      </c>
      <c r="B51" s="2902" t="str">
        <f>'预评函-2'!A7</f>
        <v>——</v>
      </c>
    </row>
    <row r="52" spans="1:2">
      <c r="A52" s="2901" t="s">
        <v>2727</v>
      </c>
      <c r="B52" s="2902" t="str">
        <f>'预评函-2'!R7</f>
        <v>——</v>
      </c>
    </row>
    <row r="53" spans="1:2">
      <c r="A53" s="2901" t="s">
        <v>2743</v>
      </c>
      <c r="B53" s="2902" t="str">
        <f>'预评函-2'!A8</f>
        <v>——</v>
      </c>
    </row>
    <row r="54" spans="1:2" s="2916" customFormat="1" ht="15" thickBot="1">
      <c r="A54" s="2923" t="s">
        <v>2728</v>
      </c>
      <c r="B54" s="2924" t="str">
        <f>'预评函-2'!R8</f>
        <v>——</v>
      </c>
    </row>
    <row r="55" spans="1:2" ht="15" thickTop="1">
      <c r="A55" s="2912" t="s">
        <v>2678</v>
      </c>
      <c r="B55" s="2913" t="str">
        <f>'预评函-3'!A2</f>
        <v>1.权利限制：根据估价对象《不动产权证书》复印件、《不动产权证书》复印件，截至估价期日，估价对象抵押权未见登记。未设定租赁等其他他项权利。</v>
      </c>
    </row>
    <row r="56" spans="1:2">
      <c r="A56" s="2901" t="s">
        <v>2679</v>
      </c>
      <c r="B56" s="2902" t="str">
        <f>'预评函-3'!A3</f>
        <v>2.基础设施条件：估价对象实际开发程度为红线外七通、宗地红线内场地平整；本次评估设定开发程度为红线外七通、宗地红线内场地平整。</v>
      </c>
    </row>
    <row r="57" spans="1:2">
      <c r="A57" s="2901" t="s">
        <v>2680</v>
      </c>
      <c r="B57" s="2902" t="str">
        <f>'预评函-3'!A4</f>
        <v>3.估价规划限制条件：详见《建设工程规划许可证》[]、《出让合同》[]。</v>
      </c>
    </row>
    <row r="58" spans="1:2" s="2916" customFormat="1" ht="15" thickBot="1">
      <c r="A58" s="2923" t="s">
        <v>2729</v>
      </c>
      <c r="B58" s="2924" t="str">
        <f>'预评函-3'!A5</f>
        <v>4.影响价格的其他限定条件：无。</v>
      </c>
    </row>
    <row r="59" spans="1:2" ht="15" thickTop="1">
      <c r="A59" s="2912" t="s">
        <v>2681</v>
      </c>
      <c r="B59" s="2913" t="str">
        <f>'预评函-3'!A8</f>
        <v>2.本《评估意见函》仅供金融机构进行内部审核使用，不做其他目的之用。</v>
      </c>
    </row>
    <row r="60" spans="1:2">
      <c r="A60" s="2901" t="s">
        <v>2682</v>
      </c>
      <c r="B60" s="2902" t="str">
        <f>'预评函-3'!A9</f>
        <v>3.抵押双方在办理抵押登记手续时，应使用本公司出具的正式《土地估价报告》，特提请报告使用者注意。</v>
      </c>
    </row>
    <row r="61" spans="1:2">
      <c r="A61" s="2901" t="s">
        <v>2684</v>
      </c>
      <c r="B61" s="2902" t="str">
        <f>'预评函-3'!A10</f>
        <v>4.估价师所知悉的法定优先受偿款情况为：</v>
      </c>
    </row>
    <row r="62" spans="1:2">
      <c r="A62" s="2901" t="s">
        <v>2683</v>
      </c>
      <c r="B62" s="2902" t="str">
        <f>'预评函-3'!A11</f>
        <v>（1）根据估价对象《不动产权证书》复印件、《不动产权证书》复印件，截至估价期日，估价对象抵押权未见登记。</v>
      </c>
    </row>
    <row r="63" spans="1:2">
      <c r="A63" s="2901" t="s">
        <v>2685</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2686</v>
      </c>
      <c r="B64" s="2907" t="str">
        <f>'预评函-3'!A13</f>
        <v>（3）。</v>
      </c>
    </row>
    <row r="65" spans="1:2">
      <c r="A65" s="2901" t="s">
        <v>2687</v>
      </c>
      <c r="B65" s="2908" t="str">
        <f>'预评函-3'!A14</f>
        <v>综上，本次评估不存在估价师知悉的法定优先受偿款</v>
      </c>
    </row>
    <row r="66" spans="1:2">
      <c r="A66" s="2901" t="s">
        <v>2688</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2689</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2692</v>
      </c>
      <c r="B68" s="2927">
        <f>'预评函-3'!D30</f>
        <v>42558</v>
      </c>
    </row>
    <row r="69" spans="1:2" ht="15" thickTop="1">
      <c r="A69" s="2912" t="s">
        <v>2690</v>
      </c>
      <c r="B69" s="2913" t="str">
        <f>'预评函-3'!A20</f>
        <v>欧红伟</v>
      </c>
    </row>
    <row r="70" spans="1:2">
      <c r="A70" s="2901" t="s">
        <v>2690</v>
      </c>
      <c r="B70" s="2908">
        <f ca="1">'预评函-3'!B20</f>
        <v>2000110082</v>
      </c>
    </row>
    <row r="71" spans="1:2">
      <c r="A71" s="2901" t="s">
        <v>2691</v>
      </c>
      <c r="B71" s="2902" t="str">
        <f>'预评函-3'!A21</f>
        <v>崔锴</v>
      </c>
    </row>
    <row r="72" spans="1:2" s="2916" customFormat="1" ht="15" thickBot="1">
      <c r="A72" s="2923" t="s">
        <v>2691</v>
      </c>
      <c r="B72" s="2929">
        <f ca="1">'预评函-3'!B21</f>
        <v>2010110070</v>
      </c>
    </row>
    <row r="73" spans="1:2" ht="15" thickTop="1">
      <c r="A73" s="2912" t="s">
        <v>2750</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2751</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2752</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2787</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18" sqref="H18"/>
    </sheetView>
  </sheetViews>
  <sheetFormatPr defaultColWidth="10" defaultRowHeight="14.25"/>
  <cols>
    <col min="1" max="1" width="15.375" style="1689" customWidth="1"/>
    <col min="2" max="2" width="11.375" style="1689" customWidth="1"/>
    <col min="3" max="3" width="12.625" style="1689" customWidth="1"/>
    <col min="4" max="4" width="13" style="1689" customWidth="1"/>
    <col min="5" max="5" width="12.5" style="1689" customWidth="1"/>
    <col min="6" max="6" width="11.375" style="1689" customWidth="1"/>
    <col min="7" max="7" width="12.375" style="1689" customWidth="1"/>
    <col min="8" max="8" width="11.75"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71" t="str">
        <f>IF(B10="北京市","北京市",C10)&amp;F10&amp;B16&amp;"国有建设用地使用权"&amp;B9&amp;"预评估"</f>
        <v>北京市海淀区“海淀北部地区整体开发”西北旺镇亮甲店村HD00-0404-6006地块R2二类居住用地出让国有建设用地使用权抵押价格预评估</v>
      </c>
      <c r="C1" s="3272"/>
      <c r="D1" s="3272"/>
      <c r="E1" s="3272"/>
      <c r="F1" s="3272"/>
      <c r="G1" s="3272"/>
      <c r="H1" s="3272"/>
      <c r="I1" s="3273"/>
      <c r="J1" s="1692"/>
      <c r="K1" s="2478" t="str">
        <f>IF(B10="北京市","北京市",C10)&amp;F10&amp;B16&amp;"国有建设用地使用权"&amp;B9</f>
        <v>北京市海淀区“海淀北部地区整体开发”西北旺镇亮甲店村HD00-0404-6006地块R2二类居住用地出让国有建设用地使用权抵押价格</v>
      </c>
      <c r="L1" s="1721"/>
      <c r="M1" s="1721"/>
      <c r="N1" s="1692"/>
      <c r="O1" s="1693"/>
      <c r="P1" s="1692"/>
      <c r="Q1" s="1692"/>
      <c r="R1" s="1692"/>
      <c r="S1" s="1692"/>
      <c r="T1" s="1692"/>
      <c r="U1" s="1692"/>
    </row>
    <row r="2" spans="1:21">
      <c r="A2" s="1658" t="s">
        <v>1940</v>
      </c>
      <c r="B2" s="1840" t="s">
        <v>3210</v>
      </c>
      <c r="D2" s="1692"/>
      <c r="E2" s="1692"/>
      <c r="F2" s="1692"/>
      <c r="G2" s="1692"/>
      <c r="H2" s="1658"/>
      <c r="I2" s="1693"/>
      <c r="J2" s="1692"/>
      <c r="K2" s="2478" t="str">
        <f>IF(B10="北京市","北京市",C10)&amp;F10&amp;B16&amp;"国有建设用地使用权"</f>
        <v>北京市海淀区“海淀北部地区整体开发”西北旺镇亮甲店村HD00-0404-6006地块R2二类居住用地出让国有建设用地使用权</v>
      </c>
      <c r="L2" s="1721"/>
      <c r="M2" s="1721"/>
      <c r="N2" s="1692"/>
      <c r="O2" s="1693"/>
      <c r="P2" s="1692"/>
      <c r="Q2" s="1692"/>
      <c r="R2" s="1692"/>
      <c r="S2" s="1692"/>
      <c r="T2" s="1692"/>
      <c r="U2" s="1692"/>
    </row>
    <row r="3" spans="1:21">
      <c r="A3" s="1659" t="s">
        <v>1941</v>
      </c>
      <c r="B3" s="1660">
        <v>43348</v>
      </c>
      <c r="C3" s="1661" t="s">
        <v>1995</v>
      </c>
      <c r="D3" s="1660">
        <f>B3</f>
        <v>43348</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2978</v>
      </c>
      <c r="C4" s="1844">
        <f ca="1">SUMIF(土地估价师,B4,估价师及机构信息!E3:E24)</f>
        <v>2000110082</v>
      </c>
      <c r="D4" s="1841" t="s">
        <v>2979</v>
      </c>
      <c r="E4" s="1844">
        <f ca="1">SUMIF(土地估价师,D4,估价师及机构信息!E3:E24)</f>
        <v>2010110070</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欧红伟、崔锴</v>
      </c>
      <c r="L4" s="1721"/>
      <c r="M4" s="1721"/>
      <c r="N4" s="1692"/>
      <c r="O4" s="1693"/>
      <c r="P4" s="1692"/>
      <c r="Q4" s="1692"/>
      <c r="R4" s="1692"/>
      <c r="S4" s="1692"/>
      <c r="T4" s="1692"/>
      <c r="U4" s="1692"/>
    </row>
    <row r="5" spans="1:21" ht="15" thickTop="1">
      <c r="A5" s="1663" t="s">
        <v>1943</v>
      </c>
      <c r="B5" s="3212" t="s">
        <v>3362</v>
      </c>
      <c r="C5" s="1664"/>
      <c r="D5" s="1665"/>
      <c r="E5" s="1692"/>
      <c r="F5" s="1692"/>
      <c r="G5" s="1692"/>
      <c r="H5" s="1658"/>
      <c r="I5" s="1693"/>
      <c r="J5" s="1692"/>
      <c r="K5" s="1772"/>
      <c r="L5" s="1721"/>
      <c r="M5" s="1721"/>
      <c r="N5" s="1692"/>
      <c r="O5" s="1693"/>
      <c r="P5" s="1692"/>
      <c r="Q5" s="1692"/>
      <c r="R5" s="1692"/>
      <c r="S5" s="1692"/>
      <c r="T5" s="1692"/>
      <c r="U5" s="1692"/>
    </row>
    <row r="6" spans="1:21" ht="26.25">
      <c r="A6" s="1661" t="s">
        <v>2706</v>
      </c>
      <c r="B6" s="1787" t="s">
        <v>3211</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2707</v>
      </c>
      <c r="B7" s="3212" t="str">
        <f>B5</f>
        <v>北京建邦中铁房地产开发有限公司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2980</v>
      </c>
      <c r="C8" s="1669"/>
      <c r="D8" s="3277" t="s">
        <v>1946</v>
      </c>
      <c r="E8" s="1842" t="s">
        <v>2981</v>
      </c>
      <c r="F8" s="1670"/>
      <c r="G8" s="1658"/>
      <c r="H8" s="1658"/>
      <c r="I8" s="1705"/>
      <c r="J8" s="1692"/>
      <c r="K8" s="1772"/>
      <c r="L8" s="1721"/>
      <c r="M8" s="1721"/>
      <c r="N8" s="1692"/>
      <c r="O8" s="1693"/>
      <c r="P8" s="1692"/>
      <c r="Q8" s="1692"/>
      <c r="R8" s="1692"/>
      <c r="S8" s="1692"/>
      <c r="T8" s="1692"/>
      <c r="U8" s="1692"/>
    </row>
    <row r="9" spans="1:21" ht="15" thickBot="1">
      <c r="A9" s="1671" t="s">
        <v>1945</v>
      </c>
      <c r="B9" s="1672" t="s">
        <v>2981</v>
      </c>
      <c r="C9" s="1673"/>
      <c r="D9" s="3278"/>
      <c r="E9" s="1672" t="s">
        <v>951</v>
      </c>
      <c r="F9" s="1745"/>
      <c r="G9" s="1740"/>
      <c r="H9" s="1740"/>
      <c r="I9" s="1741"/>
      <c r="J9" s="1692"/>
      <c r="K9" s="1772"/>
      <c r="L9" s="1721"/>
      <c r="M9" s="1721"/>
      <c r="N9" s="1692"/>
      <c r="O9" s="1693"/>
      <c r="P9" s="1692"/>
      <c r="Q9" s="1692"/>
      <c r="R9" s="1692"/>
      <c r="S9" s="1692"/>
      <c r="T9" s="1692"/>
      <c r="U9" s="1692"/>
    </row>
    <row r="10" spans="1:21" ht="15" thickTop="1">
      <c r="A10" s="1742" t="s">
        <v>1999</v>
      </c>
      <c r="B10" s="1717" t="s">
        <v>1947</v>
      </c>
      <c r="C10" s="1674"/>
      <c r="D10" s="1665"/>
      <c r="E10" s="1675" t="s">
        <v>1948</v>
      </c>
      <c r="F10" s="1676" t="s">
        <v>3334</v>
      </c>
      <c r="G10" s="1743"/>
      <c r="H10" s="1744"/>
      <c r="I10" s="1665"/>
      <c r="J10" s="1692"/>
      <c r="K10" s="1772"/>
      <c r="L10" s="1721"/>
      <c r="M10" s="1721"/>
      <c r="N10" s="1692"/>
      <c r="O10" s="1693"/>
      <c r="P10" s="1692"/>
      <c r="Q10" s="1692"/>
      <c r="R10" s="1692"/>
      <c r="S10" s="1692"/>
      <c r="T10" s="1692"/>
      <c r="U10" s="1692"/>
    </row>
    <row r="11" spans="1:21" ht="42.75">
      <c r="A11" s="1695" t="s">
        <v>2000</v>
      </c>
      <c r="B11" s="1696" t="s">
        <v>2982</v>
      </c>
      <c r="C11" s="1677" t="str">
        <f>B5</f>
        <v>北京建邦中铁房地产开发有限公司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74" t="s">
        <v>2984</v>
      </c>
      <c r="C12" s="3275"/>
      <c r="D12" s="3276"/>
      <c r="E12" s="1697" t="s">
        <v>2061</v>
      </c>
      <c r="F12" s="3292" t="s">
        <v>3335</v>
      </c>
      <c r="G12" s="3293"/>
      <c r="H12" s="3293"/>
      <c r="I12" s="3294"/>
      <c r="J12" s="1692"/>
      <c r="K12" s="1772"/>
      <c r="L12" s="1721"/>
      <c r="M12" s="1721"/>
      <c r="N12" s="1692"/>
      <c r="O12" s="1693"/>
      <c r="P12" s="1692"/>
      <c r="Q12" s="1692"/>
      <c r="R12" s="1692"/>
      <c r="S12" s="1692"/>
      <c r="T12" s="1692"/>
      <c r="U12" s="1692"/>
    </row>
    <row r="13" spans="1:21">
      <c r="A13" s="1685" t="s">
        <v>2059</v>
      </c>
      <c r="B13" s="3274" t="s">
        <v>2985</v>
      </c>
      <c r="C13" s="3275"/>
      <c r="D13" s="3276"/>
      <c r="E13" s="1697" t="s">
        <v>2061</v>
      </c>
      <c r="F13" s="3292" t="s">
        <v>2986</v>
      </c>
      <c r="G13" s="3293"/>
      <c r="H13" s="3293"/>
      <c r="I13" s="3294"/>
      <c r="J13" s="1692"/>
      <c r="K13" s="1772"/>
      <c r="L13" s="1721"/>
      <c r="M13" s="1721"/>
      <c r="N13" s="1692"/>
      <c r="O13" s="1693"/>
      <c r="P13" s="1692"/>
      <c r="Q13" s="1692"/>
      <c r="R13" s="1692"/>
      <c r="S13" s="1692"/>
      <c r="T13" s="1692"/>
      <c r="U13" s="1692"/>
    </row>
    <row r="14" spans="1:21">
      <c r="A14" s="1659" t="s">
        <v>2062</v>
      </c>
      <c r="B14" s="1697"/>
      <c r="C14" s="1843" t="s">
        <v>2987</v>
      </c>
      <c r="D14" s="1731" t="str">
        <f>IF(C14="不一致","是否符合证载地类范围","")</f>
        <v/>
      </c>
      <c r="E14" s="1697"/>
      <c r="F14" s="1788" t="s">
        <v>2988</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2989</v>
      </c>
      <c r="C16" s="1697" t="s">
        <v>1950</v>
      </c>
      <c r="D16" s="2669" t="s">
        <v>1951</v>
      </c>
      <c r="E16" s="1720" t="s">
        <v>3006</v>
      </c>
      <c r="F16" s="1720"/>
      <c r="G16" s="1720" t="s">
        <v>35</v>
      </c>
      <c r="H16" s="1720" t="s">
        <v>3005</v>
      </c>
      <c r="I16" s="1684" t="s">
        <v>1956</v>
      </c>
      <c r="J16" s="1692"/>
      <c r="K16" s="2479" t="str">
        <f>IF(D17="","",D16&amp;TEXT(D17,"yyyy年m月d日;;"))</f>
        <v>住宅2087年12月17日</v>
      </c>
      <c r="L16" s="1697" t="str">
        <f>IF(OR(K16="",M16=""),"","、")</f>
        <v>、</v>
      </c>
      <c r="M16" s="2479" t="str">
        <f>IF(E17="","",E16&amp;TEXT(E17,"yyyy年m月d日;;"))</f>
        <v>商业2057年12月17日</v>
      </c>
      <c r="N16" s="1697" t="str">
        <f>IF(OR(M16="",O16=""),"","、")</f>
        <v/>
      </c>
      <c r="O16" s="2479" t="str">
        <f>IF(F17="","",F16&amp;TEXT(F17,"yyyy年m月d日;;"))</f>
        <v/>
      </c>
      <c r="P16" s="1697" t="str">
        <f>IF(OR(O16="",Q16=""),"","、")</f>
        <v/>
      </c>
      <c r="Q16" s="2479" t="str">
        <f>IF(G17="","",G16&amp;TEXT(G17,"yyyy年m月d日;;"))</f>
        <v>地下车库2067年12月17日</v>
      </c>
      <c r="R16" s="1697" t="str">
        <f>IF(OR(Q16="",S16=""),"","、")</f>
        <v>、</v>
      </c>
      <c r="S16" s="2479" t="str">
        <f>IF(H17="","",H16&amp;TEXT(H17,"yyyy年m月d日;;"))</f>
        <v>地下仓储2067年12月17日</v>
      </c>
      <c r="T16" s="1697" t="str">
        <f>IF(OR(S16="",U16=""),"","、")</f>
        <v/>
      </c>
      <c r="U16" s="2479" t="str">
        <f>IF(I17="","",I16&amp;TEXT(I17,"yyyy年m月d日;;"))</f>
        <v/>
      </c>
    </row>
    <row r="17" spans="1:21">
      <c r="A17" s="1761"/>
      <c r="B17" s="1680"/>
      <c r="C17" s="1681" t="s">
        <v>1957</v>
      </c>
      <c r="D17" s="3213">
        <v>68653</v>
      </c>
      <c r="E17" s="3213">
        <v>57696</v>
      </c>
      <c r="F17" s="3213"/>
      <c r="G17" s="3213">
        <v>61348</v>
      </c>
      <c r="H17" s="3213">
        <v>61348</v>
      </c>
      <c r="I17" s="1698"/>
      <c r="J17" s="1692"/>
      <c r="K17" s="2478" t="str">
        <f>CONCATENATE(K16,L16,M16,N16,O16,P16,Q16,R16,S16,T16,,U16)</f>
        <v>住宅2087年12月17日、商业2057年12月17日地下车库2067年12月17日、地下仓储2067年12月17日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69.319999999999993</v>
      </c>
      <c r="E19" s="1683">
        <f>IF(B16="出让",IF(E17="","",ROUNDDOWN(MIN((E17-$D$3)/365,E18),2)),E18)</f>
        <v>39.299999999999997</v>
      </c>
      <c r="F19" s="1683" t="str">
        <f>IF(B16="出让",IF(F17="","",ROUNDDOWN(MIN((F17-$D$3)/365,F18),2)),F18)</f>
        <v/>
      </c>
      <c r="G19" s="1683">
        <f>IF(B16="出让",IF(G17="","",ROUNDDOWN(MIN((G17-$D$3)/365,G18),2)),G18)</f>
        <v>49.31</v>
      </c>
      <c r="H19" s="1683">
        <f>IF(B16="出让",IF(H17="","",ROUNDDOWN(MIN((H17-$D$3)/365,H18),2)),H18)</f>
        <v>49.31</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89"/>
      <c r="E20" s="3290"/>
      <c r="F20" s="3290"/>
      <c r="G20" s="3290"/>
      <c r="H20" s="3290"/>
      <c r="I20" s="3291"/>
      <c r="J20" s="1692"/>
      <c r="K20" s="1772"/>
      <c r="L20" s="1721"/>
      <c r="M20" s="1721"/>
      <c r="N20" s="1692"/>
      <c r="O20" s="1693"/>
      <c r="P20" s="1692"/>
      <c r="Q20" s="1692"/>
      <c r="R20" s="1692"/>
      <c r="S20" s="1692"/>
      <c r="T20" s="1692"/>
      <c r="U20" s="1692"/>
    </row>
    <row r="21" spans="1:21">
      <c r="A21" s="1761" t="s">
        <v>1960</v>
      </c>
      <c r="B21" s="1762" t="s">
        <v>1961</v>
      </c>
      <c r="C21" s="1757">
        <f>'数据-汇总表'!E3</f>
        <v>152440.46</v>
      </c>
      <c r="D21" s="1758" t="s">
        <v>1962</v>
      </c>
      <c r="E21" s="3279" t="s">
        <v>1998</v>
      </c>
      <c r="F21" s="3280"/>
      <c r="G21" s="3280"/>
      <c r="H21" s="3280"/>
      <c r="I21" s="3281"/>
      <c r="J21" s="1692"/>
      <c r="K21" s="1772"/>
      <c r="L21" s="1721"/>
      <c r="M21" s="1721"/>
      <c r="N21" s="1692"/>
      <c r="O21" s="1693"/>
      <c r="P21" s="1692"/>
      <c r="Q21" s="1692"/>
      <c r="R21" s="1692"/>
      <c r="S21" s="1692"/>
      <c r="T21" s="1692"/>
      <c r="U21" s="1692"/>
    </row>
    <row r="22" spans="1:21">
      <c r="A22" s="3174" t="s">
        <v>951</v>
      </c>
      <c r="B22" s="1659" t="s">
        <v>1963</v>
      </c>
      <c r="C22" s="1684">
        <f>'数据-汇总表'!D3</f>
        <v>41849.370000000003</v>
      </c>
      <c r="D22" s="1685" t="s">
        <v>1962</v>
      </c>
      <c r="E22" s="3279" t="s">
        <v>2889</v>
      </c>
      <c r="F22" s="3280"/>
      <c r="G22" s="3280"/>
      <c r="H22" s="3280"/>
      <c r="I22" s="3281"/>
      <c r="J22" s="1692"/>
      <c r="K22" s="1772"/>
      <c r="L22" s="1721"/>
      <c r="M22" s="1721"/>
      <c r="N22" s="1692"/>
      <c r="O22" s="1693"/>
      <c r="P22" s="1692"/>
      <c r="Q22" s="1692"/>
      <c r="R22" s="1692"/>
      <c r="S22" s="1692"/>
      <c r="T22" s="1692"/>
      <c r="U22" s="1692"/>
    </row>
    <row r="23" spans="1:21" ht="29.25" thickBot="1">
      <c r="A23" s="1763" t="s">
        <v>1964</v>
      </c>
      <c r="B23" s="1699" t="s">
        <v>1965</v>
      </c>
      <c r="C23" s="1700" t="s">
        <v>2990</v>
      </c>
      <c r="D23" s="1701" t="s">
        <v>1966</v>
      </c>
      <c r="E23" s="1702" t="s">
        <v>951</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82" t="s">
        <v>1968</v>
      </c>
      <c r="C24" s="3283"/>
      <c r="D24" s="3284" t="s">
        <v>1969</v>
      </c>
      <c r="E24" s="3285"/>
      <c r="F24" s="1706" t="s">
        <v>1970</v>
      </c>
      <c r="G24" s="1692"/>
      <c r="H24" s="1692"/>
      <c r="I24" s="1705"/>
      <c r="J24" s="1692"/>
      <c r="K24" s="3270" t="s">
        <v>1971</v>
      </c>
      <c r="L24" s="2480"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721"/>
      <c r="N24" s="1692"/>
      <c r="O24" s="1693"/>
      <c r="P24" s="1692"/>
      <c r="Q24" s="1692"/>
      <c r="R24" s="1692"/>
      <c r="S24" s="1692"/>
      <c r="T24" s="1692"/>
      <c r="U24" s="1692"/>
    </row>
    <row r="25" spans="1:21" ht="28.5">
      <c r="A25" s="1749"/>
      <c r="B25" s="1746" t="s">
        <v>2325</v>
      </c>
      <c r="C25" s="1707" t="s">
        <v>2326</v>
      </c>
      <c r="D25" s="1708"/>
      <c r="E25" s="1709" t="s">
        <v>951</v>
      </c>
      <c r="F25" s="1710"/>
      <c r="G25" s="1692"/>
      <c r="H25" s="1692"/>
      <c r="I25" s="1705"/>
      <c r="J25" s="1692"/>
      <c r="K25" s="3270"/>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2325</v>
      </c>
      <c r="C26" s="1707" t="s">
        <v>2326</v>
      </c>
      <c r="D26" s="1658"/>
      <c r="E26" s="1658"/>
      <c r="F26" s="1686"/>
      <c r="G26" s="1692"/>
      <c r="H26" s="1692"/>
      <c r="I26" s="1705"/>
      <c r="J26" s="1692"/>
      <c r="K26" s="3270"/>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74"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75"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75"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76" t="s">
        <v>1976</v>
      </c>
      <c r="E30" s="1716"/>
      <c r="F30" s="1687"/>
      <c r="G30" s="1740"/>
      <c r="H30" s="1740"/>
      <c r="I30" s="1741"/>
      <c r="J30" s="1692"/>
      <c r="K30" s="1772"/>
      <c r="L30" s="1721"/>
      <c r="M30" s="1721"/>
      <c r="N30" s="1692"/>
      <c r="O30" s="1693"/>
      <c r="P30" s="1692"/>
      <c r="Q30" s="1692"/>
      <c r="R30" s="1692"/>
      <c r="S30" s="1692"/>
      <c r="T30" s="1692"/>
      <c r="U30" s="1692"/>
    </row>
    <row r="31" spans="1:21" ht="15" thickTop="1">
      <c r="A31" s="3256" t="s">
        <v>2001</v>
      </c>
      <c r="B31" s="1762" t="s">
        <v>2002</v>
      </c>
      <c r="C31" s="3295" t="s">
        <v>2991</v>
      </c>
      <c r="D31" s="3296"/>
      <c r="E31" s="1692"/>
      <c r="F31" s="1692"/>
      <c r="G31" s="1692"/>
      <c r="H31" s="1692"/>
      <c r="I31" s="1705"/>
      <c r="J31" s="1692"/>
      <c r="K31" s="2481"/>
      <c r="L31" s="1692"/>
      <c r="M31" s="1692"/>
      <c r="N31" s="1692"/>
      <c r="O31" s="1692"/>
      <c r="P31" s="1692"/>
      <c r="Q31" s="1692"/>
      <c r="R31" s="1692"/>
      <c r="S31" s="1692"/>
      <c r="T31" s="1692"/>
      <c r="U31" s="1692"/>
    </row>
    <row r="32" spans="1:21">
      <c r="A32" s="3256"/>
      <c r="B32" s="1659" t="s">
        <v>2003</v>
      </c>
      <c r="C32" s="1717" t="s">
        <v>2992</v>
      </c>
      <c r="D32" s="1718"/>
      <c r="E32" s="1692"/>
      <c r="F32" s="1692"/>
      <c r="G32" s="1692"/>
      <c r="H32" s="1692"/>
      <c r="I32" s="1705"/>
      <c r="J32" s="1692"/>
      <c r="K32" s="2481"/>
      <c r="L32" s="1692"/>
      <c r="M32" s="1692"/>
      <c r="N32" s="1692"/>
      <c r="O32" s="1692"/>
      <c r="P32" s="1692"/>
      <c r="Q32" s="1692"/>
      <c r="R32" s="1692"/>
      <c r="S32" s="1692"/>
      <c r="T32" s="1692"/>
      <c r="U32" s="1692"/>
    </row>
    <row r="33" spans="1:21">
      <c r="A33" s="3256"/>
      <c r="B33" s="1659" t="s">
        <v>2004</v>
      </c>
      <c r="C33" s="1719" t="s">
        <v>2990</v>
      </c>
      <c r="D33" s="1836"/>
      <c r="E33" s="1692"/>
      <c r="F33" s="1692"/>
      <c r="G33" s="1692"/>
      <c r="H33" s="1692"/>
      <c r="I33" s="1705"/>
      <c r="J33" s="1692"/>
      <c r="K33" s="2481"/>
      <c r="L33" s="1692"/>
      <c r="M33" s="1692"/>
      <c r="N33" s="1692"/>
      <c r="O33" s="1692"/>
      <c r="P33" s="1692"/>
      <c r="Q33" s="1692"/>
      <c r="R33" s="1692"/>
      <c r="S33" s="1692"/>
      <c r="T33" s="1692"/>
      <c r="U33" s="1692"/>
    </row>
    <row r="34" spans="1:21">
      <c r="A34" s="3257"/>
      <c r="B34" s="1659" t="s">
        <v>2005</v>
      </c>
      <c r="C34" s="3258"/>
      <c r="D34" s="3259"/>
      <c r="E34" s="1692"/>
      <c r="F34" s="1692"/>
      <c r="G34" s="1692"/>
      <c r="H34" s="1692"/>
      <c r="I34" s="1705"/>
      <c r="J34" s="1692"/>
      <c r="K34" s="2481"/>
      <c r="L34" s="1692"/>
      <c r="M34" s="1692"/>
      <c r="N34" s="1692"/>
      <c r="O34" s="1692"/>
      <c r="P34" s="1692"/>
      <c r="Q34" s="1692"/>
      <c r="R34" s="1692"/>
      <c r="S34" s="1692"/>
      <c r="T34" s="1692"/>
      <c r="U34" s="1692"/>
    </row>
    <row r="35" spans="1:21">
      <c r="A35" s="3260" t="s">
        <v>846</v>
      </c>
      <c r="B35" s="1720" t="s">
        <v>2993</v>
      </c>
      <c r="C35" s="1774" t="str">
        <f>IF(B35="场地平整","——","具体情况：")</f>
        <v>——</v>
      </c>
      <c r="D35" s="3262"/>
      <c r="E35" s="3263"/>
      <c r="F35" s="3263"/>
      <c r="G35" s="3263"/>
      <c r="H35" s="3263"/>
      <c r="I35" s="3264"/>
      <c r="J35" s="1692"/>
      <c r="K35" s="1773"/>
      <c r="L35" s="1721"/>
      <c r="M35" s="1721"/>
      <c r="N35" s="1692"/>
      <c r="O35" s="1693"/>
      <c r="P35" s="1692"/>
      <c r="Q35" s="1692"/>
      <c r="R35" s="1692"/>
      <c r="S35" s="1692"/>
      <c r="T35" s="1692"/>
      <c r="U35" s="1692"/>
    </row>
    <row r="36" spans="1:21">
      <c r="A36" s="3256"/>
      <c r="B36" s="3265" t="s">
        <v>2054</v>
      </c>
      <c r="C36" s="3266"/>
      <c r="D36" s="1790" t="s">
        <v>2994</v>
      </c>
      <c r="E36" s="3267"/>
      <c r="F36" s="3267"/>
      <c r="G36" s="1685" t="str">
        <f>IF(B35="场地未平整","估价结果处理","")</f>
        <v/>
      </c>
      <c r="H36" s="3268"/>
      <c r="I36" s="3268"/>
      <c r="J36" s="1692"/>
      <c r="K36" s="1773"/>
      <c r="L36" s="1721"/>
      <c r="M36" s="1721"/>
      <c r="N36" s="1692"/>
      <c r="O36" s="1693"/>
      <c r="P36" s="1692"/>
      <c r="Q36" s="1692"/>
      <c r="R36" s="1692"/>
      <c r="S36" s="1692"/>
      <c r="T36" s="1692"/>
      <c r="U36" s="1692"/>
    </row>
    <row r="37" spans="1:21" ht="28.5">
      <c r="A37" s="3256"/>
      <c r="B37" s="3286"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56"/>
      <c r="B38" s="3287"/>
      <c r="C38" s="1667" t="s">
        <v>849</v>
      </c>
      <c r="D38" s="1789">
        <f>ROUNDDOWN(MIN(('数据-取费表'!$B$2-D37)/365,D34),1)</f>
        <v>118.7</v>
      </c>
      <c r="E38" s="1725" t="s">
        <v>850</v>
      </c>
      <c r="F38" s="1692"/>
      <c r="G38" s="1692"/>
      <c r="H38" s="1692"/>
      <c r="I38" s="1705"/>
      <c r="J38" s="1692"/>
      <c r="K38" s="1773"/>
      <c r="L38" s="1692"/>
      <c r="M38" s="1692"/>
      <c r="N38" s="1692"/>
      <c r="O38" s="1692"/>
      <c r="P38" s="1692"/>
      <c r="Q38" s="1692"/>
      <c r="R38" s="1692"/>
      <c r="S38" s="1692"/>
      <c r="T38" s="1692"/>
      <c r="U38" s="1692"/>
    </row>
    <row r="39" spans="1:21">
      <c r="A39" s="3257"/>
      <c r="B39" s="328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2995</v>
      </c>
      <c r="C40" s="1688" t="s">
        <v>2996</v>
      </c>
      <c r="D40" s="1688" t="s">
        <v>2997</v>
      </c>
      <c r="E40" s="1688" t="s">
        <v>2998</v>
      </c>
      <c r="F40" s="1688" t="s">
        <v>2999</v>
      </c>
      <c r="G40" s="1688"/>
      <c r="H40" s="1688"/>
      <c r="I40" s="1705"/>
      <c r="J40" s="1692"/>
      <c r="K40" s="1728">
        <f>COUNTIF(B40:H40,"——")</f>
        <v>0</v>
      </c>
      <c r="L40" s="1697" t="s">
        <v>1978</v>
      </c>
      <c r="M40" s="1694" t="s">
        <v>1979</v>
      </c>
      <c r="N40" s="1694" t="s">
        <v>1980</v>
      </c>
      <c r="O40" s="1694" t="s">
        <v>1981</v>
      </c>
      <c r="P40" s="1694" t="s">
        <v>1982</v>
      </c>
      <c r="Q40" s="1694" t="s">
        <v>1983</v>
      </c>
      <c r="R40" s="1694" t="s">
        <v>1984</v>
      </c>
      <c r="S40" s="3269" t="s">
        <v>1985</v>
      </c>
      <c r="T40" s="1729" t="str">
        <f>NUMBERSTRING(7-K40,1)&amp;"通"</f>
        <v>七通</v>
      </c>
      <c r="U40" s="1692"/>
    </row>
    <row r="41" spans="1:21">
      <c r="A41" s="1661"/>
      <c r="B41" s="3261" t="s">
        <v>1721</v>
      </c>
      <c r="C41" s="3261"/>
      <c r="D41" s="3261"/>
      <c r="E41" s="3261"/>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69"/>
      <c r="T41" s="1731" t="str">
        <f>IF(T40="一通",L41,IF(T40="二通",M41,IF(T40="三通",N41,IF(T40="四通",O41,IF(T40="五通",P41,IF(T40="六通",Q41,R41))))))</f>
        <v>通路、通电、通讯、通上水、通下水、、</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t="s">
        <v>1409</v>
      </c>
      <c r="C43" s="1736" t="s">
        <v>1409</v>
      </c>
      <c r="D43" s="1736" t="s">
        <v>1409</v>
      </c>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31" sqref="K31"/>
    </sheetView>
  </sheetViews>
  <sheetFormatPr defaultColWidth="8.875" defaultRowHeight="14.25"/>
  <cols>
    <col min="1" max="1" width="16.125" style="15" customWidth="1"/>
    <col min="2" max="2" width="11" style="15" customWidth="1"/>
    <col min="3" max="3" width="10.375" style="15" customWidth="1"/>
    <col min="4" max="4" width="9.125" style="15" customWidth="1"/>
    <col min="5" max="5" width="11.375" style="16" customWidth="1"/>
    <col min="6" max="6" width="10" style="16" customWidth="1"/>
    <col min="7" max="7" width="11" style="15" customWidth="1"/>
    <col min="8" max="8" width="12.25" style="15" customWidth="1"/>
    <col min="9" max="9" width="10.625" style="15" customWidth="1"/>
    <col min="10" max="10" width="9.5" style="15" customWidth="1"/>
    <col min="11" max="11" width="11" style="15" customWidth="1"/>
    <col min="12" max="12" width="9.5" style="15" customWidth="1"/>
    <col min="13" max="13" width="11.25" style="15" customWidth="1"/>
    <col min="14"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5" width="9.5" style="15" customWidth="1"/>
    <col min="46" max="46" width="10.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50942.74</v>
      </c>
      <c r="B3" s="22">
        <f>IF(C3="否",G5-AT5,G5)</f>
        <v>185563.94</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185563.94</v>
      </c>
      <c r="H5" s="27">
        <f t="shared" ref="H5:AT5" si="0">SUM(H13:H641)</f>
        <v>165516.01</v>
      </c>
      <c r="I5" s="27">
        <f t="shared" si="0"/>
        <v>111874.03000000001</v>
      </c>
      <c r="J5" s="27">
        <f t="shared" si="0"/>
        <v>0</v>
      </c>
      <c r="K5" s="27">
        <f t="shared" si="0"/>
        <v>14758.009999999998</v>
      </c>
      <c r="L5" s="27">
        <f t="shared" si="0"/>
        <v>14758.009999999998</v>
      </c>
      <c r="M5" s="27">
        <f t="shared" si="0"/>
        <v>38883.97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6971.43</v>
      </c>
      <c r="AD5" s="27">
        <f t="shared" si="0"/>
        <v>0</v>
      </c>
      <c r="AE5" s="27">
        <f t="shared" si="0"/>
        <v>0</v>
      </c>
      <c r="AF5" s="27">
        <f t="shared" si="0"/>
        <v>5288.97</v>
      </c>
      <c r="AG5" s="27">
        <f t="shared" si="0"/>
        <v>5288.97</v>
      </c>
      <c r="AH5" s="27">
        <f t="shared" si="0"/>
        <v>0</v>
      </c>
      <c r="AI5" s="27">
        <f t="shared" si="0"/>
        <v>0</v>
      </c>
      <c r="AJ5" s="27">
        <f t="shared" si="0"/>
        <v>0</v>
      </c>
      <c r="AK5" s="27">
        <f t="shared" si="0"/>
        <v>0</v>
      </c>
      <c r="AL5" s="27">
        <f t="shared" si="0"/>
        <v>0</v>
      </c>
      <c r="AM5" s="27">
        <f t="shared" si="0"/>
        <v>0</v>
      </c>
      <c r="AN5" s="27">
        <f t="shared" si="0"/>
        <v>1682.46</v>
      </c>
      <c r="AO5" s="27">
        <f t="shared" si="0"/>
        <v>0</v>
      </c>
      <c r="AP5" s="27">
        <f t="shared" si="0"/>
        <v>0</v>
      </c>
      <c r="AQ5" s="27">
        <f t="shared" si="0"/>
        <v>0</v>
      </c>
      <c r="AR5" s="27">
        <f t="shared" si="0"/>
        <v>0</v>
      </c>
      <c r="AS5" s="27">
        <f t="shared" si="0"/>
        <v>0</v>
      </c>
      <c r="AT5" s="27">
        <f t="shared" si="0"/>
        <v>13076.5</v>
      </c>
      <c r="AU5" s="988"/>
      <c r="AV5" s="26" t="s">
        <v>167</v>
      </c>
      <c r="AW5" s="989"/>
      <c r="AX5" s="989"/>
      <c r="AY5" s="28" t="s">
        <v>3</v>
      </c>
      <c r="AZ5" s="29">
        <f t="shared" ref="AZ5:BT5" si="1">SUM(AZ13:AZ641)</f>
        <v>152440.46</v>
      </c>
      <c r="BA5" s="29">
        <f t="shared" si="1"/>
        <v>150758</v>
      </c>
      <c r="BB5" s="29">
        <f t="shared" si="1"/>
        <v>111874.03000000001</v>
      </c>
      <c r="BC5" s="29">
        <f t="shared" si="1"/>
        <v>0</v>
      </c>
      <c r="BD5" s="29">
        <f t="shared" si="1"/>
        <v>38883.97</v>
      </c>
      <c r="BE5" s="29">
        <f t="shared" si="1"/>
        <v>0</v>
      </c>
      <c r="BF5" s="29">
        <f t="shared" si="1"/>
        <v>0</v>
      </c>
      <c r="BG5" s="29">
        <f t="shared" si="1"/>
        <v>0</v>
      </c>
      <c r="BH5" s="29">
        <f t="shared" si="1"/>
        <v>0</v>
      </c>
      <c r="BI5" s="29">
        <f t="shared" si="1"/>
        <v>0</v>
      </c>
      <c r="BJ5" s="29">
        <f t="shared" si="1"/>
        <v>0</v>
      </c>
      <c r="BK5" s="29">
        <f t="shared" si="1"/>
        <v>0</v>
      </c>
      <c r="BL5" s="29">
        <f t="shared" si="1"/>
        <v>1682.46</v>
      </c>
      <c r="BM5" s="29">
        <f t="shared" si="1"/>
        <v>0</v>
      </c>
      <c r="BN5" s="29">
        <f t="shared" si="1"/>
        <v>0</v>
      </c>
      <c r="BO5" s="29">
        <f t="shared" si="1"/>
        <v>0</v>
      </c>
      <c r="BP5" s="29">
        <f t="shared" si="1"/>
        <v>0</v>
      </c>
      <c r="BQ5" s="29">
        <f t="shared" si="1"/>
        <v>0</v>
      </c>
      <c r="BR5" s="29">
        <f t="shared" si="1"/>
        <v>1682.46</v>
      </c>
      <c r="BS5" s="29">
        <f t="shared" si="1"/>
        <v>0</v>
      </c>
      <c r="BT5" s="30">
        <f t="shared" si="1"/>
        <v>0</v>
      </c>
    </row>
    <row r="6" spans="1:72" s="37" customFormat="1" ht="12.75">
      <c r="A6" s="26" t="s">
        <v>168</v>
      </c>
      <c r="B6" s="31"/>
      <c r="C6" s="31"/>
      <c r="D6" s="32"/>
      <c r="E6" s="27">
        <f>H6+AC6+AT6</f>
        <v>50942.74</v>
      </c>
      <c r="F6" s="27" t="s">
        <v>1</v>
      </c>
      <c r="G6" s="27" t="s">
        <v>2</v>
      </c>
      <c r="H6" s="33">
        <f>SUMIF(I$12:AB$12,"总值",I6:AB6)</f>
        <v>45439</v>
      </c>
      <c r="I6" s="27">
        <f t="shared" ref="I6:AB6" si="2">ROUND($A$3*I5/$B$3,2)</f>
        <v>30712.7</v>
      </c>
      <c r="J6" s="27">
        <f t="shared" si="2"/>
        <v>0</v>
      </c>
      <c r="K6" s="27">
        <f t="shared" si="2"/>
        <v>4051.51</v>
      </c>
      <c r="L6" s="27">
        <f t="shared" si="2"/>
        <v>4051.51</v>
      </c>
      <c r="M6" s="27">
        <f t="shared" si="2"/>
        <v>10674.79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1913.8600000000001</v>
      </c>
      <c r="AD6" s="27">
        <f t="shared" ref="AD6:AS6" si="3">ROUND($A$3*AD5/$B$3,2)</f>
        <v>0</v>
      </c>
      <c r="AE6" s="27">
        <f t="shared" si="3"/>
        <v>0</v>
      </c>
      <c r="AF6" s="27">
        <f t="shared" si="3"/>
        <v>1451.98</v>
      </c>
      <c r="AG6" s="27">
        <f t="shared" si="3"/>
        <v>1451.98</v>
      </c>
      <c r="AH6" s="27">
        <f t="shared" si="3"/>
        <v>0</v>
      </c>
      <c r="AI6" s="27">
        <f t="shared" si="3"/>
        <v>0</v>
      </c>
      <c r="AJ6" s="27">
        <f t="shared" si="3"/>
        <v>0</v>
      </c>
      <c r="AK6" s="27">
        <f t="shared" si="3"/>
        <v>0</v>
      </c>
      <c r="AL6" s="27">
        <f t="shared" si="3"/>
        <v>0</v>
      </c>
      <c r="AM6" s="27">
        <f t="shared" si="3"/>
        <v>0</v>
      </c>
      <c r="AN6" s="27">
        <f t="shared" si="3"/>
        <v>461.88</v>
      </c>
      <c r="AO6" s="27">
        <f t="shared" si="3"/>
        <v>0</v>
      </c>
      <c r="AP6" s="27">
        <f t="shared" si="3"/>
        <v>0</v>
      </c>
      <c r="AQ6" s="27">
        <f t="shared" si="3"/>
        <v>0</v>
      </c>
      <c r="AR6" s="27">
        <f t="shared" si="3"/>
        <v>0</v>
      </c>
      <c r="AS6" s="27">
        <f t="shared" si="3"/>
        <v>0</v>
      </c>
      <c r="AT6" s="33">
        <f>IF(C3="是",ROUND($A$3*AT5/$B$3,2),0)</f>
        <v>3589.88</v>
      </c>
      <c r="AU6" s="34"/>
      <c r="AV6" s="26" t="s">
        <v>168</v>
      </c>
      <c r="AW6" s="31"/>
      <c r="AX6" s="31"/>
      <c r="AY6" s="35">
        <f>IF(AY3&gt;0,AY3,ROUND($A$3*AZ5/$B$3,2))</f>
        <v>41849.370000000003</v>
      </c>
      <c r="AZ6" s="27" t="s">
        <v>3</v>
      </c>
      <c r="BA6" s="27">
        <f>ROUND($AY$6*BA5/$AZ$5,2)</f>
        <v>41387.49</v>
      </c>
      <c r="BB6" s="27">
        <f>ROUND($AY$6*BB5/$AZ$5,2)</f>
        <v>30712.7</v>
      </c>
      <c r="BC6" s="27">
        <f t="shared" ref="BC6:BH6" si="4">ROUND($AY$6*BC5/$AZ$5,2)</f>
        <v>0</v>
      </c>
      <c r="BD6" s="27">
        <f t="shared" si="4"/>
        <v>10674.79</v>
      </c>
      <c r="BE6" s="27">
        <f t="shared" si="4"/>
        <v>0</v>
      </c>
      <c r="BF6" s="27">
        <f t="shared" si="4"/>
        <v>0</v>
      </c>
      <c r="BG6" s="27">
        <f t="shared" si="4"/>
        <v>0</v>
      </c>
      <c r="BH6" s="27">
        <f t="shared" si="4"/>
        <v>0</v>
      </c>
      <c r="BI6" s="27">
        <f t="shared" ref="BI6:BT6" si="5">ROUND($AY$6*BI5/$AZ$5,2)</f>
        <v>0</v>
      </c>
      <c r="BJ6" s="27">
        <f t="shared" si="5"/>
        <v>0</v>
      </c>
      <c r="BK6" s="27">
        <f t="shared" si="5"/>
        <v>0</v>
      </c>
      <c r="BL6" s="27">
        <f t="shared" si="5"/>
        <v>461.88</v>
      </c>
      <c r="BM6" s="27">
        <f t="shared" si="5"/>
        <v>0</v>
      </c>
      <c r="BN6" s="27">
        <f t="shared" si="5"/>
        <v>0</v>
      </c>
      <c r="BO6" s="27">
        <f t="shared" si="5"/>
        <v>0</v>
      </c>
      <c r="BP6" s="27">
        <f t="shared" si="5"/>
        <v>0</v>
      </c>
      <c r="BQ6" s="27">
        <f t="shared" si="5"/>
        <v>0</v>
      </c>
      <c r="BR6" s="27">
        <f t="shared" si="5"/>
        <v>461.88</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40" t="s">
        <v>3000</v>
      </c>
      <c r="J9" s="51"/>
      <c r="K9" s="3040" t="s">
        <v>3001</v>
      </c>
      <c r="L9" s="51"/>
      <c r="M9" s="3040" t="s">
        <v>3001</v>
      </c>
      <c r="N9" s="51"/>
      <c r="O9" s="59" t="s">
        <v>3000</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40" t="s">
        <v>922</v>
      </c>
      <c r="J10" s="51"/>
      <c r="K10" s="3042" t="s">
        <v>3002</v>
      </c>
      <c r="L10" s="51"/>
      <c r="M10" s="3042" t="s">
        <v>3004</v>
      </c>
      <c r="N10" s="51"/>
      <c r="O10" s="66" t="s">
        <v>3006</v>
      </c>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t="s">
        <v>3212</v>
      </c>
      <c r="J11" s="71"/>
      <c r="K11" s="3041" t="s">
        <v>3003</v>
      </c>
      <c r="L11" s="71"/>
      <c r="M11" s="70" t="s">
        <v>3004</v>
      </c>
      <c r="N11" s="71"/>
      <c r="O11" s="70" t="s">
        <v>3213</v>
      </c>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普通住宅</v>
      </c>
      <c r="BC12" s="79" t="str">
        <f>K11</f>
        <v>戊类库房</v>
      </c>
      <c r="BD12" s="79" t="str">
        <f>M11</f>
        <v>车库</v>
      </c>
      <c r="BE12" s="50" t="str">
        <f>O11</f>
        <v>底商</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9" customHeight="1">
      <c r="A13" s="3037" t="s">
        <v>3363</v>
      </c>
      <c r="B13" s="3037" t="s">
        <v>3370</v>
      </c>
      <c r="C13" s="3227" t="s">
        <v>3372</v>
      </c>
      <c r="D13" s="3038" t="s">
        <v>1678</v>
      </c>
      <c r="E13" s="27">
        <f t="shared" ref="E13:E20" si="6">IF($C$3="是",ROUND($A$3*G13/$B$3,2),ROUND($A$3*(G13-AT13)/$B$3,2))</f>
        <v>3976.53</v>
      </c>
      <c r="F13" s="81"/>
      <c r="G13" s="82">
        <f t="shared" ref="G13:G20" si="7">H13+AC13+AT13</f>
        <v>14484.900000000001</v>
      </c>
      <c r="H13" s="33">
        <f t="shared" ref="H13:H20" si="8">SUMIF(I$12:AB$12,"总值",I13:AB13)</f>
        <v>13440.37</v>
      </c>
      <c r="I13" s="3039">
        <v>12434.59</v>
      </c>
      <c r="J13" s="3039"/>
      <c r="K13" s="3039">
        <v>1005.78</v>
      </c>
      <c r="L13" s="3039">
        <v>1005.78</v>
      </c>
      <c r="M13" s="3039"/>
      <c r="N13" s="83"/>
      <c r="O13" s="83"/>
      <c r="P13" s="83"/>
      <c r="Q13" s="83"/>
      <c r="R13" s="83"/>
      <c r="S13" s="83"/>
      <c r="T13" s="83"/>
      <c r="U13" s="83"/>
      <c r="V13" s="83"/>
      <c r="W13" s="83"/>
      <c r="X13" s="83"/>
      <c r="Y13" s="83"/>
      <c r="Z13" s="83"/>
      <c r="AA13" s="83"/>
      <c r="AB13" s="83"/>
      <c r="AC13" s="27">
        <f t="shared" ref="AC13:AC20" si="9">SUMIF(AD$12:AS$12,"总值",AD13:AS13)</f>
        <v>1044.53</v>
      </c>
      <c r="AD13" s="3043"/>
      <c r="AE13" s="3043"/>
      <c r="AF13" s="3214">
        <v>901.73</v>
      </c>
      <c r="AG13" s="3214">
        <v>901.73</v>
      </c>
      <c r="AH13" s="3214"/>
      <c r="AI13" s="3214"/>
      <c r="AJ13" s="3214"/>
      <c r="AK13" s="3214"/>
      <c r="AL13" s="3214"/>
      <c r="AM13" s="3214"/>
      <c r="AN13" s="3214">
        <v>142.80000000000001</v>
      </c>
      <c r="AO13" s="3214"/>
      <c r="AP13" s="3043"/>
      <c r="AQ13" s="3043"/>
      <c r="AR13" s="3043"/>
      <c r="AS13" s="3043"/>
      <c r="AT13" s="3044"/>
      <c r="AU13" s="3045"/>
      <c r="AV13" s="17" t="str">
        <f t="shared" ref="AV13:AX20" si="10">A13</f>
        <v>《不动产权证书》[京（2018）海不动产权第0000091号]</v>
      </c>
      <c r="AW13" s="17" t="str">
        <f t="shared" si="10"/>
        <v>2018规土（海）建字0023、27号</v>
      </c>
      <c r="AX13" s="17" t="str">
        <f t="shared" si="10"/>
        <v>1#</v>
      </c>
      <c r="AY13" s="996">
        <f t="shared" ref="AY13:AY20" si="11">ROUND($AY$6*AZ13/$AZ$5,2)</f>
        <v>3452.86</v>
      </c>
      <c r="AZ13" s="27">
        <f t="shared" ref="AZ13:AZ20" si="12">BA13+BL13</f>
        <v>12577.39</v>
      </c>
      <c r="BA13" s="27">
        <f t="shared" ref="BA13:BA20" si="13">SUM(BB13:BK13)</f>
        <v>12434.59</v>
      </c>
      <c r="BB13" s="27">
        <f t="shared" ref="BB13:BB20" si="14">IF($D13="是",I13-J13,0)</f>
        <v>12434.59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142.80000000000001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142.80000000000001</v>
      </c>
      <c r="BS13" s="27">
        <f t="shared" ref="BS13:BS20" si="31">IF($D13="是",AP13-AQ13,0)</f>
        <v>0</v>
      </c>
      <c r="BT13" s="36">
        <f t="shared" ref="BT13:BT20" si="32">IF($D13="是",AR13-AS13,0)</f>
        <v>0</v>
      </c>
    </row>
    <row r="14" spans="1:72" s="18" customFormat="1" ht="12.75">
      <c r="A14" s="3037"/>
      <c r="B14" s="3037"/>
      <c r="C14" s="3227" t="s">
        <v>3364</v>
      </c>
      <c r="D14" s="3038" t="s">
        <v>1678</v>
      </c>
      <c r="E14" s="27">
        <f t="shared" si="6"/>
        <v>3937.58</v>
      </c>
      <c r="F14" s="81"/>
      <c r="G14" s="82">
        <f t="shared" si="7"/>
        <v>14343.019999999999</v>
      </c>
      <c r="H14" s="33">
        <f t="shared" si="8"/>
        <v>14220.859999999999</v>
      </c>
      <c r="I14" s="3039">
        <v>12440.71</v>
      </c>
      <c r="J14" s="3039"/>
      <c r="K14" s="3039">
        <v>1780.15</v>
      </c>
      <c r="L14" s="3039">
        <v>1780.15</v>
      </c>
      <c r="M14" s="3039"/>
      <c r="N14" s="83"/>
      <c r="O14" s="83"/>
      <c r="P14" s="83"/>
      <c r="Q14" s="83"/>
      <c r="R14" s="83"/>
      <c r="S14" s="83"/>
      <c r="T14" s="83"/>
      <c r="U14" s="83"/>
      <c r="V14" s="83"/>
      <c r="W14" s="83"/>
      <c r="X14" s="83"/>
      <c r="Y14" s="83"/>
      <c r="Z14" s="83"/>
      <c r="AA14" s="83"/>
      <c r="AB14" s="83"/>
      <c r="AC14" s="27">
        <f t="shared" si="9"/>
        <v>122.16</v>
      </c>
      <c r="AD14" s="3043"/>
      <c r="AE14" s="3043"/>
      <c r="AF14" s="3214"/>
      <c r="AG14" s="3214"/>
      <c r="AH14" s="3214"/>
      <c r="AI14" s="3214"/>
      <c r="AJ14" s="3214"/>
      <c r="AK14" s="3214"/>
      <c r="AL14" s="3214"/>
      <c r="AM14" s="3214"/>
      <c r="AN14" s="3214">
        <v>122.16</v>
      </c>
      <c r="AO14" s="3214"/>
      <c r="AP14" s="3043"/>
      <c r="AQ14" s="3043"/>
      <c r="AR14" s="3043"/>
      <c r="AS14" s="3043"/>
      <c r="AT14" s="3044"/>
      <c r="AU14" s="3045"/>
      <c r="AV14" s="17">
        <f t="shared" si="10"/>
        <v>0</v>
      </c>
      <c r="AW14" s="17">
        <f t="shared" si="10"/>
        <v>0</v>
      </c>
      <c r="AX14" s="17" t="str">
        <f t="shared" si="10"/>
        <v>2#</v>
      </c>
      <c r="AY14" s="996">
        <f t="shared" si="11"/>
        <v>3448.88</v>
      </c>
      <c r="AZ14" s="27">
        <f t="shared" si="12"/>
        <v>12562.869999999999</v>
      </c>
      <c r="BA14" s="27">
        <f t="shared" si="13"/>
        <v>12440.71</v>
      </c>
      <c r="BB14" s="27">
        <f t="shared" si="14"/>
        <v>12440.71</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122.16</v>
      </c>
      <c r="BM14" s="27">
        <f t="shared" si="25"/>
        <v>0</v>
      </c>
      <c r="BN14" s="27">
        <f t="shared" si="26"/>
        <v>0</v>
      </c>
      <c r="BO14" s="27">
        <f t="shared" si="27"/>
        <v>0</v>
      </c>
      <c r="BP14" s="27">
        <f t="shared" si="28"/>
        <v>0</v>
      </c>
      <c r="BQ14" s="27">
        <f t="shared" si="29"/>
        <v>0</v>
      </c>
      <c r="BR14" s="27">
        <f t="shared" si="30"/>
        <v>122.16</v>
      </c>
      <c r="BS14" s="27">
        <f t="shared" si="31"/>
        <v>0</v>
      </c>
      <c r="BT14" s="36">
        <f t="shared" si="32"/>
        <v>0</v>
      </c>
    </row>
    <row r="15" spans="1:72" s="18" customFormat="1" ht="12.75">
      <c r="A15" s="3037"/>
      <c r="B15" s="3037"/>
      <c r="C15" s="3227" t="s">
        <v>3371</v>
      </c>
      <c r="D15" s="3038" t="s">
        <v>1678</v>
      </c>
      <c r="E15" s="27">
        <f t="shared" si="6"/>
        <v>3884.95</v>
      </c>
      <c r="F15" s="81"/>
      <c r="G15" s="82">
        <f t="shared" si="7"/>
        <v>14151.31</v>
      </c>
      <c r="H15" s="33">
        <f t="shared" si="8"/>
        <v>14029.15</v>
      </c>
      <c r="I15" s="3039">
        <v>12434.59</v>
      </c>
      <c r="J15" s="3039"/>
      <c r="K15" s="3039">
        <v>1594.56</v>
      </c>
      <c r="L15" s="3039">
        <v>1594.56</v>
      </c>
      <c r="M15" s="3039"/>
      <c r="N15" s="83"/>
      <c r="O15" s="83"/>
      <c r="P15" s="83"/>
      <c r="Q15" s="83"/>
      <c r="R15" s="83"/>
      <c r="S15" s="83"/>
      <c r="T15" s="83"/>
      <c r="U15" s="83"/>
      <c r="V15" s="83"/>
      <c r="W15" s="83"/>
      <c r="X15" s="83"/>
      <c r="Y15" s="83"/>
      <c r="Z15" s="83"/>
      <c r="AA15" s="83"/>
      <c r="AB15" s="83"/>
      <c r="AC15" s="27">
        <f t="shared" si="9"/>
        <v>122.16</v>
      </c>
      <c r="AD15" s="3214"/>
      <c r="AE15" s="3043"/>
      <c r="AF15" s="3214"/>
      <c r="AG15" s="3214"/>
      <c r="AH15" s="3214"/>
      <c r="AI15" s="3214"/>
      <c r="AJ15" s="3214"/>
      <c r="AK15" s="3214"/>
      <c r="AL15" s="3214"/>
      <c r="AM15" s="3214"/>
      <c r="AN15" s="3214">
        <v>122.16</v>
      </c>
      <c r="AO15" s="3214"/>
      <c r="AP15" s="3043"/>
      <c r="AQ15" s="3043"/>
      <c r="AR15" s="3043"/>
      <c r="AS15" s="3043"/>
      <c r="AT15" s="3044"/>
      <c r="AU15" s="3045"/>
      <c r="AV15" s="17">
        <f t="shared" si="10"/>
        <v>0</v>
      </c>
      <c r="AW15" s="17">
        <f t="shared" si="10"/>
        <v>0</v>
      </c>
      <c r="AX15" s="17" t="str">
        <f t="shared" si="10"/>
        <v>3#</v>
      </c>
      <c r="AY15" s="996">
        <f t="shared" si="11"/>
        <v>3447.2</v>
      </c>
      <c r="AZ15" s="27">
        <f t="shared" si="12"/>
        <v>12556.75</v>
      </c>
      <c r="BA15" s="27">
        <f t="shared" si="13"/>
        <v>12434.59</v>
      </c>
      <c r="BB15" s="27">
        <f t="shared" si="14"/>
        <v>12434.59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122.16</v>
      </c>
      <c r="BM15" s="27">
        <f t="shared" si="25"/>
        <v>0</v>
      </c>
      <c r="BN15" s="27">
        <f t="shared" si="26"/>
        <v>0</v>
      </c>
      <c r="BO15" s="27">
        <f t="shared" si="27"/>
        <v>0</v>
      </c>
      <c r="BP15" s="27">
        <f t="shared" si="28"/>
        <v>0</v>
      </c>
      <c r="BQ15" s="27">
        <f t="shared" si="29"/>
        <v>0</v>
      </c>
      <c r="BR15" s="27">
        <f t="shared" si="30"/>
        <v>122.16</v>
      </c>
      <c r="BS15" s="27">
        <f t="shared" si="31"/>
        <v>0</v>
      </c>
      <c r="BT15" s="36">
        <f t="shared" si="32"/>
        <v>0</v>
      </c>
    </row>
    <row r="16" spans="1:72" s="18" customFormat="1" ht="12.75">
      <c r="A16" s="3037"/>
      <c r="B16" s="3037"/>
      <c r="C16" s="3227" t="s">
        <v>3365</v>
      </c>
      <c r="D16" s="3038" t="s">
        <v>1678</v>
      </c>
      <c r="E16" s="27">
        <f t="shared" si="6"/>
        <v>3592.35</v>
      </c>
      <c r="F16" s="81"/>
      <c r="G16" s="82">
        <f t="shared" si="7"/>
        <v>13085.480000000001</v>
      </c>
      <c r="H16" s="33">
        <f t="shared" si="8"/>
        <v>12967.220000000001</v>
      </c>
      <c r="I16" s="3039">
        <v>11377.6</v>
      </c>
      <c r="J16" s="3039"/>
      <c r="K16" s="3039">
        <v>1589.62</v>
      </c>
      <c r="L16" s="3039">
        <v>1589.62</v>
      </c>
      <c r="M16" s="3039"/>
      <c r="N16" s="83"/>
      <c r="O16" s="83"/>
      <c r="P16" s="83"/>
      <c r="Q16" s="83"/>
      <c r="R16" s="83"/>
      <c r="S16" s="83"/>
      <c r="T16" s="83"/>
      <c r="U16" s="83"/>
      <c r="V16" s="83"/>
      <c r="W16" s="83"/>
      <c r="X16" s="83"/>
      <c r="Y16" s="83"/>
      <c r="Z16" s="83"/>
      <c r="AA16" s="83"/>
      <c r="AB16" s="83"/>
      <c r="AC16" s="27">
        <f t="shared" si="9"/>
        <v>118.26</v>
      </c>
      <c r="AD16" s="3214"/>
      <c r="AE16" s="3043"/>
      <c r="AF16" s="3214"/>
      <c r="AG16" s="3214"/>
      <c r="AH16" s="3214"/>
      <c r="AI16" s="3214"/>
      <c r="AJ16" s="3214"/>
      <c r="AK16" s="3214"/>
      <c r="AL16" s="3214"/>
      <c r="AM16" s="3214"/>
      <c r="AN16" s="3214">
        <v>118.26</v>
      </c>
      <c r="AO16" s="3214"/>
      <c r="AP16" s="3043"/>
      <c r="AQ16" s="3043"/>
      <c r="AR16" s="3043"/>
      <c r="AS16" s="3043"/>
      <c r="AT16" s="3044"/>
      <c r="AU16" s="3045"/>
      <c r="AV16" s="17">
        <f t="shared" si="10"/>
        <v>0</v>
      </c>
      <c r="AW16" s="17">
        <f t="shared" si="10"/>
        <v>0</v>
      </c>
      <c r="AX16" s="17" t="str">
        <f t="shared" si="10"/>
        <v>4#</v>
      </c>
      <c r="AY16" s="996">
        <f t="shared" si="11"/>
        <v>3155.95</v>
      </c>
      <c r="AZ16" s="27">
        <f t="shared" si="12"/>
        <v>11495.86</v>
      </c>
      <c r="BA16" s="27">
        <f t="shared" si="13"/>
        <v>11377.6</v>
      </c>
      <c r="BB16" s="27">
        <f t="shared" si="14"/>
        <v>11377.6</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118.26</v>
      </c>
      <c r="BM16" s="27">
        <f t="shared" si="25"/>
        <v>0</v>
      </c>
      <c r="BN16" s="27">
        <f t="shared" si="26"/>
        <v>0</v>
      </c>
      <c r="BO16" s="27">
        <f t="shared" si="27"/>
        <v>0</v>
      </c>
      <c r="BP16" s="27">
        <f t="shared" si="28"/>
        <v>0</v>
      </c>
      <c r="BQ16" s="27">
        <f t="shared" si="29"/>
        <v>0</v>
      </c>
      <c r="BR16" s="27">
        <f t="shared" si="30"/>
        <v>118.26</v>
      </c>
      <c r="BS16" s="27">
        <f t="shared" si="31"/>
        <v>0</v>
      </c>
      <c r="BT16" s="36">
        <f t="shared" si="32"/>
        <v>0</v>
      </c>
    </row>
    <row r="17" spans="1:72" s="18" customFormat="1" ht="12.75">
      <c r="A17" s="3037"/>
      <c r="B17" s="3037"/>
      <c r="C17" s="3227" t="s">
        <v>3366</v>
      </c>
      <c r="D17" s="3038" t="s">
        <v>1678</v>
      </c>
      <c r="E17" s="27">
        <f t="shared" si="6"/>
        <v>1480.67</v>
      </c>
      <c r="F17" s="81"/>
      <c r="G17" s="82">
        <f t="shared" si="7"/>
        <v>5393.48</v>
      </c>
      <c r="H17" s="33">
        <f t="shared" si="8"/>
        <v>5294.7099999999991</v>
      </c>
      <c r="I17" s="3039">
        <v>4168.4799999999996</v>
      </c>
      <c r="J17" s="3039"/>
      <c r="K17" s="3039">
        <v>1126.23</v>
      </c>
      <c r="L17" s="3039">
        <v>1126.23</v>
      </c>
      <c r="M17" s="3039"/>
      <c r="N17" s="83"/>
      <c r="O17" s="83"/>
      <c r="P17" s="83"/>
      <c r="Q17" s="83"/>
      <c r="R17" s="83"/>
      <c r="S17" s="83"/>
      <c r="T17" s="83"/>
      <c r="U17" s="83"/>
      <c r="V17" s="83"/>
      <c r="W17" s="83"/>
      <c r="X17" s="83"/>
      <c r="Y17" s="83"/>
      <c r="Z17" s="83"/>
      <c r="AA17" s="83"/>
      <c r="AB17" s="83"/>
      <c r="AC17" s="27">
        <f t="shared" si="9"/>
        <v>98.77</v>
      </c>
      <c r="AD17" s="3214"/>
      <c r="AE17" s="3043"/>
      <c r="AF17" s="3214"/>
      <c r="AG17" s="3214"/>
      <c r="AH17" s="3214"/>
      <c r="AI17" s="3214"/>
      <c r="AJ17" s="3214"/>
      <c r="AK17" s="3214"/>
      <c r="AL17" s="3214"/>
      <c r="AM17" s="3214"/>
      <c r="AN17" s="3214">
        <v>98.77</v>
      </c>
      <c r="AO17" s="3214"/>
      <c r="AP17" s="3043"/>
      <c r="AQ17" s="3043"/>
      <c r="AR17" s="3043"/>
      <c r="AS17" s="3043"/>
      <c r="AT17" s="3044"/>
      <c r="AU17" s="3045"/>
      <c r="AV17" s="17">
        <f t="shared" si="10"/>
        <v>0</v>
      </c>
      <c r="AW17" s="17">
        <f t="shared" si="10"/>
        <v>0</v>
      </c>
      <c r="AX17" s="17" t="str">
        <f t="shared" si="10"/>
        <v>5#</v>
      </c>
      <c r="AY17" s="996">
        <f t="shared" si="11"/>
        <v>1171.49</v>
      </c>
      <c r="AZ17" s="27">
        <f t="shared" si="12"/>
        <v>4267.25</v>
      </c>
      <c r="BA17" s="27">
        <f t="shared" si="13"/>
        <v>4168.4799999999996</v>
      </c>
      <c r="BB17" s="27">
        <f t="shared" si="14"/>
        <v>4168.4799999999996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98.77</v>
      </c>
      <c r="BM17" s="27">
        <f t="shared" si="25"/>
        <v>0</v>
      </c>
      <c r="BN17" s="27">
        <f t="shared" si="26"/>
        <v>0</v>
      </c>
      <c r="BO17" s="27">
        <f t="shared" si="27"/>
        <v>0</v>
      </c>
      <c r="BP17" s="27">
        <f t="shared" si="28"/>
        <v>0</v>
      </c>
      <c r="BQ17" s="27">
        <f t="shared" si="29"/>
        <v>0</v>
      </c>
      <c r="BR17" s="27">
        <f t="shared" si="30"/>
        <v>98.77</v>
      </c>
      <c r="BS17" s="27">
        <f t="shared" si="31"/>
        <v>0</v>
      </c>
      <c r="BT17" s="36">
        <f t="shared" si="32"/>
        <v>0</v>
      </c>
    </row>
    <row r="18" spans="1:72" s="18" customFormat="1" ht="12.75">
      <c r="A18" s="3037"/>
      <c r="B18" s="3037"/>
      <c r="C18" s="3227" t="s">
        <v>3367</v>
      </c>
      <c r="D18" s="3038" t="s">
        <v>1678</v>
      </c>
      <c r="E18" s="27">
        <f t="shared" si="6"/>
        <v>2097.27</v>
      </c>
      <c r="F18" s="81"/>
      <c r="G18" s="82">
        <f t="shared" si="7"/>
        <v>7639.52</v>
      </c>
      <c r="H18" s="33">
        <f t="shared" si="8"/>
        <v>6901.38</v>
      </c>
      <c r="I18" s="3039">
        <v>6216.35</v>
      </c>
      <c r="J18" s="3039"/>
      <c r="K18" s="3039">
        <v>685.03</v>
      </c>
      <c r="L18" s="3039">
        <v>685.03</v>
      </c>
      <c r="M18" s="3039"/>
      <c r="N18" s="83"/>
      <c r="O18" s="83"/>
      <c r="P18" s="83"/>
      <c r="Q18" s="83"/>
      <c r="R18" s="83"/>
      <c r="S18" s="83"/>
      <c r="T18" s="83"/>
      <c r="U18" s="83"/>
      <c r="V18" s="83"/>
      <c r="W18" s="83"/>
      <c r="X18" s="83"/>
      <c r="Y18" s="83"/>
      <c r="Z18" s="83"/>
      <c r="AA18" s="83"/>
      <c r="AB18" s="83"/>
      <c r="AC18" s="27">
        <f t="shared" si="9"/>
        <v>738.14</v>
      </c>
      <c r="AD18" s="3214"/>
      <c r="AE18" s="3043"/>
      <c r="AF18" s="3214">
        <v>625.77</v>
      </c>
      <c r="AG18" s="3214">
        <v>625.77</v>
      </c>
      <c r="AH18" s="3214"/>
      <c r="AI18" s="3214"/>
      <c r="AJ18" s="3214"/>
      <c r="AK18" s="3214"/>
      <c r="AL18" s="3214"/>
      <c r="AM18" s="3214"/>
      <c r="AN18" s="3214">
        <v>112.37</v>
      </c>
      <c r="AO18" s="3214"/>
      <c r="AP18" s="3043"/>
      <c r="AQ18" s="3043"/>
      <c r="AR18" s="3043"/>
      <c r="AS18" s="3043"/>
      <c r="AT18" s="3044"/>
      <c r="AU18" s="3045"/>
      <c r="AV18" s="17">
        <f t="shared" si="10"/>
        <v>0</v>
      </c>
      <c r="AW18" s="17">
        <f t="shared" si="10"/>
        <v>0</v>
      </c>
      <c r="AX18" s="17" t="str">
        <f t="shared" si="10"/>
        <v>6#</v>
      </c>
      <c r="AY18" s="3180">
        <f t="shared" si="11"/>
        <v>1737.42</v>
      </c>
      <c r="AZ18" s="27">
        <f t="shared" si="12"/>
        <v>6328.72</v>
      </c>
      <c r="BA18" s="27">
        <f t="shared" si="13"/>
        <v>6216.35</v>
      </c>
      <c r="BB18" s="27">
        <f t="shared" si="14"/>
        <v>6216.35</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112.37</v>
      </c>
      <c r="BM18" s="27">
        <f t="shared" si="25"/>
        <v>0</v>
      </c>
      <c r="BN18" s="27">
        <f t="shared" si="26"/>
        <v>0</v>
      </c>
      <c r="BO18" s="27">
        <f t="shared" si="27"/>
        <v>0</v>
      </c>
      <c r="BP18" s="27">
        <f t="shared" si="28"/>
        <v>0</v>
      </c>
      <c r="BQ18" s="27">
        <f t="shared" si="29"/>
        <v>0</v>
      </c>
      <c r="BR18" s="27">
        <f t="shared" si="30"/>
        <v>112.37</v>
      </c>
      <c r="BS18" s="27">
        <f t="shared" si="31"/>
        <v>0</v>
      </c>
      <c r="BT18" s="36">
        <f t="shared" si="32"/>
        <v>0</v>
      </c>
    </row>
    <row r="19" spans="1:72" s="18" customFormat="1" ht="12.75">
      <c r="A19" s="3037"/>
      <c r="B19" s="3037"/>
      <c r="C19" s="3227" t="s">
        <v>3368</v>
      </c>
      <c r="D19" s="3038" t="s">
        <v>1678</v>
      </c>
      <c r="E19" s="27">
        <f t="shared" si="6"/>
        <v>2238.58</v>
      </c>
      <c r="F19" s="81"/>
      <c r="G19" s="82">
        <f t="shared" si="7"/>
        <v>8154.2300000000005</v>
      </c>
      <c r="H19" s="33">
        <f t="shared" si="8"/>
        <v>8047.77</v>
      </c>
      <c r="I19" s="3039">
        <v>6898.59</v>
      </c>
      <c r="J19" s="3039"/>
      <c r="K19" s="3039">
        <v>1149.18</v>
      </c>
      <c r="L19" s="3039">
        <v>1149.18</v>
      </c>
      <c r="M19" s="3039"/>
      <c r="N19" s="83"/>
      <c r="O19" s="83"/>
      <c r="P19" s="83"/>
      <c r="Q19" s="83"/>
      <c r="R19" s="83"/>
      <c r="S19" s="83"/>
      <c r="T19" s="83"/>
      <c r="U19" s="83"/>
      <c r="V19" s="83"/>
      <c r="W19" s="83"/>
      <c r="X19" s="83"/>
      <c r="Y19" s="83"/>
      <c r="Z19" s="83"/>
      <c r="AA19" s="83"/>
      <c r="AB19" s="83"/>
      <c r="AC19" s="27">
        <f t="shared" si="9"/>
        <v>106.46</v>
      </c>
      <c r="AD19" s="3214"/>
      <c r="AE19" s="3043"/>
      <c r="AF19" s="3214"/>
      <c r="AG19" s="3214"/>
      <c r="AH19" s="3214"/>
      <c r="AI19" s="3214"/>
      <c r="AJ19" s="3214"/>
      <c r="AK19" s="3214"/>
      <c r="AL19" s="3214"/>
      <c r="AM19" s="3214"/>
      <c r="AN19" s="3214">
        <v>106.46</v>
      </c>
      <c r="AO19" s="3214"/>
      <c r="AP19" s="3043"/>
      <c r="AQ19" s="3043"/>
      <c r="AR19" s="3043"/>
      <c r="AS19" s="3043"/>
      <c r="AT19" s="3044"/>
      <c r="AU19" s="3045"/>
      <c r="AV19" s="17">
        <f t="shared" si="10"/>
        <v>0</v>
      </c>
      <c r="AW19" s="17">
        <f t="shared" si="10"/>
        <v>0</v>
      </c>
      <c r="AX19" s="17" t="str">
        <f t="shared" si="10"/>
        <v>7#</v>
      </c>
      <c r="AY19" s="3180">
        <f t="shared" si="11"/>
        <v>1923.09</v>
      </c>
      <c r="AZ19" s="27">
        <f t="shared" si="12"/>
        <v>7005.05</v>
      </c>
      <c r="BA19" s="27">
        <f t="shared" si="13"/>
        <v>6898.59</v>
      </c>
      <c r="BB19" s="27">
        <f t="shared" si="14"/>
        <v>6898.59</v>
      </c>
      <c r="BC19" s="27">
        <f t="shared" si="15"/>
        <v>0</v>
      </c>
      <c r="BD19" s="27">
        <f t="shared" si="16"/>
        <v>0</v>
      </c>
      <c r="BE19" s="27">
        <f t="shared" si="17"/>
        <v>0</v>
      </c>
      <c r="BF19" s="27">
        <f t="shared" si="18"/>
        <v>0</v>
      </c>
      <c r="BG19" s="27">
        <f t="shared" si="19"/>
        <v>0</v>
      </c>
      <c r="BH19" s="27">
        <f t="shared" si="20"/>
        <v>0</v>
      </c>
      <c r="BI19" s="27">
        <f t="shared" si="21"/>
        <v>0</v>
      </c>
      <c r="BJ19" s="27">
        <f t="shared" si="22"/>
        <v>0</v>
      </c>
      <c r="BK19" s="27">
        <f t="shared" si="23"/>
        <v>0</v>
      </c>
      <c r="BL19" s="27">
        <f t="shared" si="24"/>
        <v>106.46</v>
      </c>
      <c r="BM19" s="27">
        <f t="shared" si="25"/>
        <v>0</v>
      </c>
      <c r="BN19" s="27">
        <f t="shared" si="26"/>
        <v>0</v>
      </c>
      <c r="BO19" s="27">
        <f t="shared" si="27"/>
        <v>0</v>
      </c>
      <c r="BP19" s="27">
        <f t="shared" si="28"/>
        <v>0</v>
      </c>
      <c r="BQ19" s="27">
        <f t="shared" si="29"/>
        <v>0</v>
      </c>
      <c r="BR19" s="27">
        <f t="shared" si="30"/>
        <v>106.46</v>
      </c>
      <c r="BS19" s="27">
        <f t="shared" si="31"/>
        <v>0</v>
      </c>
      <c r="BT19" s="36">
        <f t="shared" si="32"/>
        <v>0</v>
      </c>
    </row>
    <row r="20" spans="1:72">
      <c r="A20" s="84"/>
      <c r="B20" s="1397"/>
      <c r="C20" s="3227" t="s">
        <v>3369</v>
      </c>
      <c r="D20" s="3038" t="s">
        <v>1678</v>
      </c>
      <c r="E20" s="87">
        <f t="shared" si="6"/>
        <v>1889.19</v>
      </c>
      <c r="F20" s="88"/>
      <c r="G20" s="89">
        <f t="shared" si="7"/>
        <v>6881.56</v>
      </c>
      <c r="H20" s="90">
        <f t="shared" si="8"/>
        <v>6155.2300000000005</v>
      </c>
      <c r="I20" s="1393">
        <v>5521.77</v>
      </c>
      <c r="J20" s="91"/>
      <c r="K20" s="1393">
        <v>633.46</v>
      </c>
      <c r="L20" s="1393">
        <v>633.46</v>
      </c>
      <c r="M20" s="91"/>
      <c r="N20" s="91"/>
      <c r="O20" s="91"/>
      <c r="P20" s="91"/>
      <c r="Q20" s="91"/>
      <c r="R20" s="91"/>
      <c r="S20" s="91"/>
      <c r="T20" s="91"/>
      <c r="U20" s="91"/>
      <c r="V20" s="91"/>
      <c r="W20" s="91"/>
      <c r="X20" s="91"/>
      <c r="Y20" s="91"/>
      <c r="Z20" s="91"/>
      <c r="AA20" s="91"/>
      <c r="AB20" s="91"/>
      <c r="AC20" s="87">
        <f t="shared" si="9"/>
        <v>726.33</v>
      </c>
      <c r="AD20" s="92"/>
      <c r="AE20" s="92"/>
      <c r="AF20" s="1395">
        <v>614.57000000000005</v>
      </c>
      <c r="AG20" s="1395">
        <v>614.57000000000005</v>
      </c>
      <c r="AH20" s="97"/>
      <c r="AI20" s="97"/>
      <c r="AJ20" s="97"/>
      <c r="AK20" s="97"/>
      <c r="AL20" s="97"/>
      <c r="AM20" s="97"/>
      <c r="AN20" s="1395">
        <v>111.76</v>
      </c>
      <c r="AO20" s="1395"/>
      <c r="AP20" s="92"/>
      <c r="AQ20" s="92"/>
      <c r="AR20" s="92"/>
      <c r="AS20" s="92"/>
      <c r="AT20" s="93"/>
      <c r="AU20" s="94"/>
      <c r="AV20" s="992">
        <f t="shared" si="10"/>
        <v>0</v>
      </c>
      <c r="AW20" s="992">
        <f t="shared" si="10"/>
        <v>0</v>
      </c>
      <c r="AX20" s="992" t="str">
        <f t="shared" si="10"/>
        <v>8#</v>
      </c>
      <c r="AY20" s="95">
        <f t="shared" si="11"/>
        <v>1546.57</v>
      </c>
      <c r="AZ20" s="87">
        <f t="shared" si="12"/>
        <v>5633.5300000000007</v>
      </c>
      <c r="BA20" s="87">
        <f t="shared" si="13"/>
        <v>5521.77</v>
      </c>
      <c r="BB20" s="87">
        <f t="shared" si="14"/>
        <v>5521.77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111.76</v>
      </c>
      <c r="BM20" s="87">
        <f t="shared" si="25"/>
        <v>0</v>
      </c>
      <c r="BN20" s="87">
        <f t="shared" si="26"/>
        <v>0</v>
      </c>
      <c r="BO20" s="87">
        <f t="shared" si="27"/>
        <v>0</v>
      </c>
      <c r="BP20" s="87">
        <f t="shared" si="28"/>
        <v>0</v>
      </c>
      <c r="BQ20" s="87">
        <f t="shared" si="29"/>
        <v>0</v>
      </c>
      <c r="BR20" s="87">
        <f t="shared" si="30"/>
        <v>111.76</v>
      </c>
      <c r="BS20" s="87">
        <f t="shared" si="31"/>
        <v>0</v>
      </c>
      <c r="BT20" s="96">
        <f t="shared" si="32"/>
        <v>0</v>
      </c>
    </row>
    <row r="21" spans="1:72">
      <c r="A21" s="84"/>
      <c r="B21" s="1392"/>
      <c r="C21" s="3227" t="s">
        <v>3373</v>
      </c>
      <c r="D21" s="3038" t="s">
        <v>1678</v>
      </c>
      <c r="E21" s="87">
        <f t="shared" ref="E21:E112" si="33">IF($C$3="是",ROUND($A$3*G21/$B$3,2),ROUND($A$3*(G21-AT21)/$B$3,2))</f>
        <v>2106.5700000000002</v>
      </c>
      <c r="F21" s="88"/>
      <c r="G21" s="89">
        <f t="shared" ref="G21:G109" si="34">H21+AC21+AT21</f>
        <v>7673.4000000000005</v>
      </c>
      <c r="H21" s="90">
        <f t="shared" ref="H21:H109" si="35">SUMIF(I$12:AB$12,"总值",I21:AB21)</f>
        <v>6932.1200000000008</v>
      </c>
      <c r="I21" s="1395">
        <v>6216.35</v>
      </c>
      <c r="J21" s="91"/>
      <c r="K21" s="1395">
        <v>715.77</v>
      </c>
      <c r="L21" s="1395">
        <v>715.77</v>
      </c>
      <c r="M21" s="91"/>
      <c r="N21" s="91"/>
      <c r="O21" s="91"/>
      <c r="P21" s="91"/>
      <c r="Q21" s="91"/>
      <c r="R21" s="91"/>
      <c r="S21" s="91"/>
      <c r="T21" s="91"/>
      <c r="U21" s="91"/>
      <c r="V21" s="91"/>
      <c r="W21" s="91"/>
      <c r="X21" s="91"/>
      <c r="Y21" s="91"/>
      <c r="Z21" s="91"/>
      <c r="AA21" s="91"/>
      <c r="AB21" s="91"/>
      <c r="AC21" s="87">
        <f t="shared" ref="AC21:AC109" si="36">SUMIF(AD$12:AS$12,"总值",AD21:AS21)</f>
        <v>741.28</v>
      </c>
      <c r="AD21" s="92"/>
      <c r="AE21" s="92"/>
      <c r="AF21" s="1396">
        <v>634.84</v>
      </c>
      <c r="AG21" s="1396">
        <v>634.84</v>
      </c>
      <c r="AH21" s="92"/>
      <c r="AI21" s="92"/>
      <c r="AJ21" s="92"/>
      <c r="AK21" s="92"/>
      <c r="AL21" s="92"/>
      <c r="AM21" s="92"/>
      <c r="AN21" s="1364">
        <v>106.44</v>
      </c>
      <c r="AO21" s="1364"/>
      <c r="AP21" s="92"/>
      <c r="AQ21" s="92"/>
      <c r="AR21" s="92"/>
      <c r="AS21" s="92"/>
      <c r="AT21" s="93"/>
      <c r="AU21" s="94"/>
      <c r="AV21" s="1978">
        <f t="shared" ref="AV21:AV112" si="37">A21</f>
        <v>0</v>
      </c>
      <c r="AW21" s="1978">
        <f t="shared" ref="AW21:AW112" si="38">B21</f>
        <v>0</v>
      </c>
      <c r="AX21" s="1978" t="str">
        <f t="shared" ref="AX21:AX112" si="39">C21</f>
        <v>9#</v>
      </c>
      <c r="AY21" s="95">
        <f t="shared" ref="AY21:AY109" si="40">ROUND($AY$6*AZ21/$AZ$5,2)</f>
        <v>1735.79</v>
      </c>
      <c r="AZ21" s="87">
        <f t="shared" ref="AZ21:AZ109" si="41">BA21+BL21</f>
        <v>6322.79</v>
      </c>
      <c r="BA21" s="87">
        <f t="shared" ref="BA21:BA109" si="42">SUM(BB21:BK21)</f>
        <v>6216.35</v>
      </c>
      <c r="BB21" s="87">
        <f t="shared" ref="BB21:BB109" si="43">IF($D21="是",I21-J21,0)</f>
        <v>6216.35</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106.44</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106.44</v>
      </c>
      <c r="BS21" s="87">
        <f t="shared" ref="BS21:BS109" si="60">IF($D21="是",AP21-AQ21,0)</f>
        <v>0</v>
      </c>
      <c r="BT21" s="96">
        <f t="shared" ref="BT21:BT109" si="61">IF($D21="是",AR21-AS21,0)</f>
        <v>0</v>
      </c>
    </row>
    <row r="22" spans="1:72">
      <c r="A22" s="84"/>
      <c r="B22" s="1392"/>
      <c r="C22" s="3227" t="s">
        <v>3374</v>
      </c>
      <c r="D22" s="3038" t="s">
        <v>1678</v>
      </c>
      <c r="E22" s="87">
        <f t="shared" si="33"/>
        <v>3984.06</v>
      </c>
      <c r="F22" s="88"/>
      <c r="G22" s="89">
        <f t="shared" si="34"/>
        <v>14512.34</v>
      </c>
      <c r="H22" s="90">
        <f t="shared" si="35"/>
        <v>13456.89</v>
      </c>
      <c r="I22" s="1395">
        <v>12434.59</v>
      </c>
      <c r="J22" s="91"/>
      <c r="K22" s="1395">
        <v>1022.3</v>
      </c>
      <c r="L22" s="1395">
        <v>1022.3</v>
      </c>
      <c r="M22" s="1364"/>
      <c r="N22" s="91"/>
      <c r="O22" s="91"/>
      <c r="P22" s="91"/>
      <c r="Q22" s="91"/>
      <c r="R22" s="91"/>
      <c r="S22" s="91"/>
      <c r="T22" s="91"/>
      <c r="U22" s="91"/>
      <c r="V22" s="91"/>
      <c r="W22" s="91"/>
      <c r="X22" s="91"/>
      <c r="Y22" s="91"/>
      <c r="Z22" s="91"/>
      <c r="AA22" s="91"/>
      <c r="AB22" s="91"/>
      <c r="AC22" s="87">
        <f t="shared" si="36"/>
        <v>1055.45</v>
      </c>
      <c r="AD22" s="1364"/>
      <c r="AE22" s="92"/>
      <c r="AF22" s="1396">
        <v>896.84</v>
      </c>
      <c r="AG22" s="1396">
        <v>896.84</v>
      </c>
      <c r="AH22" s="92"/>
      <c r="AI22" s="92"/>
      <c r="AJ22" s="92"/>
      <c r="AK22" s="92"/>
      <c r="AL22" s="1364"/>
      <c r="AM22" s="92"/>
      <c r="AN22" s="1364">
        <v>158.61000000000001</v>
      </c>
      <c r="AO22" s="1364"/>
      <c r="AP22" s="92"/>
      <c r="AQ22" s="92"/>
      <c r="AR22" s="92"/>
      <c r="AS22" s="92"/>
      <c r="AT22" s="93"/>
      <c r="AU22" s="94"/>
      <c r="AV22" s="1978">
        <f t="shared" si="37"/>
        <v>0</v>
      </c>
      <c r="AW22" s="1978">
        <f t="shared" si="38"/>
        <v>0</v>
      </c>
      <c r="AX22" s="1978" t="str">
        <f t="shared" si="39"/>
        <v>10#</v>
      </c>
      <c r="AY22" s="95">
        <f t="shared" si="40"/>
        <v>3457.2</v>
      </c>
      <c r="AZ22" s="87">
        <f t="shared" si="41"/>
        <v>12593.2</v>
      </c>
      <c r="BA22" s="87">
        <f t="shared" si="42"/>
        <v>12434.59</v>
      </c>
      <c r="BB22" s="87">
        <f t="shared" si="43"/>
        <v>12434.59</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158.61000000000001</v>
      </c>
      <c r="BM22" s="87">
        <f t="shared" si="54"/>
        <v>0</v>
      </c>
      <c r="BN22" s="87">
        <f t="shared" si="55"/>
        <v>0</v>
      </c>
      <c r="BO22" s="87">
        <f t="shared" si="56"/>
        <v>0</v>
      </c>
      <c r="BP22" s="87">
        <f t="shared" si="57"/>
        <v>0</v>
      </c>
      <c r="BQ22" s="87">
        <f t="shared" si="58"/>
        <v>0</v>
      </c>
      <c r="BR22" s="87">
        <f t="shared" si="59"/>
        <v>158.61000000000001</v>
      </c>
      <c r="BS22" s="87">
        <f t="shared" si="60"/>
        <v>0</v>
      </c>
      <c r="BT22" s="96">
        <f t="shared" si="61"/>
        <v>0</v>
      </c>
    </row>
    <row r="23" spans="1:72">
      <c r="A23" s="84"/>
      <c r="B23" s="1392"/>
      <c r="C23" s="3227" t="s">
        <v>3375</v>
      </c>
      <c r="D23" s="3038" t="s">
        <v>1678</v>
      </c>
      <c r="E23" s="87">
        <f t="shared" si="33"/>
        <v>3649.52</v>
      </c>
      <c r="F23" s="88"/>
      <c r="G23" s="89">
        <f t="shared" si="34"/>
        <v>13293.73</v>
      </c>
      <c r="H23" s="90">
        <f t="shared" si="35"/>
        <v>13175.01</v>
      </c>
      <c r="I23" s="1395">
        <v>11377.6</v>
      </c>
      <c r="J23" s="91"/>
      <c r="K23" s="1395">
        <v>1797.41</v>
      </c>
      <c r="L23" s="1395">
        <v>1797.41</v>
      </c>
      <c r="M23" s="1364"/>
      <c r="N23" s="91"/>
      <c r="O23" s="91"/>
      <c r="P23" s="91"/>
      <c r="Q23" s="91"/>
      <c r="R23" s="91"/>
      <c r="S23" s="91"/>
      <c r="T23" s="91"/>
      <c r="U23" s="91"/>
      <c r="V23" s="91"/>
      <c r="W23" s="91"/>
      <c r="X23" s="91"/>
      <c r="Y23" s="91"/>
      <c r="Z23" s="91"/>
      <c r="AA23" s="91"/>
      <c r="AB23" s="91"/>
      <c r="AC23" s="87">
        <f t="shared" si="36"/>
        <v>118.72</v>
      </c>
      <c r="AD23" s="92"/>
      <c r="AE23" s="92"/>
      <c r="AF23" s="1396"/>
      <c r="AG23" s="1396"/>
      <c r="AH23" s="92"/>
      <c r="AI23" s="92"/>
      <c r="AJ23" s="92"/>
      <c r="AK23" s="92"/>
      <c r="AL23" s="1364"/>
      <c r="AM23" s="92"/>
      <c r="AN23" s="1364">
        <v>118.72</v>
      </c>
      <c r="AO23" s="1364"/>
      <c r="AP23" s="92"/>
      <c r="AQ23" s="92"/>
      <c r="AR23" s="92"/>
      <c r="AS23" s="92"/>
      <c r="AT23" s="93"/>
      <c r="AU23" s="94"/>
      <c r="AV23" s="1978">
        <f t="shared" si="37"/>
        <v>0</v>
      </c>
      <c r="AW23" s="1978">
        <f t="shared" si="38"/>
        <v>0</v>
      </c>
      <c r="AX23" s="1978" t="str">
        <f t="shared" si="39"/>
        <v>11#</v>
      </c>
      <c r="AY23" s="95">
        <f t="shared" si="40"/>
        <v>3156.08</v>
      </c>
      <c r="AZ23" s="87">
        <f t="shared" si="41"/>
        <v>11496.32</v>
      </c>
      <c r="BA23" s="87">
        <f t="shared" si="42"/>
        <v>11377.6</v>
      </c>
      <c r="BB23" s="87">
        <f t="shared" si="43"/>
        <v>11377.6</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118.72</v>
      </c>
      <c r="BM23" s="87">
        <f t="shared" si="54"/>
        <v>0</v>
      </c>
      <c r="BN23" s="87">
        <f t="shared" si="55"/>
        <v>0</v>
      </c>
      <c r="BO23" s="87">
        <f t="shared" si="56"/>
        <v>0</v>
      </c>
      <c r="BP23" s="87">
        <f t="shared" si="57"/>
        <v>0</v>
      </c>
      <c r="BQ23" s="87">
        <f t="shared" si="58"/>
        <v>0</v>
      </c>
      <c r="BR23" s="87">
        <f t="shared" si="59"/>
        <v>118.72</v>
      </c>
      <c r="BS23" s="87">
        <f t="shared" si="60"/>
        <v>0</v>
      </c>
      <c r="BT23" s="96">
        <f t="shared" si="61"/>
        <v>0</v>
      </c>
    </row>
    <row r="24" spans="1:72">
      <c r="A24" s="84"/>
      <c r="B24" s="1392"/>
      <c r="C24" s="3227" t="s">
        <v>3376</v>
      </c>
      <c r="D24" s="3038" t="s">
        <v>1678</v>
      </c>
      <c r="E24" s="87">
        <f t="shared" si="33"/>
        <v>3330.05</v>
      </c>
      <c r="F24" s="88"/>
      <c r="G24" s="89">
        <f t="shared" si="34"/>
        <v>12130.05</v>
      </c>
      <c r="H24" s="90">
        <f t="shared" si="35"/>
        <v>12011.33</v>
      </c>
      <c r="I24" s="1395">
        <v>10352.81</v>
      </c>
      <c r="J24" s="91"/>
      <c r="K24" s="1395">
        <v>1658.52</v>
      </c>
      <c r="L24" s="1395">
        <v>1658.52</v>
      </c>
      <c r="M24" s="91"/>
      <c r="N24" s="91"/>
      <c r="O24" s="1364"/>
      <c r="P24" s="91"/>
      <c r="Q24" s="91"/>
      <c r="R24" s="91"/>
      <c r="S24" s="91"/>
      <c r="T24" s="91"/>
      <c r="U24" s="91"/>
      <c r="V24" s="91"/>
      <c r="W24" s="91"/>
      <c r="X24" s="91"/>
      <c r="Y24" s="91"/>
      <c r="Z24" s="91"/>
      <c r="AA24" s="91"/>
      <c r="AB24" s="91"/>
      <c r="AC24" s="87">
        <f t="shared" si="36"/>
        <v>118.72</v>
      </c>
      <c r="AD24" s="92"/>
      <c r="AE24" s="92"/>
      <c r="AF24" s="1396"/>
      <c r="AG24" s="1396"/>
      <c r="AH24" s="92"/>
      <c r="AI24" s="92"/>
      <c r="AJ24" s="92"/>
      <c r="AK24" s="92"/>
      <c r="AL24" s="92"/>
      <c r="AM24" s="92"/>
      <c r="AN24" s="1364">
        <v>118.72</v>
      </c>
      <c r="AO24" s="1364"/>
      <c r="AP24" s="92"/>
      <c r="AQ24" s="92"/>
      <c r="AR24" s="92"/>
      <c r="AS24" s="92"/>
      <c r="AT24" s="93"/>
      <c r="AU24" s="94"/>
      <c r="AV24" s="1978">
        <f t="shared" si="37"/>
        <v>0</v>
      </c>
      <c r="AW24" s="1978">
        <f t="shared" si="38"/>
        <v>0</v>
      </c>
      <c r="AX24" s="1978" t="str">
        <f t="shared" si="39"/>
        <v>12#</v>
      </c>
      <c r="AY24" s="95">
        <f t="shared" si="40"/>
        <v>2874.74</v>
      </c>
      <c r="AZ24" s="87">
        <f t="shared" si="41"/>
        <v>10471.529999999999</v>
      </c>
      <c r="BA24" s="87">
        <f t="shared" si="42"/>
        <v>10352.81</v>
      </c>
      <c r="BB24" s="87">
        <f t="shared" si="43"/>
        <v>10352.81</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118.72</v>
      </c>
      <c r="BM24" s="87">
        <f t="shared" si="54"/>
        <v>0</v>
      </c>
      <c r="BN24" s="87">
        <f t="shared" si="55"/>
        <v>0</v>
      </c>
      <c r="BO24" s="87">
        <f t="shared" si="56"/>
        <v>0</v>
      </c>
      <c r="BP24" s="87">
        <f t="shared" si="57"/>
        <v>0</v>
      </c>
      <c r="BQ24" s="87">
        <f t="shared" si="58"/>
        <v>0</v>
      </c>
      <c r="BR24" s="87">
        <f t="shared" si="59"/>
        <v>118.72</v>
      </c>
      <c r="BS24" s="87">
        <f t="shared" si="60"/>
        <v>0</v>
      </c>
      <c r="BT24" s="96">
        <f t="shared" si="61"/>
        <v>0</v>
      </c>
    </row>
    <row r="25" spans="1:72">
      <c r="A25" s="84"/>
      <c r="B25" s="1392"/>
      <c r="C25" s="1393" t="s">
        <v>3377</v>
      </c>
      <c r="D25" s="3038" t="s">
        <v>1678</v>
      </c>
      <c r="E25" s="87">
        <f t="shared" si="33"/>
        <v>14720.51</v>
      </c>
      <c r="F25" s="88"/>
      <c r="G25" s="89">
        <f t="shared" si="34"/>
        <v>53620.92</v>
      </c>
      <c r="H25" s="90">
        <f t="shared" si="35"/>
        <v>38883.97</v>
      </c>
      <c r="I25" s="1395"/>
      <c r="J25" s="91"/>
      <c r="K25" s="1395"/>
      <c r="L25" s="91"/>
      <c r="M25" s="91">
        <f>51760.47-AT25</f>
        <v>38883.97</v>
      </c>
      <c r="N25" s="91"/>
      <c r="O25" s="91"/>
      <c r="P25" s="91"/>
      <c r="Q25" s="91"/>
      <c r="R25" s="91"/>
      <c r="S25" s="91"/>
      <c r="T25" s="91"/>
      <c r="U25" s="91"/>
      <c r="V25" s="91"/>
      <c r="W25" s="91"/>
      <c r="X25" s="91"/>
      <c r="Y25" s="91"/>
      <c r="Z25" s="91"/>
      <c r="AA25" s="91"/>
      <c r="AB25" s="91"/>
      <c r="AC25" s="87">
        <f t="shared" si="36"/>
        <v>1860.45</v>
      </c>
      <c r="AD25" s="92"/>
      <c r="AE25" s="92"/>
      <c r="AF25" s="1396">
        <f>112.66+478.83+1023.73</f>
        <v>1615.22</v>
      </c>
      <c r="AG25" s="1396">
        <f>112.66+478.83+1023.73</f>
        <v>1615.22</v>
      </c>
      <c r="AH25" s="92"/>
      <c r="AI25" s="92"/>
      <c r="AJ25" s="92"/>
      <c r="AK25" s="92"/>
      <c r="AL25" s="92"/>
      <c r="AM25" s="92"/>
      <c r="AN25" s="92">
        <v>245.23</v>
      </c>
      <c r="AO25" s="92"/>
      <c r="AP25" s="92"/>
      <c r="AQ25" s="92"/>
      <c r="AR25" s="92"/>
      <c r="AS25" s="92"/>
      <c r="AT25" s="93">
        <f>12486.5+390</f>
        <v>12876.5</v>
      </c>
      <c r="AU25" s="94"/>
      <c r="AV25" s="1978">
        <f t="shared" si="37"/>
        <v>0</v>
      </c>
      <c r="AW25" s="1978">
        <f t="shared" si="38"/>
        <v>0</v>
      </c>
      <c r="AX25" s="1978" t="str">
        <f t="shared" si="39"/>
        <v>车库</v>
      </c>
      <c r="AY25" s="95">
        <f t="shared" si="40"/>
        <v>10742.11</v>
      </c>
      <c r="AZ25" s="87">
        <f t="shared" si="41"/>
        <v>39129.200000000004</v>
      </c>
      <c r="BA25" s="87">
        <f t="shared" si="42"/>
        <v>38883.97</v>
      </c>
      <c r="BB25" s="87">
        <f t="shared" si="43"/>
        <v>0</v>
      </c>
      <c r="BC25" s="87">
        <f t="shared" si="44"/>
        <v>0</v>
      </c>
      <c r="BD25" s="87">
        <f t="shared" si="45"/>
        <v>38883.97</v>
      </c>
      <c r="BE25" s="87">
        <f t="shared" si="46"/>
        <v>0</v>
      </c>
      <c r="BF25" s="87">
        <f t="shared" si="47"/>
        <v>0</v>
      </c>
      <c r="BG25" s="87">
        <f t="shared" si="48"/>
        <v>0</v>
      </c>
      <c r="BH25" s="87">
        <f t="shared" si="49"/>
        <v>0</v>
      </c>
      <c r="BI25" s="87">
        <f t="shared" si="50"/>
        <v>0</v>
      </c>
      <c r="BJ25" s="87">
        <f t="shared" si="51"/>
        <v>0</v>
      </c>
      <c r="BK25" s="87">
        <f t="shared" si="52"/>
        <v>0</v>
      </c>
      <c r="BL25" s="87">
        <f t="shared" si="53"/>
        <v>245.23</v>
      </c>
      <c r="BM25" s="87">
        <f t="shared" si="54"/>
        <v>0</v>
      </c>
      <c r="BN25" s="87">
        <f t="shared" si="55"/>
        <v>0</v>
      </c>
      <c r="BO25" s="87">
        <f t="shared" si="56"/>
        <v>0</v>
      </c>
      <c r="BP25" s="87">
        <f t="shared" si="57"/>
        <v>0</v>
      </c>
      <c r="BQ25" s="87">
        <f t="shared" si="58"/>
        <v>0</v>
      </c>
      <c r="BR25" s="87">
        <f t="shared" si="59"/>
        <v>245.23</v>
      </c>
      <c r="BS25" s="87">
        <f t="shared" si="60"/>
        <v>0</v>
      </c>
      <c r="BT25" s="96">
        <f t="shared" si="61"/>
        <v>0</v>
      </c>
    </row>
    <row r="26" spans="1:72">
      <c r="A26" s="84"/>
      <c r="B26" s="1392"/>
      <c r="C26" s="1393" t="s">
        <v>3378</v>
      </c>
      <c r="D26" s="3038" t="s">
        <v>1678</v>
      </c>
      <c r="E26" s="87">
        <f t="shared" si="33"/>
        <v>54.91</v>
      </c>
      <c r="F26" s="88"/>
      <c r="G26" s="89">
        <f t="shared" si="34"/>
        <v>200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f>30.02+27.12+27.12+27.12+27.12+20.5+20.5+20.5</f>
        <v>200</v>
      </c>
      <c r="AU26" s="94"/>
      <c r="AV26" s="1978">
        <f t="shared" si="37"/>
        <v>0</v>
      </c>
      <c r="AW26" s="1978">
        <f t="shared" si="38"/>
        <v>0</v>
      </c>
      <c r="AX26" s="1978" t="str">
        <f t="shared" si="39"/>
        <v>人防</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3211"/>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7" t="s">
        <v>0</v>
      </c>
      <c r="B1" s="3297" t="s">
        <v>4</v>
      </c>
      <c r="C1" s="3297" t="s">
        <v>5</v>
      </c>
      <c r="D1" s="3298" t="s">
        <v>40</v>
      </c>
      <c r="E1" s="3298" t="s">
        <v>41</v>
      </c>
      <c r="F1" s="3298"/>
      <c r="G1" s="3298"/>
      <c r="H1" s="3298"/>
      <c r="I1" s="3298"/>
      <c r="J1" s="3298"/>
      <c r="K1" s="3298"/>
      <c r="L1" s="3298"/>
      <c r="M1" s="3298"/>
    </row>
    <row r="2" spans="1:13" ht="27" customHeight="1">
      <c r="A2" s="3297"/>
      <c r="B2" s="3297"/>
      <c r="C2" s="3297"/>
      <c r="D2" s="3298"/>
      <c r="E2" s="3298" t="s">
        <v>24</v>
      </c>
      <c r="F2" s="3298" t="s">
        <v>25</v>
      </c>
      <c r="G2" s="3298"/>
      <c r="H2" s="3298"/>
      <c r="I2" s="3298"/>
      <c r="J2" s="3298" t="s">
        <v>26</v>
      </c>
      <c r="K2" s="3298"/>
      <c r="L2" s="3298"/>
      <c r="M2" s="3298"/>
    </row>
    <row r="3" spans="1:13" ht="28.5">
      <c r="A3" s="3297"/>
      <c r="B3" s="3297"/>
      <c r="C3" s="3297"/>
      <c r="D3" s="3298"/>
      <c r="E3" s="32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8" t="s">
        <v>42</v>
      </c>
      <c r="B9" s="3298"/>
      <c r="C9" s="32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H33" sqref="H3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308" t="s">
        <v>202</v>
      </c>
      <c r="B2" s="3308"/>
      <c r="C2" s="3308"/>
      <c r="D2" s="1974" t="s">
        <v>203</v>
      </c>
      <c r="E2" s="106" t="s">
        <v>204</v>
      </c>
      <c r="F2" s="1983"/>
      <c r="G2" s="1198"/>
      <c r="H2" s="1199"/>
      <c r="I2" s="1200" t="s">
        <v>856</v>
      </c>
      <c r="J2" s="1983"/>
      <c r="K2" s="1983"/>
      <c r="L2" s="1983"/>
    </row>
    <row r="3" spans="1:16" ht="15.75" thickBot="1">
      <c r="A3" s="3309" t="s">
        <v>205</v>
      </c>
      <c r="B3" s="3309"/>
      <c r="C3" s="3309"/>
      <c r="D3" s="107">
        <f>'数据-基础表'!AY6</f>
        <v>41849.370000000003</v>
      </c>
      <c r="E3" s="107">
        <f>'数据-基础表'!AZ5</f>
        <v>152440.46</v>
      </c>
      <c r="F3" s="1983"/>
      <c r="G3" s="280" t="s">
        <v>857</v>
      </c>
      <c r="H3" s="275" t="s">
        <v>858</v>
      </c>
      <c r="I3" s="1975">
        <f>ROUND('数据-基础表'!B3/'数据-基础表'!A3,2)</f>
        <v>3.64</v>
      </c>
      <c r="J3" s="1983"/>
      <c r="K3" s="1983"/>
      <c r="L3" s="1983"/>
    </row>
    <row r="4" spans="1:16" ht="15">
      <c r="A4" s="3310"/>
      <c r="B4" s="3311"/>
      <c r="C4" s="3312"/>
      <c r="D4" s="108" t="s">
        <v>203</v>
      </c>
      <c r="E4" s="109" t="s">
        <v>204</v>
      </c>
      <c r="F4" s="1983"/>
      <c r="G4" s="1201"/>
      <c r="H4" s="275" t="s">
        <v>859</v>
      </c>
      <c r="I4" s="1975">
        <f>ROUND(SUMIF('数据-基础表'!I9:AS9,"地上",'数据-基础表'!I5:AS5)/'数据-基础表'!A3,2)</f>
        <v>2.2000000000000002</v>
      </c>
      <c r="J4" s="1983"/>
      <c r="K4" s="1983"/>
      <c r="L4" s="1983"/>
    </row>
    <row r="5" spans="1:16">
      <c r="A5" s="110" t="s">
        <v>206</v>
      </c>
      <c r="B5" s="3313" t="s">
        <v>229</v>
      </c>
      <c r="C5" s="3313"/>
      <c r="D5" s="111">
        <f>ROUND($D$3*E5/$E$3,2)</f>
        <v>30712.7</v>
      </c>
      <c r="E5" s="112">
        <f>SUMIF('数据-基础表'!$11:$11,"住宅",'数据-基础表'!$5:$5)</f>
        <v>111874.03000000001</v>
      </c>
      <c r="F5" s="1983"/>
      <c r="G5" s="280" t="s">
        <v>860</v>
      </c>
      <c r="H5" s="275" t="s">
        <v>858</v>
      </c>
      <c r="I5" s="1975">
        <f>ROUND(E31/D31,2)</f>
        <v>3.64</v>
      </c>
      <c r="J5" s="1983"/>
      <c r="K5" s="1983"/>
      <c r="L5" s="1983"/>
    </row>
    <row r="6" spans="1:16" ht="15" thickBot="1">
      <c r="A6" s="113"/>
      <c r="B6" s="3313" t="s">
        <v>207</v>
      </c>
      <c r="C6" s="3313"/>
      <c r="D6" s="111">
        <f>ROUND($D$3*E6/$E$3,2)</f>
        <v>11136.67</v>
      </c>
      <c r="E6" s="112">
        <f>E3-E5</f>
        <v>40566.429999999978</v>
      </c>
      <c r="F6" s="1983"/>
      <c r="G6" s="1201"/>
      <c r="H6" s="275" t="s">
        <v>859</v>
      </c>
      <c r="I6" s="1975">
        <f>ROUND(F31/D31,2)</f>
        <v>2.67</v>
      </c>
      <c r="J6" s="1983"/>
      <c r="K6" s="1983"/>
      <c r="L6" s="1983"/>
    </row>
    <row r="7" spans="1:16" ht="15">
      <c r="A7" s="3305"/>
      <c r="B7" s="3306"/>
      <c r="C7" s="3307"/>
      <c r="D7" s="108" t="s">
        <v>203</v>
      </c>
      <c r="E7" s="114" t="s">
        <v>230</v>
      </c>
      <c r="F7" s="1983"/>
      <c r="G7" s="1156" t="s">
        <v>1645</v>
      </c>
      <c r="H7" s="1157"/>
      <c r="I7" s="1845"/>
      <c r="J7" s="1983"/>
      <c r="K7" s="1983"/>
      <c r="L7" s="1983"/>
    </row>
    <row r="8" spans="1:16">
      <c r="A8" s="110" t="s">
        <v>208</v>
      </c>
      <c r="B8" s="115" t="s">
        <v>209</v>
      </c>
      <c r="C8" s="111" t="s">
        <v>210</v>
      </c>
      <c r="D8" s="111">
        <f t="shared" ref="D8:D15" si="0">ROUND($D$3*E8/$E$3,2)</f>
        <v>30712.7</v>
      </c>
      <c r="E8" s="116">
        <f>SUMIF('数据-基础表'!BB10:BK10,"地上",'数据-基础表'!BB5:BK5)</f>
        <v>111874.03000000001</v>
      </c>
      <c r="F8" s="1983"/>
      <c r="G8" s="1985"/>
      <c r="H8" s="1985"/>
      <c r="I8" s="1983"/>
      <c r="J8" s="1983"/>
      <c r="K8" s="1983"/>
      <c r="L8" s="1983"/>
    </row>
    <row r="9" spans="1:16">
      <c r="A9" s="117"/>
      <c r="B9" s="118"/>
      <c r="C9" s="111" t="s">
        <v>211</v>
      </c>
      <c r="D9" s="111">
        <f t="shared" si="0"/>
        <v>0</v>
      </c>
      <c r="E9" s="119">
        <f>'数据-基础表'!AH13</f>
        <v>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10674.79</v>
      </c>
      <c r="E13" s="116">
        <f>SUMPRODUCT(('数据-基础表'!BB10:BK10="地下")*('数据-基础表'!BB11:BK11="车库")*('数据-基础表'!BB5:BK5))</f>
        <v>38883.97</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41387.490000000005</v>
      </c>
      <c r="E16" s="120">
        <f>SUM(E8:E15)</f>
        <v>150758</v>
      </c>
      <c r="F16" s="1983"/>
      <c r="G16" s="1985"/>
      <c r="H16" s="968" t="s">
        <v>218</v>
      </c>
      <c r="I16" s="969"/>
      <c r="J16" s="1983"/>
      <c r="K16" s="3299" t="s">
        <v>2567</v>
      </c>
      <c r="L16" s="3300"/>
      <c r="M16" s="3300"/>
      <c r="N16" s="3300"/>
      <c r="O16" s="3300"/>
      <c r="P16" s="3301"/>
    </row>
    <row r="17" spans="1:19" ht="15">
      <c r="A17" s="121" t="s">
        <v>215</v>
      </c>
      <c r="B17" s="122" t="s">
        <v>216</v>
      </c>
      <c r="C17" s="2297" t="s">
        <v>2313</v>
      </c>
      <c r="D17" s="108" t="s">
        <v>203</v>
      </c>
      <c r="E17" s="124" t="s">
        <v>204</v>
      </c>
      <c r="F17" s="125"/>
      <c r="G17" s="1365"/>
      <c r="H17" s="970" t="s">
        <v>217</v>
      </c>
      <c r="I17" s="971" t="s">
        <v>2312</v>
      </c>
      <c r="J17" s="1983"/>
      <c r="K17" s="3302" t="s">
        <v>2568</v>
      </c>
      <c r="L17" s="3303"/>
      <c r="M17" s="3304"/>
      <c r="N17" s="3302" t="s">
        <v>2569</v>
      </c>
      <c r="O17" s="3303"/>
      <c r="P17" s="3304"/>
      <c r="R17" s="2298" t="s">
        <v>2311</v>
      </c>
      <c r="S17" s="144"/>
    </row>
    <row r="18" spans="1:19" ht="15">
      <c r="A18" s="117"/>
      <c r="B18" s="128"/>
      <c r="C18" s="129"/>
      <c r="D18" s="2665"/>
      <c r="E18" s="130" t="s">
        <v>219</v>
      </c>
      <c r="F18" s="131" t="s">
        <v>220</v>
      </c>
      <c r="G18" s="1366" t="s">
        <v>221</v>
      </c>
      <c r="H18" s="972" t="s">
        <v>222</v>
      </c>
      <c r="I18" s="973" t="s">
        <v>223</v>
      </c>
      <c r="J18" s="1983"/>
      <c r="K18" s="2628" t="s">
        <v>2570</v>
      </c>
      <c r="L18" s="2629" t="s">
        <v>2571</v>
      </c>
      <c r="M18" s="2630" t="s">
        <v>2572</v>
      </c>
      <c r="N18" s="2628" t="s">
        <v>2570</v>
      </c>
      <c r="O18" s="2629" t="s">
        <v>2571</v>
      </c>
      <c r="P18" s="2630" t="s">
        <v>2572</v>
      </c>
      <c r="R18" s="2299" t="s">
        <v>2309</v>
      </c>
      <c r="S18" s="2299" t="s">
        <v>2310</v>
      </c>
    </row>
    <row r="19" spans="1:19">
      <c r="A19" s="133"/>
      <c r="B19" s="115" t="s">
        <v>224</v>
      </c>
      <c r="C19" s="3046" t="s">
        <v>3007</v>
      </c>
      <c r="D19" s="111">
        <f t="shared" ref="D19:D26" si="1">ROUND($D$3*E19/$E$3,2)</f>
        <v>30712.7</v>
      </c>
      <c r="E19" s="134">
        <f t="shared" ref="E19:E26" si="2">SUM(F19:G19)</f>
        <v>111874.03000000001</v>
      </c>
      <c r="F19" s="135">
        <f>'数据-基础表'!I5</f>
        <v>111874.03000000001</v>
      </c>
      <c r="G19" s="1367"/>
      <c r="H19" s="974">
        <f>ROUND($D$3*I19/$E$3,2)</f>
        <v>342.75</v>
      </c>
      <c r="I19" s="116">
        <f>IF($I$17="自定义",P19,M19)</f>
        <v>1248.51</v>
      </c>
      <c r="J19" s="1983"/>
      <c r="K19" s="2631">
        <f t="shared" ref="K19:K26" si="3">ROUND(E$28*E19/E$27,2)</f>
        <v>1248.51</v>
      </c>
      <c r="L19" s="275">
        <f t="shared" ref="L19:L26" si="4">ROUND(IF(COUNTIF(C19,"*住宅*")&gt;0,E$29*E19/E$32,0),2)</f>
        <v>0</v>
      </c>
      <c r="M19" s="2632">
        <f>K19+L19</f>
        <v>1248.51</v>
      </c>
      <c r="N19" s="2633"/>
      <c r="O19" s="2634"/>
      <c r="P19" s="2635">
        <f>N19+O19</f>
        <v>0</v>
      </c>
      <c r="R19" s="275">
        <f t="shared" ref="R19:S26" si="5">D19+H19</f>
        <v>31055.45</v>
      </c>
      <c r="S19" s="2300">
        <f t="shared" si="5"/>
        <v>113122.54000000001</v>
      </c>
    </row>
    <row r="20" spans="1:19">
      <c r="A20" s="138"/>
      <c r="B20" s="115" t="s">
        <v>225</v>
      </c>
      <c r="C20" s="3046" t="s">
        <v>3009</v>
      </c>
      <c r="D20" s="111">
        <f t="shared" si="1"/>
        <v>0</v>
      </c>
      <c r="E20" s="134">
        <f t="shared" si="2"/>
        <v>0</v>
      </c>
      <c r="F20" s="135"/>
      <c r="G20" s="1367"/>
      <c r="H20" s="974">
        <f t="shared" ref="H20:H26" si="6">ROUND($D$3*I20/$E$3,2)</f>
        <v>0</v>
      </c>
      <c r="I20" s="116">
        <f t="shared" ref="I20:I26" si="7">IF($I$17="自定义",P20,M20)</f>
        <v>0</v>
      </c>
      <c r="J20" s="1983"/>
      <c r="K20" s="2631">
        <f t="shared" si="3"/>
        <v>0</v>
      </c>
      <c r="L20" s="275">
        <f t="shared" si="4"/>
        <v>0</v>
      </c>
      <c r="M20" s="2632">
        <f t="shared" ref="M20:M26" si="8">K20+L20</f>
        <v>0</v>
      </c>
      <c r="N20" s="2633"/>
      <c r="O20" s="2634"/>
      <c r="P20" s="2635">
        <f t="shared" ref="P20:P26" si="9">N20+O20</f>
        <v>0</v>
      </c>
      <c r="R20" s="275">
        <f t="shared" si="5"/>
        <v>0</v>
      </c>
      <c r="S20" s="2300">
        <f t="shared" si="5"/>
        <v>0</v>
      </c>
    </row>
    <row r="21" spans="1:19">
      <c r="A21" s="138"/>
      <c r="B21" s="115" t="s">
        <v>225</v>
      </c>
      <c r="C21" s="3046" t="s">
        <v>3010</v>
      </c>
      <c r="D21" s="111">
        <f t="shared" si="1"/>
        <v>10674.79</v>
      </c>
      <c r="E21" s="134">
        <f t="shared" si="2"/>
        <v>38883.97</v>
      </c>
      <c r="F21" s="135"/>
      <c r="G21" s="1367">
        <f>'数据-基础表'!M5</f>
        <v>38883.97</v>
      </c>
      <c r="H21" s="974">
        <f t="shared" si="6"/>
        <v>119.13</v>
      </c>
      <c r="I21" s="116">
        <f t="shared" si="7"/>
        <v>433.95</v>
      </c>
      <c r="J21" s="1983"/>
      <c r="K21" s="2631">
        <f t="shared" si="3"/>
        <v>433.95</v>
      </c>
      <c r="L21" s="275">
        <f t="shared" si="4"/>
        <v>0</v>
      </c>
      <c r="M21" s="2632">
        <f t="shared" si="8"/>
        <v>433.95</v>
      </c>
      <c r="N21" s="2633"/>
      <c r="O21" s="2634"/>
      <c r="P21" s="2635">
        <f t="shared" si="9"/>
        <v>0</v>
      </c>
      <c r="R21" s="275">
        <f t="shared" si="5"/>
        <v>10793.92</v>
      </c>
      <c r="S21" s="2300">
        <f t="shared" si="5"/>
        <v>39317.919999999998</v>
      </c>
    </row>
    <row r="22" spans="1:19">
      <c r="A22" s="138"/>
      <c r="B22" s="115" t="s">
        <v>225</v>
      </c>
      <c r="C22" s="3215" t="s">
        <v>3214</v>
      </c>
      <c r="D22" s="111">
        <f t="shared" si="1"/>
        <v>0</v>
      </c>
      <c r="E22" s="134">
        <f t="shared" si="2"/>
        <v>0</v>
      </c>
      <c r="F22" s="140">
        <f>'数据-基础表'!O5</f>
        <v>0</v>
      </c>
      <c r="G22" s="1368"/>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225</v>
      </c>
      <c r="C23" s="139"/>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225</v>
      </c>
      <c r="C24" s="139"/>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225</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225</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214</v>
      </c>
      <c r="D27" s="134">
        <f>SUM(D19:D26)</f>
        <v>41387.490000000005</v>
      </c>
      <c r="E27" s="143">
        <f>IF(SUM(E19:E26)='数据-基础表'!BA5,SUM(E19:E26),IF(F27="地上面积有误","面积有误","地下面积有误"))</f>
        <v>150758</v>
      </c>
      <c r="F27" s="134">
        <f>IF(SUM(F19:F26)=E8,SUM(F19:F26),"地上面积有误")</f>
        <v>111874.03000000001</v>
      </c>
      <c r="G27" s="112">
        <f>SUM(G19:G26)</f>
        <v>38883.97</v>
      </c>
      <c r="H27" s="975">
        <f>SUM(H19:H26)</f>
        <v>461.88</v>
      </c>
      <c r="I27" s="976">
        <f>SUM(I19:I26)</f>
        <v>1682.46</v>
      </c>
      <c r="J27" s="1983"/>
      <c r="K27" s="2640">
        <f>SUM(K19:K26)</f>
        <v>1682.46</v>
      </c>
      <c r="L27" s="2641">
        <f>SUM(L19:L26)</f>
        <v>0</v>
      </c>
      <c r="M27" s="2642">
        <f>SUM(M19:M26)</f>
        <v>1682.46</v>
      </c>
      <c r="N27" s="2640">
        <f t="shared" ref="N27:O27" si="10">SUM(N19:N26)</f>
        <v>0</v>
      </c>
      <c r="O27" s="2641">
        <f t="shared" si="10"/>
        <v>0</v>
      </c>
      <c r="P27" s="2643">
        <f>SUM(P19:P26)</f>
        <v>0</v>
      </c>
      <c r="R27" s="2304">
        <f>IF(SUM(R19:R26)=$D$3,SUM(R19:R26),SUM(R19:R26)&amp;"误差"&amp;ROUND(SUM(R19:R26)-$D$3,2))</f>
        <v>41849.370000000003</v>
      </c>
      <c r="S27" s="275">
        <f>IF(SUM(S19:S26)=$E$3,SUM(S19:S26),SUM(S19:S26)&amp;"误差"&amp;ROUND(SUM(S19:S26)-E3,2))</f>
        <v>152440.46000000002</v>
      </c>
    </row>
    <row r="28" spans="1:19">
      <c r="A28" s="138"/>
      <c r="B28" s="115" t="s">
        <v>226</v>
      </c>
      <c r="C28" s="136" t="s">
        <v>227</v>
      </c>
      <c r="D28" s="111">
        <f>ROUND($D$3*E28/$E$3,2)</f>
        <v>461.88</v>
      </c>
      <c r="E28" s="134">
        <f>SUM(F28:G28)</f>
        <v>1682.46</v>
      </c>
      <c r="F28" s="144">
        <f>'数据-基础表'!BQ5+'数据-基础表'!BS5</f>
        <v>0</v>
      </c>
      <c r="G28" s="145">
        <f>'数据-基础表'!BR5+'数据-基础表'!BT5</f>
        <v>1682.46</v>
      </c>
      <c r="H28" s="1983"/>
      <c r="I28" s="1983"/>
      <c r="J28" s="1983"/>
      <c r="K28" s="1983"/>
      <c r="L28" s="1983"/>
    </row>
    <row r="29" spans="1:19">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461.88</v>
      </c>
      <c r="E30" s="134">
        <f>SUM(E28:E29)</f>
        <v>1682.46</v>
      </c>
      <c r="F30" s="134">
        <f>SUM(F28:F29)</f>
        <v>0</v>
      </c>
      <c r="G30" s="112">
        <f>SUM(G28:G29)</f>
        <v>1682.46</v>
      </c>
      <c r="H30" s="1983"/>
      <c r="I30" s="1983"/>
      <c r="J30" s="1983"/>
      <c r="K30" s="1983"/>
      <c r="L30" s="1983"/>
    </row>
    <row r="31" spans="1:19" ht="32.25" customHeight="1" thickBot="1">
      <c r="A31" s="1369"/>
      <c r="B31" s="1370" t="s">
        <v>228</v>
      </c>
      <c r="C31" s="2329" t="s">
        <v>2322</v>
      </c>
      <c r="D31" s="1371">
        <f>D27+D30</f>
        <v>41849.370000000003</v>
      </c>
      <c r="E31" s="1371">
        <f>E27+E30</f>
        <v>152440.46</v>
      </c>
      <c r="F31" s="1372">
        <f>F27+F30</f>
        <v>111874.03000000001</v>
      </c>
      <c r="G31" s="1373">
        <f>G27+G30</f>
        <v>40566.43</v>
      </c>
      <c r="H31" s="1983"/>
      <c r="I31" s="1983"/>
      <c r="J31" s="1983"/>
      <c r="K31" s="1983"/>
      <c r="L31" s="1983"/>
    </row>
    <row r="32" spans="1:19">
      <c r="A32" s="1983"/>
      <c r="B32" s="2362" t="s">
        <v>2321</v>
      </c>
      <c r="C32" s="2670"/>
      <c r="D32" s="1201"/>
      <c r="E32" s="1201">
        <f>SUMIF(C19:C26,"*住宅*",E19:E26)</f>
        <v>111874.03000000001</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I7" sqref="I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234</v>
      </c>
      <c r="B2" s="2337">
        <f>项目基本情况!D3</f>
        <v>43348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2828</v>
      </c>
      <c r="O5" s="163" t="s">
        <v>245</v>
      </c>
      <c r="P5" s="165" t="s">
        <v>246</v>
      </c>
      <c r="Q5" s="166" t="s">
        <v>247</v>
      </c>
      <c r="R5" s="167" t="s">
        <v>248</v>
      </c>
      <c r="S5" s="2644" t="s">
        <v>2573</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414" t="s">
        <v>2374</v>
      </c>
      <c r="AO5" s="3210" t="s">
        <v>3209</v>
      </c>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68653</v>
      </c>
      <c r="F6" s="174">
        <f>SUMIF(项目基本情况!D$15:I$15,C6,项目基本情况!D$19:I$19)</f>
        <v>69.319999999999993</v>
      </c>
      <c r="G6" s="175">
        <f>IF(ISERROR(ROUND(POWER(1+H6,D6-F6)*(POWER(1+H6,F6)-1)/(POWER(1+H6,D6)-1),3)),0,ROUND(POWER(1+H6,D6-F6)*(POWER(1+H6,F6)-1)/(POWER(1+H6,D6)-1),3))</f>
        <v>0.998</v>
      </c>
      <c r="H6" s="3047">
        <v>0.04</v>
      </c>
      <c r="I6" s="3047">
        <v>4.4999999999999998E-2</v>
      </c>
      <c r="J6" s="176">
        <v>8.5000000000000006E-2</v>
      </c>
      <c r="K6" s="179">
        <f>SUMIF('数据-汇总表'!C$19:C$33,'数据-取费表'!A6,'数据-汇总表'!E$19:E$33)</f>
        <v>111874.03000000001</v>
      </c>
      <c r="L6" s="3048">
        <v>3200</v>
      </c>
      <c r="M6" s="177">
        <f t="shared" ref="M6:M14" si="0">ROUND(K6*L6/10000,0)</f>
        <v>35800</v>
      </c>
      <c r="N6" s="3049">
        <v>0</v>
      </c>
      <c r="O6" s="177">
        <f>IF($N$5="成新度","——",ROUND(M6*N6,0))</f>
        <v>0</v>
      </c>
      <c r="P6" s="178">
        <f>IF($N$5="成新度","——",M6-O6)</f>
        <v>35800</v>
      </c>
      <c r="Q6" s="3207">
        <v>0.08</v>
      </c>
      <c r="R6" s="179">
        <f>SUMIF('数据-汇总表'!C$19:C$33,A6,'数据-汇总表'!R$19:R$33)</f>
        <v>31055.45</v>
      </c>
      <c r="S6" s="132">
        <f>IF('数据-汇总表'!$I$17="按面积比例",SUMIF('数据-汇总表'!C$19:C$33,A6,'数据-汇总表'!K$19:K$33),SUMIF('数据-汇总表'!C$19:C$33,A6,'数据-汇总表'!N$19:N$33))</f>
        <v>1248.51</v>
      </c>
      <c r="T6" s="2233">
        <f>IF($T$4="按面积比例",IF(ISERROR(ROUND($M$14*S6/S$16,0)),"0",ROUND($M$14*S6/S$16,0)),"需自行计算录入")</f>
        <v>350</v>
      </c>
      <c r="U6" s="3208"/>
      <c r="V6" s="3209"/>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c r="AL6" s="190"/>
      <c r="AM6" s="3060"/>
      <c r="AN6" s="2415"/>
      <c r="AO6" s="1999"/>
      <c r="AP6" s="1204">
        <f>ROUND(1-1/(1+H6)^F6,3)</f>
        <v>0.93400000000000005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地下库房</v>
      </c>
      <c r="B7" s="2336" t="str">
        <f t="shared" ref="B7:B13" si="1">IF(A7=0,"","经营性")</f>
        <v>经营性</v>
      </c>
      <c r="C7" s="173" t="s">
        <v>3002</v>
      </c>
      <c r="D7" s="2307">
        <f>SUMIF(项目基本情况!D$15:I$15,C7,项目基本情况!D$18:I$18)</f>
        <v>50</v>
      </c>
      <c r="E7" s="2308">
        <f>IF(B7="","",SUMIF(项目基本情况!D$15:I$15,C7,项目基本情况!D$17:I$17))</f>
        <v>61348</v>
      </c>
      <c r="F7" s="174">
        <f>SUMIF(项目基本情况!D$15:I$15,C7,项目基本情况!D$19:I$19)</f>
        <v>49.31</v>
      </c>
      <c r="G7" s="175">
        <f t="shared" ref="G7:G11" si="2">IF(ISERROR(ROUND(POWER(1+H7,D7-F7)*(POWER(1+H7,F7)-1)/(POWER(1+H7,D7)-1),3)),0,ROUND(POWER(1+H7,D7-F7)*(POWER(1+H7,F7)-1)/(POWER(1+H7,D7)-1),3))</f>
        <v>0.997</v>
      </c>
      <c r="H7" s="3047">
        <v>0.05</v>
      </c>
      <c r="I7" s="3047">
        <v>5.5E-2</v>
      </c>
      <c r="J7" s="176">
        <v>8.5000000000000006E-2</v>
      </c>
      <c r="K7" s="179">
        <f>SUMIF('数据-汇总表'!C$19:C$33,'数据-取费表'!A7,'数据-汇总表'!E$19:E$33)</f>
        <v>0</v>
      </c>
      <c r="L7" s="3048">
        <v>2800</v>
      </c>
      <c r="M7" s="177">
        <f t="shared" si="0"/>
        <v>0</v>
      </c>
      <c r="N7" s="3049">
        <v>0</v>
      </c>
      <c r="O7" s="177">
        <f t="shared" ref="O7:O14" si="3">IF($N$5="成新度","——",ROUND(M7*N7,0))</f>
        <v>0</v>
      </c>
      <c r="P7" s="178">
        <f t="shared" ref="P7:P14" si="4">IF($N$5="成新度","——",M7-O7)</f>
        <v>0</v>
      </c>
      <c r="Q7" s="3207">
        <v>0.05</v>
      </c>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v>2.5</v>
      </c>
      <c r="V7" s="181">
        <v>2.5000000000000001E-2</v>
      </c>
      <c r="W7" s="181">
        <v>0.1</v>
      </c>
      <c r="X7" s="2320"/>
      <c r="Y7" s="182">
        <v>1</v>
      </c>
      <c r="Z7" s="183"/>
      <c r="AA7" s="176"/>
      <c r="AB7" s="176"/>
      <c r="AC7" s="2323"/>
      <c r="AD7" s="184"/>
      <c r="AE7" s="972">
        <f t="shared" ref="AE7:AE13" ca="1" si="6">IF(AN7="",0,SUMIF(INDIRECT("'"&amp;AN7&amp;"'"&amp;"!E:E"),$AE$5,INDIRECT("'"&amp;AN7&amp;"'"&amp;"!F:F")))</f>
        <v>47.31</v>
      </c>
      <c r="AF7" s="141"/>
      <c r="AG7" s="1213">
        <f t="shared" ref="AG7:AG13" si="7">IF(AF7="",0,AE7-AF7)</f>
        <v>0</v>
      </c>
      <c r="AH7" s="141"/>
      <c r="AI7" s="187">
        <v>365</v>
      </c>
      <c r="AJ7" s="188"/>
      <c r="AK7" s="189">
        <v>1.4999999999999999E-2</v>
      </c>
      <c r="AL7" s="190">
        <v>1.5E-3</v>
      </c>
      <c r="AM7" s="3060">
        <v>0.01</v>
      </c>
      <c r="AN7" s="2415" t="s">
        <v>3012</v>
      </c>
      <c r="AO7" s="1999"/>
      <c r="AP7" s="1204">
        <f t="shared" ref="AP7:AP13" si="8">ROUND(1-1/(1+H7)^F7,3)</f>
        <v>0.91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1"/>
        <v>经营性</v>
      </c>
      <c r="C8" s="173" t="s">
        <v>3004</v>
      </c>
      <c r="D8" s="2307">
        <f>SUMIF(项目基本情况!D$15:I$15,C8,项目基本情况!D$18:I$18)</f>
        <v>50</v>
      </c>
      <c r="E8" s="2308">
        <f>IF(B8="","",SUMIF(项目基本情况!D$15:I$15,C8,项目基本情况!D$17:I$17))</f>
        <v>61348</v>
      </c>
      <c r="F8" s="174">
        <f>SUMIF(项目基本情况!D$15:I$15,C8,项目基本情况!D$19:I$19)</f>
        <v>49.31</v>
      </c>
      <c r="G8" s="175">
        <f t="shared" si="2"/>
        <v>0.997</v>
      </c>
      <c r="H8" s="3047">
        <v>0.05</v>
      </c>
      <c r="I8" s="3047">
        <v>5.5E-2</v>
      </c>
      <c r="J8" s="176">
        <v>8.5000000000000006E-2</v>
      </c>
      <c r="K8" s="179">
        <f>SUMIF('数据-汇总表'!C$19:C$33,'数据-取费表'!A8,'数据-汇总表'!E$19:E$33)</f>
        <v>38883.97</v>
      </c>
      <c r="L8" s="3048">
        <v>2800</v>
      </c>
      <c r="M8" s="177">
        <f>ROUND(K8*L8/10000,0)</f>
        <v>10888</v>
      </c>
      <c r="N8" s="3049">
        <v>0</v>
      </c>
      <c r="O8" s="177">
        <f t="shared" si="3"/>
        <v>0</v>
      </c>
      <c r="P8" s="178">
        <f t="shared" si="4"/>
        <v>10888</v>
      </c>
      <c r="Q8" s="3207">
        <v>0.03</v>
      </c>
      <c r="R8" s="179">
        <f>SUMIF('数据-汇总表'!C$19:C$33,A8,'数据-汇总表'!R$19:R$33)</f>
        <v>10793.92</v>
      </c>
      <c r="S8" s="132">
        <f>IF('数据-汇总表'!$I$17="按面积比例",SUMIF('数据-汇总表'!C$19:C$33,A8,'数据-汇总表'!K$19:K$33),SUMIF('数据-汇总表'!C$19:C$33,A8,'数据-汇总表'!N$19:N$33))</f>
        <v>433.95</v>
      </c>
      <c r="T8" s="2233">
        <f t="shared" si="5"/>
        <v>121</v>
      </c>
      <c r="U8" s="180">
        <v>1500</v>
      </c>
      <c r="V8" s="181">
        <v>2.5000000000000001E-2</v>
      </c>
      <c r="W8" s="181">
        <v>0.05</v>
      </c>
      <c r="X8" s="2320"/>
      <c r="Y8" s="182">
        <v>1</v>
      </c>
      <c r="Z8" s="183"/>
      <c r="AA8" s="176"/>
      <c r="AB8" s="176"/>
      <c r="AC8" s="2323"/>
      <c r="AD8" s="184"/>
      <c r="AE8" s="972">
        <f t="shared" ca="1" si="6"/>
        <v>47.31</v>
      </c>
      <c r="AF8" s="141"/>
      <c r="AG8" s="1213">
        <f t="shared" si="7"/>
        <v>0</v>
      </c>
      <c r="AH8" s="141">
        <v>1110</v>
      </c>
      <c r="AI8" s="187">
        <v>12</v>
      </c>
      <c r="AJ8" s="188"/>
      <c r="AK8" s="189">
        <f>AK7</f>
        <v>1.4999999999999999E-2</v>
      </c>
      <c r="AL8" s="190">
        <f>AL7</f>
        <v>1.5E-3</v>
      </c>
      <c r="AM8" s="3060">
        <f>AM7</f>
        <v>0.01</v>
      </c>
      <c r="AN8" s="2415" t="s">
        <v>3014</v>
      </c>
      <c r="AO8" s="1999">
        <f>K8/35</f>
        <v>1110.9705714285715</v>
      </c>
      <c r="AP8" s="1204">
        <f t="shared" si="8"/>
        <v>0.91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商业</v>
      </c>
      <c r="B9" s="2336" t="str">
        <f t="shared" si="1"/>
        <v>经营性</v>
      </c>
      <c r="C9" s="173" t="s">
        <v>3006</v>
      </c>
      <c r="D9" s="2307">
        <f>SUMIF(项目基本情况!D$15:I$15,C9,项目基本情况!D$18:I$18)</f>
        <v>40</v>
      </c>
      <c r="E9" s="2308">
        <f>IF(B9="","",SUMIF(项目基本情况!D$15:I$15,C9,项目基本情况!D$17:I$17))</f>
        <v>57696</v>
      </c>
      <c r="F9" s="174">
        <f>SUMIF(项目基本情况!D$15:I$15,C9,项目基本情况!D$19:I$19)</f>
        <v>39.299999999999997</v>
      </c>
      <c r="G9" s="175">
        <f t="shared" si="2"/>
        <v>0.995</v>
      </c>
      <c r="H9" s="176">
        <v>5.5E-2</v>
      </c>
      <c r="I9" s="176">
        <v>0.06</v>
      </c>
      <c r="J9" s="176">
        <v>8.5000000000000006E-2</v>
      </c>
      <c r="K9" s="179">
        <f>SUMIF('数据-汇总表'!C$19:C$33,'数据-取费表'!A9,'数据-汇总表'!E$19:E$33)</f>
        <v>0</v>
      </c>
      <c r="L9" s="193">
        <v>3000</v>
      </c>
      <c r="M9" s="177">
        <f t="shared" si="0"/>
        <v>0</v>
      </c>
      <c r="N9" s="194">
        <v>0</v>
      </c>
      <c r="O9" s="177">
        <f t="shared" si="3"/>
        <v>0</v>
      </c>
      <c r="P9" s="178">
        <f t="shared" si="4"/>
        <v>0</v>
      </c>
      <c r="Q9" s="192">
        <v>0.15</v>
      </c>
      <c r="R9" s="179">
        <f>SUMIF('数据-汇总表'!C$19:C$33,A9,'数据-汇总表'!R$19:R$33)</f>
        <v>0</v>
      </c>
      <c r="S9" s="132">
        <f>IF('数据-汇总表'!$I$17="按面积比例",SUMIF('数据-汇总表'!C$19:C$33,A9,'数据-汇总表'!K$19:K$33),SUMIF('数据-汇总表'!C$19:C$33,A9,'数据-汇总表'!N$19:N$33))</f>
        <v>0</v>
      </c>
      <c r="T9" s="2233">
        <f t="shared" si="5"/>
        <v>0</v>
      </c>
      <c r="U9" s="180">
        <v>5</v>
      </c>
      <c r="V9" s="181">
        <v>0.03</v>
      </c>
      <c r="W9" s="181">
        <v>0.05</v>
      </c>
      <c r="X9" s="2320"/>
      <c r="Y9" s="182">
        <v>1</v>
      </c>
      <c r="Z9" s="183"/>
      <c r="AA9" s="176"/>
      <c r="AB9" s="176"/>
      <c r="AC9" s="2323"/>
      <c r="AD9" s="184"/>
      <c r="AE9" s="972">
        <f t="shared" ca="1" si="6"/>
        <v>37.299999999999997</v>
      </c>
      <c r="AF9" s="141"/>
      <c r="AG9" s="1213">
        <f t="shared" si="7"/>
        <v>0</v>
      </c>
      <c r="AH9" s="141"/>
      <c r="AI9" s="187">
        <v>365</v>
      </c>
      <c r="AJ9" s="188"/>
      <c r="AK9" s="189">
        <f>AK7</f>
        <v>1.4999999999999999E-2</v>
      </c>
      <c r="AL9" s="190">
        <f>AL7</f>
        <v>1.5E-3</v>
      </c>
      <c r="AM9" s="2413">
        <f>AM7</f>
        <v>0.01</v>
      </c>
      <c r="AN9" s="2415" t="s">
        <v>3215</v>
      </c>
      <c r="AO9" s="1999"/>
      <c r="AP9" s="1204">
        <f t="shared" si="8"/>
        <v>0.878</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2314</v>
      </c>
      <c r="B14" s="2305" t="s">
        <v>1679</v>
      </c>
      <c r="C14" s="2306" t="s">
        <v>2314</v>
      </c>
      <c r="D14" s="2307"/>
      <c r="E14" s="2308"/>
      <c r="F14" s="174"/>
      <c r="G14" s="175"/>
      <c r="H14" s="2309"/>
      <c r="I14" s="2309"/>
      <c r="J14" s="2309"/>
      <c r="K14" s="179">
        <f>SUMIF('数据-汇总表'!C$19:C$33,'数据-取费表'!A14,'数据-汇总表'!E$19:E$33)</f>
        <v>1682.46</v>
      </c>
      <c r="L14" s="193">
        <f>L8</f>
        <v>2800</v>
      </c>
      <c r="M14" s="177">
        <f t="shared" si="0"/>
        <v>471</v>
      </c>
      <c r="N14" s="194">
        <v>0</v>
      </c>
      <c r="O14" s="177">
        <f t="shared" si="3"/>
        <v>0</v>
      </c>
      <c r="P14" s="178">
        <f t="shared" si="4"/>
        <v>471</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261</v>
      </c>
      <c r="B16" s="199"/>
      <c r="C16" s="200"/>
      <c r="D16" s="201"/>
      <c r="E16" s="199"/>
      <c r="F16" s="199"/>
      <c r="G16" s="202">
        <f>ROUND(SUMPRODUCT(G6:G13,K6:K13)/SUMPRODUCT((G6:G13&gt;0)*(K6:K13)),3)</f>
        <v>0.998</v>
      </c>
      <c r="H16" s="203">
        <f>ROUND(SUMPRODUCT(H6:H13,K6:K13)/SUMPRODUCT((H6:H13&gt;0)*(K6:K13)),3)</f>
        <v>4.2999999999999997E-2</v>
      </c>
      <c r="I16" s="204"/>
      <c r="J16" s="204"/>
      <c r="K16" s="205">
        <f>SUM(K6:K15)</f>
        <v>152440.46</v>
      </c>
      <c r="L16" s="206">
        <f>ROUND(M16*10000/SUM(K6:K14),0)</f>
        <v>3094</v>
      </c>
      <c r="M16" s="206">
        <f>SUM(M6:M14)</f>
        <v>47159</v>
      </c>
      <c r="N16" s="207">
        <f>ROUND(SUMPRODUCT(M6:M14,N6:N14)/M16,3)</f>
        <v>0</v>
      </c>
      <c r="O16" s="206">
        <f>SUM(O6:O14)</f>
        <v>0</v>
      </c>
      <c r="P16" s="206">
        <f>SUM(P6:P14)</f>
        <v>47159</v>
      </c>
      <c r="Q16" s="208">
        <f>ROUND(SUMPRODUCT(Q6:Q13,K6:K13)/SUMPRODUCT((Q6:Q13&gt;0)*(K6:K13)),2)</f>
        <v>7.0000000000000007E-2</v>
      </c>
      <c r="R16" s="2310">
        <f>SUM(R6:R13)</f>
        <v>41849.370000000003</v>
      </c>
      <c r="S16" s="209">
        <f>SUM(S6:S13)</f>
        <v>1682.46</v>
      </c>
      <c r="T16" s="210">
        <f>IF(SUMIF(T6:T13,"&lt;9E307")=M14,SUMIF(T6:T13,"&lt;9E307"),"有误，请检查")</f>
        <v>471</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0.92800000000000005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2338</v>
      </c>
      <c r="B27" s="227">
        <v>160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2339</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273</v>
      </c>
      <c r="B31" s="230">
        <f>B30-B32</f>
        <v>130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274</v>
      </c>
      <c r="B32" s="1376">
        <v>70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277</v>
      </c>
      <c r="B33" s="1377">
        <v>0.03</v>
      </c>
      <c r="C33" s="2364" t="s">
        <v>2891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278</v>
      </c>
      <c r="B34" s="233">
        <v>0.02</v>
      </c>
      <c r="C34" s="2364" t="s">
        <v>2892</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275</v>
      </c>
      <c r="B35" s="229">
        <v>200</v>
      </c>
      <c r="C35" s="2364" t="s">
        <v>2893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2894</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279</v>
      </c>
      <c r="B37" s="236">
        <v>0.02</v>
      </c>
      <c r="C37" s="2364" t="s">
        <v>2895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280</v>
      </c>
      <c r="B38" s="233">
        <v>0.02</v>
      </c>
      <c r="C38" s="2364" t="s">
        <v>2895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2458</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282</v>
      </c>
      <c r="B42" s="240">
        <v>0.05</v>
      </c>
      <c r="C42" s="312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284</v>
      </c>
      <c r="B44" s="242">
        <v>7.0000000000000007E-2</v>
      </c>
      <c r="C44" s="2364" t="s">
        <v>2896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285</v>
      </c>
      <c r="B45" s="240">
        <v>0.03</v>
      </c>
      <c r="C45" s="2366" t="s">
        <v>2897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286</v>
      </c>
      <c r="B46" s="240">
        <v>0.02</v>
      </c>
      <c r="C46" s="2366" t="s">
        <v>2898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95" t="s">
        <v>2899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288</v>
      </c>
      <c r="B48" s="246">
        <v>0.03</v>
      </c>
      <c r="C48" s="3096" t="s">
        <v>2900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96" t="s">
        <v>2901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292</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293</v>
      </c>
      <c r="B53" s="251" t="s">
        <v>1407</v>
      </c>
      <c r="C53" s="3097" t="s">
        <v>2902</v>
      </c>
      <c r="D53" s="3098" t="s">
        <v>2903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0" t="s">
        <v>2904</v>
      </c>
      <c r="B54" s="186"/>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0" t="s">
        <v>2905</v>
      </c>
      <c r="B55" s="186"/>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0" t="s">
        <v>2906</v>
      </c>
      <c r="B56" s="186"/>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0" t="s">
        <v>2907</v>
      </c>
      <c r="B57" s="186"/>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0" t="s">
        <v>2908</v>
      </c>
      <c r="B58" s="186">
        <v>3</v>
      </c>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0" t="s">
        <v>2909</v>
      </c>
      <c r="B59" s="186"/>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0" t="s">
        <v>2910</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0" t="s">
        <v>2911</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0" t="s">
        <v>2912</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2913</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14" t="s">
        <v>1663</v>
      </c>
      <c r="B1" s="3315"/>
      <c r="C1" s="3315"/>
      <c r="D1" s="3315"/>
      <c r="E1" s="3315"/>
      <c r="F1" s="3315"/>
      <c r="G1" s="3315"/>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67.5">
      <c r="A3" s="1227" t="s">
        <v>1666</v>
      </c>
      <c r="B3" s="1228" t="s">
        <v>1653</v>
      </c>
      <c r="C3" s="3186" t="s">
        <v>3170</v>
      </c>
      <c r="D3" s="2008"/>
      <c r="E3" s="1229" t="s">
        <v>1666</v>
      </c>
      <c r="F3" s="1230" t="s">
        <v>1654</v>
      </c>
      <c r="G3" s="3105" t="s">
        <v>2918</v>
      </c>
      <c r="H3" s="2007"/>
      <c r="I3" s="2007"/>
      <c r="J3" s="2007"/>
      <c r="K3" s="2007"/>
      <c r="L3" s="2007"/>
      <c r="M3" s="2007"/>
      <c r="N3" s="2007"/>
      <c r="O3" s="2007"/>
      <c r="P3" s="2007"/>
      <c r="Q3" s="2007"/>
      <c r="R3" s="2007"/>
    </row>
    <row r="4" spans="1:18" ht="41.25">
      <c r="A4" s="1229"/>
      <c r="B4" s="1231" t="s">
        <v>1667</v>
      </c>
      <c r="C4" s="3102" t="s">
        <v>2919</v>
      </c>
      <c r="D4" s="2008"/>
      <c r="E4" s="1232"/>
      <c r="F4" s="1233" t="s">
        <v>1668</v>
      </c>
      <c r="G4" s="3103" t="s">
        <v>2915</v>
      </c>
      <c r="H4" s="2007"/>
      <c r="I4" s="2007"/>
      <c r="J4" s="2007"/>
      <c r="K4" s="2007"/>
      <c r="L4" s="2007"/>
      <c r="M4" s="2007"/>
      <c r="N4" s="2007"/>
      <c r="O4" s="2007"/>
      <c r="P4" s="2007"/>
      <c r="Q4" s="2007"/>
      <c r="R4" s="2007"/>
    </row>
    <row r="5" spans="1:18" ht="41.25">
      <c r="A5" s="1229"/>
      <c r="B5" s="1231" t="s">
        <v>1669</v>
      </c>
      <c r="C5" s="3102" t="s">
        <v>2920</v>
      </c>
      <c r="D5" s="2008"/>
      <c r="E5" s="1232"/>
      <c r="F5" s="1231" t="s">
        <v>2547</v>
      </c>
      <c r="G5" s="3103" t="s">
        <v>2916</v>
      </c>
      <c r="H5" s="2007"/>
      <c r="I5" s="2007"/>
      <c r="J5" s="2007"/>
      <c r="K5" s="2007"/>
      <c r="L5" s="2007"/>
      <c r="M5" s="2007"/>
      <c r="N5" s="2007"/>
      <c r="O5" s="2007"/>
      <c r="P5" s="2007"/>
      <c r="Q5" s="2007"/>
      <c r="R5" s="2007"/>
    </row>
    <row r="6" spans="1:18" ht="108">
      <c r="A6" s="1229"/>
      <c r="B6" s="1231" t="s">
        <v>1655</v>
      </c>
      <c r="C6" s="3189" t="s">
        <v>3173</v>
      </c>
      <c r="D6" s="2008"/>
      <c r="E6" s="1232"/>
      <c r="F6" s="1231" t="s">
        <v>2548</v>
      </c>
      <c r="G6" s="3103" t="s">
        <v>2914</v>
      </c>
      <c r="H6" s="2007"/>
      <c r="I6" s="2007"/>
      <c r="J6" s="2007"/>
      <c r="K6" s="2007"/>
      <c r="L6" s="2007"/>
      <c r="M6" s="2007"/>
      <c r="N6" s="2007"/>
      <c r="O6" s="2007"/>
      <c r="P6" s="2007"/>
      <c r="Q6" s="2007"/>
      <c r="R6" s="2007"/>
    </row>
    <row r="7" spans="1:18" ht="95.25" thickBot="1">
      <c r="A7" s="1229"/>
      <c r="B7" s="1231" t="s">
        <v>2547</v>
      </c>
      <c r="C7" s="3189" t="s">
        <v>3180</v>
      </c>
      <c r="D7" s="2009"/>
      <c r="E7" s="1234"/>
      <c r="F7" s="1235" t="s">
        <v>1670</v>
      </c>
      <c r="G7" s="3106" t="s">
        <v>2917</v>
      </c>
      <c r="H7" s="2007"/>
      <c r="I7" s="2007"/>
      <c r="J7" s="2007"/>
      <c r="K7" s="2007"/>
      <c r="L7" s="2007"/>
      <c r="M7" s="2007"/>
      <c r="N7" s="2007"/>
      <c r="O7" s="2007"/>
      <c r="P7" s="2007"/>
      <c r="Q7" s="2007"/>
      <c r="R7" s="2007"/>
    </row>
    <row r="8" spans="1:18" ht="27">
      <c r="A8" s="1229"/>
      <c r="B8" s="1231" t="s">
        <v>2548</v>
      </c>
      <c r="C8" s="3103" t="s">
        <v>2914</v>
      </c>
      <c r="D8" s="2009"/>
      <c r="E8" s="2009"/>
      <c r="F8" s="1552"/>
      <c r="G8" s="1552"/>
      <c r="H8" s="2007"/>
      <c r="I8" s="2007"/>
      <c r="J8" s="2007"/>
      <c r="K8" s="2007"/>
      <c r="L8" s="2007"/>
      <c r="M8" s="2007"/>
      <c r="N8" s="2007"/>
      <c r="O8" s="2007"/>
      <c r="P8" s="2007"/>
      <c r="Q8" s="2007"/>
      <c r="R8" s="2007"/>
    </row>
    <row r="9" spans="1:18" ht="54">
      <c r="A9" s="1229"/>
      <c r="B9" s="1231" t="s">
        <v>1656</v>
      </c>
      <c r="C9" s="3193" t="s">
        <v>3177</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0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4"/>
      <c r="E13" s="2601"/>
      <c r="F13" s="2601"/>
      <c r="G13" s="2601"/>
    </row>
    <row r="14" spans="1:18" ht="14.25" thickBot="1">
      <c r="A14" s="1238"/>
      <c r="B14" s="1239"/>
      <c r="C14" s="1240" t="s">
        <v>1664</v>
      </c>
      <c r="D14" s="2008"/>
      <c r="E14" s="1241"/>
      <c r="F14" s="1241"/>
      <c r="G14" s="1223" t="s">
        <v>1665</v>
      </c>
    </row>
    <row r="15" spans="1:18" ht="67.5">
      <c r="A15" s="2611" t="s">
        <v>1657</v>
      </c>
      <c r="B15" s="1242" t="s">
        <v>1653</v>
      </c>
      <c r="C15" s="1243" t="str">
        <f>C3</f>
        <v>估价对象周边居住用地比例较少、有颐风庄园、大牛坊社区等居住项目，综合评价居住社区成熟度一般</v>
      </c>
      <c r="D15" s="2008"/>
      <c r="E15" s="2608" t="s">
        <v>1658</v>
      </c>
      <c r="F15" s="1242" t="s">
        <v>1673</v>
      </c>
      <c r="G15" s="1244" t="str">
        <f>G3</f>
        <v>估价对象位于XX开发区，园区建设成熟度XX，产业集聚程度XX</v>
      </c>
    </row>
    <row r="16" spans="1:18" ht="40.5">
      <c r="A16" s="2612"/>
      <c r="B16" s="1245" t="s">
        <v>1667</v>
      </c>
      <c r="C16" s="1246" t="str">
        <f>C4</f>
        <v>估价对象位于XX商圈，周边商业氛围成熟，人流量大，商业繁华度好</v>
      </c>
      <c r="D16" s="2008"/>
      <c r="E16" s="2609"/>
      <c r="F16" s="1247" t="s">
        <v>1668</v>
      </c>
      <c r="G16" s="1005" t="str">
        <f>G4</f>
        <v>估价对象周边道路状况、公共交通通达情况、停车便捷程度，综合评价交通便捷度较好</v>
      </c>
    </row>
    <row r="17" spans="1:7" ht="40.5">
      <c r="A17" s="2612"/>
      <c r="B17" s="1245" t="s">
        <v>1669</v>
      </c>
      <c r="C17" s="1246" t="str">
        <f>C5</f>
        <v>估价对象位于XX商圈，周边办公楼项目较多，入驻率高，办公集聚程度较好</v>
      </c>
      <c r="D17" s="2009"/>
      <c r="E17" s="2609"/>
      <c r="F17" s="1247" t="s">
        <v>1674</v>
      </c>
      <c r="G17" s="2817"/>
    </row>
    <row r="18" spans="1:7" ht="108">
      <c r="A18" s="2612"/>
      <c r="B18" s="1247" t="s">
        <v>1655</v>
      </c>
      <c r="C18" s="1005" t="str">
        <f>C6</f>
        <v>周边路网密集，行车出入便捷，且项目及周边道路均设有停车场位，停车便捷。周边1公里范围内有438路、365路、449路、570路等多条公交线路及地铁16号线永丰站，公交便捷度较好。</v>
      </c>
      <c r="D18" s="2009"/>
      <c r="E18" s="2609"/>
      <c r="F18" s="1247" t="s">
        <v>1670</v>
      </c>
      <c r="G18" s="1005" t="str">
        <f>G7</f>
        <v>该园区内是否有污染型企业，绿化情况，卫生条件，整体环境状况判断</v>
      </c>
    </row>
    <row r="19" spans="1:7" ht="27">
      <c r="A19" s="2612"/>
      <c r="B19" s="1247" t="s">
        <v>1659</v>
      </c>
      <c r="C19" s="3190" t="s">
        <v>3175</v>
      </c>
      <c r="D19" s="2008"/>
      <c r="E19" s="2609"/>
      <c r="F19" s="1231" t="s">
        <v>2547</v>
      </c>
      <c r="G19" s="1005" t="str">
        <f>G5</f>
        <v>估价对象所在区域公共配套设施齐备情况</v>
      </c>
    </row>
    <row r="20" spans="1:7" ht="54">
      <c r="A20" s="2612"/>
      <c r="B20" s="1247" t="s">
        <v>1660</v>
      </c>
      <c r="C20" s="1246" t="str">
        <f>C9</f>
        <v>区域自然环境：无；人文环境有北京北大资源研修学院、；综合评价环境状况一般</v>
      </c>
      <c r="D20" s="2009"/>
      <c r="E20" s="2609"/>
      <c r="F20" s="1231" t="s">
        <v>2548</v>
      </c>
      <c r="G20" s="1005" t="str">
        <f>G6</f>
        <v>估价对象所在区域基础设施水平</v>
      </c>
    </row>
    <row r="21" spans="1:7" ht="94.5">
      <c r="A21" s="2612"/>
      <c r="B21" s="1231" t="s">
        <v>2547</v>
      </c>
      <c r="C21" s="1005" t="str">
        <f>C7</f>
        <v>周边2公里内的公共服务配套设施齐备，有购物场所（华联超市）、医院（无）、银行（工商银行、北京农商银行）、学校（海淀科技园小学）、餐饮等公共服务配套设施。</v>
      </c>
      <c r="D21" s="2008"/>
      <c r="E21" s="2609"/>
      <c r="F21" s="1247" t="s">
        <v>1661</v>
      </c>
      <c r="G21" s="3107"/>
    </row>
    <row r="22" spans="1:7" ht="27">
      <c r="A22" s="2612"/>
      <c r="B22" s="1231" t="s">
        <v>2548</v>
      </c>
      <c r="C22" s="1005" t="str">
        <f>C8</f>
        <v>估价对象所在区域基础设施水平</v>
      </c>
      <c r="D22" s="2008"/>
      <c r="E22" s="2609"/>
      <c r="F22" s="1247" t="s">
        <v>1671</v>
      </c>
      <c r="G22" s="2817"/>
    </row>
    <row r="23" spans="1:7" ht="15" thickBot="1">
      <c r="A23" s="2612"/>
      <c r="B23" s="1247" t="s">
        <v>1661</v>
      </c>
      <c r="C23" s="3107"/>
      <c r="E23" s="2610"/>
      <c r="F23" s="1248" t="s">
        <v>1675</v>
      </c>
      <c r="G23" s="3108"/>
    </row>
    <row r="24" spans="1:7" ht="14.25" thickBot="1">
      <c r="A24" s="2613"/>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3066" t="s">
        <v>2844</v>
      </c>
      <c r="B1" s="3066">
        <f>SUM(B14:B23)</f>
        <v>152440.46</v>
      </c>
      <c r="C1" s="3067"/>
      <c r="D1" s="3067"/>
      <c r="E1" s="3067"/>
      <c r="F1" s="3067"/>
    </row>
    <row r="2" spans="1:9" ht="16.5">
      <c r="A2" s="3066" t="s">
        <v>2845</v>
      </c>
      <c r="B2" s="3066">
        <f>SUM(C14:C23)</f>
        <v>41849.370000000003</v>
      </c>
      <c r="C2" s="3067"/>
      <c r="D2" s="3067"/>
      <c r="E2" s="3067"/>
      <c r="F2" s="3067"/>
    </row>
    <row r="3" spans="1:9" ht="16.5">
      <c r="A3" s="3066" t="s">
        <v>2846</v>
      </c>
      <c r="B3" s="3068">
        <f>项目基本情况!D3</f>
        <v>43348</v>
      </c>
      <c r="C3" s="3067"/>
      <c r="D3" s="3067"/>
      <c r="E3" s="3067"/>
      <c r="F3" s="3067"/>
    </row>
    <row r="4" spans="1:9" ht="33">
      <c r="A4" s="3066" t="s">
        <v>2847</v>
      </c>
      <c r="B4" s="3066" t="s">
        <v>2848</v>
      </c>
      <c r="C4" s="3066" t="s">
        <v>2849</v>
      </c>
      <c r="D4" s="3066" t="s">
        <v>2850</v>
      </c>
      <c r="E4" s="3067"/>
      <c r="F4" s="3067"/>
    </row>
    <row r="5" spans="1:9" ht="16.5">
      <c r="A5" s="3066" t="s">
        <v>2851</v>
      </c>
      <c r="B5" s="3066">
        <f ca="1">SUM(D14:D23)</f>
        <v>322575</v>
      </c>
      <c r="C5" s="3066">
        <f ca="1">ROUND(B5*10000/$B$1,0)</f>
        <v>21161</v>
      </c>
      <c r="D5" s="3066">
        <f ca="1">ROUND(B5*10000/$B$2,0)</f>
        <v>77080</v>
      </c>
      <c r="E5" s="3067"/>
      <c r="F5" s="3067"/>
    </row>
    <row r="6" spans="1:9" ht="16.5">
      <c r="A6" s="3066" t="s">
        <v>2852</v>
      </c>
      <c r="B6" s="3066">
        <f ca="1">SUM(G14:G23)</f>
        <v>322575</v>
      </c>
      <c r="C6" s="3066">
        <f t="shared" ref="C6:C8" ca="1" si="0">ROUND(B6*10000/$B$1,0)</f>
        <v>21161</v>
      </c>
      <c r="D6" s="3066">
        <f t="shared" ref="D6:D8" ca="1" si="1">ROUND(B6*10000/$B$2,0)</f>
        <v>77080</v>
      </c>
      <c r="E6" s="3067"/>
      <c r="F6" s="3067"/>
    </row>
    <row r="7" spans="1:9" ht="16.5">
      <c r="A7" s="3066" t="s">
        <v>2853</v>
      </c>
      <c r="B7" s="3066">
        <f>SUM(H14:H23)</f>
        <v>0</v>
      </c>
      <c r="C7" s="3066">
        <f t="shared" si="0"/>
        <v>0</v>
      </c>
      <c r="D7" s="3066">
        <f t="shared" si="1"/>
        <v>0</v>
      </c>
      <c r="E7" s="3067"/>
      <c r="F7" s="3067"/>
    </row>
    <row r="8" spans="1:9" ht="16.5">
      <c r="A8" s="3066" t="s">
        <v>2854</v>
      </c>
      <c r="B8" s="3066">
        <f>SUM(I14:I23)</f>
        <v>0</v>
      </c>
      <c r="C8" s="3066">
        <f t="shared" si="0"/>
        <v>0</v>
      </c>
      <c r="D8" s="3066">
        <f t="shared" si="1"/>
        <v>0</v>
      </c>
      <c r="E8" s="3067"/>
      <c r="F8" s="3067"/>
    </row>
    <row r="9" spans="1:9" ht="16.5">
      <c r="A9" s="3066" t="s">
        <v>2855</v>
      </c>
      <c r="B9" s="3069"/>
      <c r="C9" s="3067"/>
      <c r="D9" s="3067"/>
      <c r="E9" s="3067"/>
      <c r="F9" s="3067"/>
    </row>
    <row r="10" spans="1:9" ht="16.5">
      <c r="A10" s="3066" t="s">
        <v>2856</v>
      </c>
      <c r="B10" s="3069"/>
      <c r="C10" s="3067"/>
      <c r="D10" s="3067"/>
      <c r="E10" s="3067"/>
      <c r="F10" s="3067"/>
    </row>
    <row r="11" spans="1:9" ht="16.5">
      <c r="A11" s="3066" t="s">
        <v>2873</v>
      </c>
      <c r="B11" s="3069"/>
      <c r="C11" s="3067"/>
      <c r="D11" s="3067"/>
      <c r="E11" s="3067"/>
      <c r="F11" s="3067"/>
    </row>
    <row r="12" spans="1:9" ht="16.5">
      <c r="A12" s="3067"/>
      <c r="B12" s="3067"/>
      <c r="C12" s="3067"/>
      <c r="D12" s="3067"/>
      <c r="E12" s="3067"/>
      <c r="F12" s="3067"/>
    </row>
    <row r="13" spans="1:9" ht="33">
      <c r="A13" s="3072" t="s">
        <v>2872</v>
      </c>
      <c r="B13" s="3070" t="s">
        <v>2844</v>
      </c>
      <c r="C13" s="3070" t="s">
        <v>2845</v>
      </c>
      <c r="D13" s="3070" t="s">
        <v>2857</v>
      </c>
      <c r="E13" s="3066" t="s">
        <v>2871</v>
      </c>
      <c r="F13" s="3066" t="s">
        <v>2850</v>
      </c>
      <c r="G13" s="3070" t="s">
        <v>2858</v>
      </c>
      <c r="H13" s="3070" t="s">
        <v>2859</v>
      </c>
      <c r="I13" s="3070" t="s">
        <v>2860</v>
      </c>
    </row>
    <row r="14" spans="1:9" ht="16.5">
      <c r="A14" s="3073" t="s">
        <v>2870</v>
      </c>
      <c r="B14" s="3070">
        <f>结果表!L38</f>
        <v>152440.46</v>
      </c>
      <c r="C14" s="3070">
        <f>结果表!K38</f>
        <v>41849.370000000003</v>
      </c>
      <c r="D14" s="3070">
        <f ca="1">结果表!C42</f>
        <v>322575</v>
      </c>
      <c r="E14" s="3070">
        <f ca="1">ROUND(D14*10000/B14,0)</f>
        <v>21161</v>
      </c>
      <c r="F14" s="3070">
        <f ca="1">ROUND(D14*10000/C14,0)</f>
        <v>77080</v>
      </c>
      <c r="G14" s="3070">
        <f ca="1">结果表!C44</f>
        <v>322575</v>
      </c>
      <c r="H14" s="3070" t="str">
        <f>结果表!C45</f>
        <v>——</v>
      </c>
      <c r="I14" s="3070" t="str">
        <f>结果表!C46</f>
        <v>——</v>
      </c>
    </row>
    <row r="15" spans="1:9" ht="16.5">
      <c r="A15" s="3073" t="s">
        <v>2861</v>
      </c>
      <c r="B15" s="3074"/>
      <c r="C15" s="3074"/>
      <c r="D15" s="3074"/>
      <c r="E15" s="3070" t="e">
        <f t="shared" ref="E15:E23" si="2">ROUND(D15*10000/B15,0)</f>
        <v>#DIV/0!</v>
      </c>
      <c r="F15" s="3070" t="e">
        <f t="shared" ref="F15:F23" si="3">ROUND(D15*10000/C15,0)</f>
        <v>#DIV/0!</v>
      </c>
      <c r="G15" s="3071">
        <f>D15</f>
        <v>0</v>
      </c>
      <c r="H15" s="3071"/>
      <c r="I15" s="3074"/>
    </row>
    <row r="16" spans="1:9" ht="16.5">
      <c r="A16" s="3073" t="s">
        <v>2862</v>
      </c>
      <c r="B16" s="3074"/>
      <c r="C16" s="3074"/>
      <c r="D16" s="3074"/>
      <c r="E16" s="3070" t="e">
        <f t="shared" si="2"/>
        <v>#DIV/0!</v>
      </c>
      <c r="F16" s="3070" t="e">
        <f t="shared" si="3"/>
        <v>#DIV/0!</v>
      </c>
      <c r="G16" s="3071">
        <f>D16</f>
        <v>0</v>
      </c>
      <c r="H16" s="3071"/>
      <c r="I16" s="3074"/>
    </row>
    <row r="17" spans="1:9" ht="16.5">
      <c r="A17" s="3073" t="s">
        <v>2863</v>
      </c>
      <c r="B17" s="3074"/>
      <c r="C17" s="3074"/>
      <c r="D17" s="3074"/>
      <c r="E17" s="3070" t="e">
        <f t="shared" si="2"/>
        <v>#DIV/0!</v>
      </c>
      <c r="F17" s="3070" t="e">
        <f t="shared" si="3"/>
        <v>#DIV/0!</v>
      </c>
      <c r="G17" s="3071"/>
      <c r="H17" s="3071"/>
      <c r="I17" s="3074"/>
    </row>
    <row r="18" spans="1:9" ht="16.5">
      <c r="A18" s="3073" t="s">
        <v>2864</v>
      </c>
      <c r="B18" s="3074"/>
      <c r="C18" s="3074"/>
      <c r="D18" s="3074"/>
      <c r="E18" s="3070" t="e">
        <f t="shared" si="2"/>
        <v>#DIV/0!</v>
      </c>
      <c r="F18" s="3070" t="e">
        <f t="shared" si="3"/>
        <v>#DIV/0!</v>
      </c>
      <c r="G18" s="3074"/>
      <c r="H18" s="3074"/>
      <c r="I18" s="3074"/>
    </row>
    <row r="19" spans="1:9" ht="16.5">
      <c r="A19" s="3073" t="s">
        <v>2865</v>
      </c>
      <c r="B19" s="3074"/>
      <c r="C19" s="3074"/>
      <c r="D19" s="3074"/>
      <c r="E19" s="3070" t="e">
        <f t="shared" si="2"/>
        <v>#DIV/0!</v>
      </c>
      <c r="F19" s="3070" t="e">
        <f t="shared" si="3"/>
        <v>#DIV/0!</v>
      </c>
      <c r="G19" s="3074"/>
      <c r="H19" s="3074"/>
      <c r="I19" s="3074"/>
    </row>
    <row r="20" spans="1:9" ht="16.5">
      <c r="A20" s="3073" t="s">
        <v>2866</v>
      </c>
      <c r="B20" s="3074"/>
      <c r="C20" s="3074"/>
      <c r="D20" s="3074"/>
      <c r="E20" s="3070" t="e">
        <f t="shared" si="2"/>
        <v>#DIV/0!</v>
      </c>
      <c r="F20" s="3070" t="e">
        <f t="shared" si="3"/>
        <v>#DIV/0!</v>
      </c>
      <c r="G20" s="3074"/>
      <c r="H20" s="3074"/>
      <c r="I20" s="3074"/>
    </row>
    <row r="21" spans="1:9" ht="16.5">
      <c r="A21" s="3073" t="s">
        <v>2867</v>
      </c>
      <c r="B21" s="3074"/>
      <c r="C21" s="3074"/>
      <c r="D21" s="3074"/>
      <c r="E21" s="3070" t="e">
        <f t="shared" si="2"/>
        <v>#DIV/0!</v>
      </c>
      <c r="F21" s="3070" t="e">
        <f t="shared" si="3"/>
        <v>#DIV/0!</v>
      </c>
      <c r="G21" s="3074"/>
      <c r="H21" s="3074"/>
      <c r="I21" s="3074"/>
    </row>
    <row r="22" spans="1:9" ht="16.5">
      <c r="A22" s="3073" t="s">
        <v>2868</v>
      </c>
      <c r="B22" s="3074"/>
      <c r="C22" s="3074"/>
      <c r="D22" s="3074"/>
      <c r="E22" s="3070" t="e">
        <f t="shared" si="2"/>
        <v>#DIV/0!</v>
      </c>
      <c r="F22" s="3070" t="e">
        <f t="shared" si="3"/>
        <v>#DIV/0!</v>
      </c>
      <c r="G22" s="3074"/>
      <c r="H22" s="3074"/>
      <c r="I22" s="3074"/>
    </row>
    <row r="23" spans="1:9" ht="16.5">
      <c r="A23" s="3073" t="s">
        <v>2869</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0" zoomScaleNormal="100" zoomScaleSheetLayoutView="100" zoomScalePageLayoutView="80" workbookViewId="0">
      <selection activeCell="I38" sqref="I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2055</v>
      </c>
      <c r="B1" s="1776"/>
      <c r="C1" s="1804" t="s">
        <v>2056</v>
      </c>
      <c r="D1" s="1805" t="s">
        <v>3203</v>
      </c>
      <c r="E1" s="1804" t="s">
        <v>2057</v>
      </c>
      <c r="F1" s="1806" t="s">
        <v>3204</v>
      </c>
      <c r="G1" s="311"/>
      <c r="H1" s="311"/>
      <c r="I1" s="311"/>
      <c r="J1" s="2028"/>
      <c r="K1" s="2028"/>
      <c r="L1" s="2028"/>
      <c r="M1" s="2028"/>
      <c r="N1" s="2028"/>
      <c r="O1" s="2028"/>
      <c r="P1" s="2028"/>
      <c r="Q1" s="2028"/>
      <c r="R1" s="2028"/>
      <c r="S1" s="2028"/>
      <c r="T1" s="2028"/>
      <c r="U1" s="2028"/>
      <c r="V1" s="2028"/>
    </row>
    <row r="2" spans="1:22" ht="21.75" customHeight="1" thickBot="1">
      <c r="A2" s="3352" t="str">
        <f>项目基本情况!K2</f>
        <v>北京市海淀区“海淀北部地区整体开发”西北旺镇亮甲店村HD00-0404-6006地块R2二类居住用地出让国有建设用地使用权</v>
      </c>
      <c r="B2" s="3353"/>
      <c r="C2" s="3354"/>
      <c r="D2" s="3354"/>
      <c r="E2" s="3354"/>
      <c r="F2" s="3354"/>
      <c r="G2" s="3353"/>
      <c r="H2" s="3353"/>
      <c r="I2" s="3355"/>
      <c r="J2" s="2029"/>
      <c r="K2" s="2028"/>
      <c r="L2" s="2028"/>
      <c r="M2" s="2028"/>
      <c r="N2" s="2028"/>
      <c r="O2" s="2028"/>
      <c r="P2" s="2028"/>
      <c r="Q2" s="2028"/>
      <c r="R2" s="2028"/>
      <c r="S2" s="2028"/>
      <c r="T2" s="2028"/>
      <c r="U2" s="2028"/>
      <c r="V2" s="2028"/>
    </row>
    <row r="3" spans="1:22" ht="14.25">
      <c r="A3" s="3345" t="s">
        <v>297</v>
      </c>
      <c r="B3" s="3346"/>
      <c r="C3" s="3346"/>
      <c r="D3" s="3346"/>
      <c r="E3" s="3346"/>
      <c r="F3" s="3346"/>
      <c r="G3" s="3346"/>
      <c r="H3" s="3346"/>
      <c r="I3" s="3346"/>
      <c r="J3" s="2029"/>
      <c r="K3" s="2028"/>
      <c r="L3" s="2028"/>
      <c r="M3" s="2028"/>
      <c r="N3" s="2028"/>
      <c r="O3" s="2028"/>
      <c r="P3" s="2028"/>
      <c r="Q3" s="2028"/>
      <c r="R3" s="2028"/>
      <c r="S3" s="2028"/>
      <c r="T3" s="2028"/>
      <c r="U3" s="2028"/>
      <c r="V3" s="2028"/>
    </row>
    <row r="4" spans="1:22" ht="14.25">
      <c r="A4" s="258" t="s">
        <v>298</v>
      </c>
      <c r="B4" s="259" t="s">
        <v>299</v>
      </c>
      <c r="C4" s="260" t="s">
        <v>3205</v>
      </c>
      <c r="D4" s="260" t="s">
        <v>3206</v>
      </c>
      <c r="E4" s="3317" t="s">
        <v>300</v>
      </c>
      <c r="F4" s="3318"/>
      <c r="G4" s="3318"/>
      <c r="H4" s="3318"/>
      <c r="I4" s="3347"/>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316" t="s">
        <v>301</v>
      </c>
      <c r="B5" s="3342">
        <v>25</v>
      </c>
      <c r="C5" s="3340"/>
      <c r="D5" s="3344"/>
      <c r="E5" s="261" t="s">
        <v>302</v>
      </c>
      <c r="F5" s="262"/>
      <c r="G5" s="262"/>
      <c r="H5" s="262"/>
      <c r="I5" s="263"/>
      <c r="J5" s="2029"/>
      <c r="K5" s="2028"/>
      <c r="L5" s="2028"/>
      <c r="M5" s="2028"/>
      <c r="N5" s="2028"/>
      <c r="O5" s="2028"/>
      <c r="P5" s="2028"/>
      <c r="Q5" s="2028"/>
      <c r="R5" s="2028"/>
      <c r="S5" s="2028"/>
      <c r="T5" s="2028"/>
      <c r="U5" s="2028"/>
      <c r="V5" s="2028"/>
    </row>
    <row r="6" spans="1:22" ht="14.25">
      <c r="A6" s="3316"/>
      <c r="B6" s="3342"/>
      <c r="C6" s="3343"/>
      <c r="D6" s="3344"/>
      <c r="E6" s="261" t="s">
        <v>303</v>
      </c>
      <c r="F6" s="262"/>
      <c r="G6" s="262"/>
      <c r="H6" s="262"/>
      <c r="I6" s="263"/>
      <c r="J6" s="2029"/>
      <c r="K6" s="2028"/>
      <c r="L6" s="2028"/>
      <c r="M6" s="2028"/>
      <c r="N6" s="2028"/>
      <c r="O6" s="2028"/>
      <c r="P6" s="2028"/>
      <c r="Q6" s="2028"/>
      <c r="R6" s="2028"/>
      <c r="S6" s="2028"/>
      <c r="T6" s="2028"/>
      <c r="U6" s="2028"/>
      <c r="V6" s="2028"/>
    </row>
    <row r="7" spans="1:22" ht="14.25">
      <c r="A7" s="3316"/>
      <c r="B7" s="3342"/>
      <c r="C7" s="3341"/>
      <c r="D7" s="3344"/>
      <c r="E7" s="261" t="s">
        <v>304</v>
      </c>
      <c r="F7" s="262"/>
      <c r="G7" s="262"/>
      <c r="H7" s="262"/>
      <c r="I7" s="263"/>
      <c r="J7" s="2029"/>
      <c r="K7" s="2028"/>
      <c r="L7" s="2028"/>
      <c r="M7" s="2028"/>
      <c r="N7" s="2028"/>
      <c r="O7" s="2028"/>
      <c r="P7" s="2028"/>
      <c r="Q7" s="2028"/>
      <c r="R7" s="2028"/>
      <c r="S7" s="2028"/>
      <c r="T7" s="2028"/>
      <c r="U7" s="2028"/>
      <c r="V7" s="2028"/>
    </row>
    <row r="8" spans="1:22" ht="14.25">
      <c r="A8" s="3316" t="s">
        <v>305</v>
      </c>
      <c r="B8" s="3342">
        <v>15</v>
      </c>
      <c r="C8" s="3340"/>
      <c r="D8" s="3344"/>
      <c r="E8" s="261" t="s">
        <v>306</v>
      </c>
      <c r="F8" s="262"/>
      <c r="G8" s="262"/>
      <c r="H8" s="262"/>
      <c r="I8" s="263"/>
      <c r="J8" s="2029"/>
      <c r="K8" s="2028"/>
      <c r="L8" s="2028"/>
      <c r="M8" s="2028"/>
      <c r="N8" s="2028"/>
      <c r="O8" s="2028"/>
      <c r="P8" s="2028"/>
      <c r="Q8" s="2028"/>
      <c r="R8" s="2028"/>
      <c r="S8" s="2028"/>
      <c r="T8" s="2028"/>
      <c r="U8" s="2028"/>
      <c r="V8" s="2028"/>
    </row>
    <row r="9" spans="1:22" ht="14.25">
      <c r="A9" s="3316"/>
      <c r="B9" s="3342"/>
      <c r="C9" s="3341"/>
      <c r="D9" s="3344"/>
      <c r="E9" s="261" t="s">
        <v>307</v>
      </c>
      <c r="F9" s="262"/>
      <c r="G9" s="262"/>
      <c r="H9" s="262"/>
      <c r="I9" s="263"/>
      <c r="J9" s="2029"/>
      <c r="K9" s="2028"/>
      <c r="L9" s="2028"/>
      <c r="M9" s="2028"/>
      <c r="N9" s="2028"/>
      <c r="O9" s="2028"/>
      <c r="P9" s="2028"/>
      <c r="Q9" s="2028"/>
      <c r="R9" s="2028"/>
      <c r="S9" s="2028"/>
      <c r="T9" s="2028"/>
      <c r="U9" s="2028"/>
      <c r="V9" s="2028"/>
    </row>
    <row r="10" spans="1:22" ht="14.25">
      <c r="A10" s="3316" t="s">
        <v>308</v>
      </c>
      <c r="B10" s="3342">
        <v>15</v>
      </c>
      <c r="C10" s="3340"/>
      <c r="D10" s="3344"/>
      <c r="E10" s="261" t="s">
        <v>309</v>
      </c>
      <c r="F10" s="262"/>
      <c r="G10" s="262"/>
      <c r="H10" s="262"/>
      <c r="I10" s="263"/>
      <c r="J10" s="2029"/>
      <c r="K10" s="2028"/>
      <c r="L10" s="2028"/>
      <c r="M10" s="2028"/>
      <c r="N10" s="2028"/>
      <c r="O10" s="2028"/>
      <c r="P10" s="2028"/>
      <c r="Q10" s="2028"/>
      <c r="R10" s="2028"/>
      <c r="S10" s="2028"/>
      <c r="T10" s="2028"/>
      <c r="U10" s="2028"/>
      <c r="V10" s="2028"/>
    </row>
    <row r="11" spans="1:22" ht="14.25">
      <c r="A11" s="3316"/>
      <c r="B11" s="3342"/>
      <c r="C11" s="3341"/>
      <c r="D11" s="3344"/>
      <c r="E11" s="261" t="s">
        <v>310</v>
      </c>
      <c r="F11" s="262"/>
      <c r="G11" s="262"/>
      <c r="H11" s="262"/>
      <c r="I11" s="263"/>
      <c r="J11" s="2029"/>
      <c r="K11" s="2028"/>
      <c r="L11" s="2028"/>
      <c r="M11" s="2028"/>
      <c r="N11" s="2028"/>
      <c r="O11" s="2028"/>
      <c r="P11" s="2028"/>
      <c r="Q11" s="2028"/>
      <c r="R11" s="2028"/>
      <c r="S11" s="2028"/>
      <c r="T11" s="2028"/>
      <c r="U11" s="2028"/>
      <c r="V11" s="2028"/>
    </row>
    <row r="12" spans="1:22" ht="14.25">
      <c r="A12" s="3316" t="s">
        <v>311</v>
      </c>
      <c r="B12" s="3342">
        <v>15</v>
      </c>
      <c r="C12" s="3340"/>
      <c r="D12" s="3344"/>
      <c r="E12" s="261" t="s">
        <v>312</v>
      </c>
      <c r="F12" s="262"/>
      <c r="G12" s="262"/>
      <c r="H12" s="262"/>
      <c r="I12" s="263"/>
      <c r="J12" s="2029"/>
      <c r="K12" s="2028"/>
      <c r="L12" s="2028"/>
      <c r="M12" s="2028"/>
      <c r="N12" s="2028"/>
      <c r="O12" s="2028"/>
      <c r="P12" s="2028"/>
      <c r="Q12" s="2028"/>
      <c r="R12" s="2028"/>
      <c r="S12" s="2028"/>
      <c r="T12" s="2028"/>
      <c r="U12" s="2028"/>
      <c r="V12" s="2028"/>
    </row>
    <row r="13" spans="1:22" ht="14.25">
      <c r="A13" s="3316"/>
      <c r="B13" s="3342"/>
      <c r="C13" s="3341"/>
      <c r="D13" s="3344"/>
      <c r="E13" s="261" t="s">
        <v>313</v>
      </c>
      <c r="F13" s="262"/>
      <c r="G13" s="262"/>
      <c r="H13" s="262"/>
      <c r="I13" s="263"/>
      <c r="J13" s="2029"/>
      <c r="K13" s="2028"/>
      <c r="L13" s="2028"/>
      <c r="M13" s="2028"/>
      <c r="N13" s="2028"/>
      <c r="O13" s="2028"/>
      <c r="P13" s="2028"/>
      <c r="Q13" s="2028"/>
      <c r="R13" s="2028"/>
      <c r="S13" s="2028"/>
      <c r="T13" s="2028"/>
      <c r="U13" s="2028"/>
      <c r="V13" s="2028"/>
    </row>
    <row r="14" spans="1:22" ht="14.25">
      <c r="A14" s="3316" t="s">
        <v>314</v>
      </c>
      <c r="B14" s="3342">
        <v>30</v>
      </c>
      <c r="C14" s="3340">
        <v>5</v>
      </c>
      <c r="D14" s="3344">
        <v>5</v>
      </c>
      <c r="E14" s="261" t="s">
        <v>315</v>
      </c>
      <c r="F14" s="262"/>
      <c r="G14" s="262"/>
      <c r="H14" s="262"/>
      <c r="I14" s="263"/>
      <c r="J14" s="2029"/>
      <c r="K14" s="2028"/>
      <c r="L14" s="2028"/>
      <c r="M14" s="2028"/>
      <c r="N14" s="2028"/>
      <c r="O14" s="2028"/>
      <c r="P14" s="2028"/>
      <c r="Q14" s="2028"/>
      <c r="R14" s="2028"/>
      <c r="S14" s="2028"/>
      <c r="T14" s="2028"/>
      <c r="U14" s="2028"/>
      <c r="V14" s="2028"/>
    </row>
    <row r="15" spans="1:22" ht="14.25">
      <c r="A15" s="3316"/>
      <c r="B15" s="3342"/>
      <c r="C15" s="3343"/>
      <c r="D15" s="3344"/>
      <c r="E15" s="261" t="s">
        <v>316</v>
      </c>
      <c r="F15" s="262"/>
      <c r="G15" s="262"/>
      <c r="H15" s="262"/>
      <c r="I15" s="263"/>
      <c r="J15" s="2029"/>
      <c r="K15" s="2028"/>
      <c r="L15" s="2028"/>
      <c r="M15" s="2028"/>
      <c r="N15" s="2028"/>
      <c r="O15" s="2028"/>
      <c r="P15" s="2028"/>
      <c r="Q15" s="2028"/>
      <c r="R15" s="2028"/>
      <c r="S15" s="2028"/>
      <c r="T15" s="2028"/>
      <c r="U15" s="2028"/>
      <c r="V15" s="2028"/>
    </row>
    <row r="16" spans="1:22" ht="14.25">
      <c r="A16" s="3316"/>
      <c r="B16" s="3342"/>
      <c r="C16" s="3341"/>
      <c r="D16" s="3344"/>
      <c r="E16" s="261" t="s">
        <v>317</v>
      </c>
      <c r="F16" s="262"/>
      <c r="G16" s="262"/>
      <c r="H16" s="262"/>
      <c r="I16" s="263"/>
      <c r="J16" s="2029"/>
      <c r="K16" s="2028"/>
      <c r="L16" s="2028"/>
      <c r="M16" s="2028"/>
      <c r="N16" s="2028"/>
      <c r="O16" s="2028"/>
      <c r="P16" s="2028"/>
      <c r="Q16" s="2028"/>
      <c r="R16" s="2028"/>
      <c r="S16" s="2028"/>
      <c r="T16" s="2028"/>
      <c r="U16" s="2028"/>
      <c r="V16" s="2028"/>
    </row>
    <row r="17" spans="1:26" ht="15">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320</v>
      </c>
      <c r="B19" s="269" t="s">
        <v>321</v>
      </c>
      <c r="C19" s="270">
        <f ca="1">SUMIF(INDIRECT("'"&amp;C4&amp;"'"&amp;"!A:A"),结果表!B19,INDIRECT("'"&amp;C4&amp;"'"&amp;"!B:B"))</f>
        <v>303478</v>
      </c>
      <c r="D19" s="271">
        <f ca="1">SUMIF(INDIRECT("'"&amp;D4&amp;"'"&amp;"!A:A"),结果表!B19,INDIRECT("'"&amp;D4&amp;"'"&amp;"!B:B"))</f>
        <v>341671</v>
      </c>
      <c r="E19" s="268" t="s">
        <v>322</v>
      </c>
      <c r="F19" s="269" t="s">
        <v>321</v>
      </c>
      <c r="G19" s="272">
        <f ca="1">ROUND(C19*$C$18+D19*$D$18,0)</f>
        <v>322575</v>
      </c>
      <c r="H19" s="273" t="s">
        <v>323</v>
      </c>
      <c r="I19" s="311"/>
      <c r="J19" s="2028"/>
      <c r="K19" s="2028"/>
      <c r="L19" s="2028"/>
      <c r="M19" s="2028"/>
      <c r="N19" s="2028"/>
      <c r="O19" s="2028"/>
      <c r="P19" s="2028"/>
      <c r="Q19" s="2028"/>
      <c r="R19" s="2028"/>
      <c r="S19" s="2028"/>
      <c r="T19" s="2028"/>
      <c r="U19" s="2028"/>
      <c r="V19" s="2028"/>
    </row>
    <row r="20" spans="1:26" ht="15">
      <c r="A20" s="274"/>
      <c r="B20" s="275" t="s">
        <v>324</v>
      </c>
      <c r="C20" s="276">
        <f ca="1">SUMIF(INDIRECT("'"&amp;C4&amp;"'"&amp;"!A:A"),结果表!B20,INDIRECT("'"&amp;C4&amp;"'"&amp;"!B:B"))</f>
        <v>19908</v>
      </c>
      <c r="D20" s="277">
        <f ca="1">SUMIF(INDIRECT("'"&amp;D4&amp;"'"&amp;"!A:A"),结果表!B20,INDIRECT("'"&amp;D4&amp;"'"&amp;"!B:B"))</f>
        <v>22413</v>
      </c>
      <c r="E20" s="274"/>
      <c r="F20" s="275" t="s">
        <v>324</v>
      </c>
      <c r="G20" s="278">
        <f ca="1">ROUND(C20*$C$18+D20*$D$18,0)</f>
        <v>21161</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72517</v>
      </c>
      <c r="D21" s="151">
        <f ca="1">SUMIF(INDIRECT("'"&amp;D4&amp;"'"&amp;"!A:A"),结果表!B21,INDIRECT("'"&amp;D4&amp;"'"&amp;"!B:B"))</f>
        <v>81643</v>
      </c>
      <c r="E21" s="274"/>
      <c r="F21" s="280" t="s">
        <v>326</v>
      </c>
      <c r="G21" s="282">
        <f ca="1">ROUND(C21*$C$18+D21*$D$18,0)</f>
        <v>77080</v>
      </c>
      <c r="H21" s="1251" t="s">
        <v>325</v>
      </c>
      <c r="I21" s="311"/>
      <c r="J21" s="2028"/>
      <c r="K21" s="2028"/>
      <c r="L21" s="2028"/>
      <c r="M21" s="2028"/>
      <c r="N21" s="2028"/>
      <c r="O21" s="2028"/>
      <c r="P21" s="2028"/>
      <c r="Q21" s="2028"/>
      <c r="R21" s="2028"/>
      <c r="S21" s="2028"/>
      <c r="T21" s="2028"/>
      <c r="U21" s="2028"/>
      <c r="V21" s="2028"/>
    </row>
    <row r="22" spans="1:26" ht="15.75" thickBot="1">
      <c r="A22" s="126" t="s">
        <v>327</v>
      </c>
      <c r="B22" s="1252"/>
      <c r="C22" s="1253"/>
      <c r="D22" s="283">
        <f ca="1">IF(C19&lt;D19,D19/C19-1,C19/D19-1)</f>
        <v>0.12585096778020155</v>
      </c>
      <c r="E22" s="284"/>
      <c r="F22" s="285"/>
      <c r="G22" s="286">
        <f ca="1">ROUND(G19/('数据-汇总表'!D3/666.67),0)</f>
        <v>5139</v>
      </c>
      <c r="H22" s="287" t="s">
        <v>328</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22"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23"/>
      <c r="B25" s="1321" t="s">
        <v>330</v>
      </c>
      <c r="C25" s="290">
        <f>IF(B30=0,0,C30)</f>
        <v>0</v>
      </c>
      <c r="D25" s="291"/>
      <c r="E25" s="311"/>
      <c r="F25" s="311"/>
      <c r="G25" s="311"/>
      <c r="H25" s="311"/>
      <c r="I25" s="311"/>
      <c r="J25" s="2028"/>
      <c r="K25" s="1255" t="str">
        <f ca="1">项目基本情况!B16&amp;"国有建设用地使用权价格："&amp;O38&amp;"万元"</f>
        <v>出让国有建设用地使用权价格：322575万元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大写金额：人民币叁拾贰亿贰仟伍佰柒拾伍万元整</v>
      </c>
      <c r="L26" s="1252"/>
      <c r="M26" s="1252"/>
      <c r="N26" s="1252"/>
      <c r="O26" s="1251"/>
      <c r="P26" s="2028"/>
      <c r="Q26" s="2028"/>
      <c r="R26" s="2028"/>
      <c r="S26" s="2028"/>
      <c r="T26" s="2028"/>
      <c r="U26" s="2028"/>
      <c r="V26" s="2028"/>
      <c r="W26" s="292"/>
      <c r="X26" s="292"/>
      <c r="Y26" s="292"/>
      <c r="Z26" s="292"/>
    </row>
    <row r="27" spans="1:26" ht="18">
      <c r="A27" s="293"/>
      <c r="B27" s="294"/>
      <c r="C27" s="294"/>
      <c r="D27" s="295">
        <f ca="1">G19/'剩余法-待开发'!C6</f>
        <v>0.69476751699361605</v>
      </c>
      <c r="E27" s="311"/>
      <c r="F27" s="311"/>
      <c r="G27" s="311"/>
      <c r="H27" s="311"/>
      <c r="I27" s="311"/>
      <c r="J27" s="2028"/>
      <c r="K27" s="1258" t="str">
        <f ca="1">"单位面积地价："&amp;M38&amp;"元/平方米"</f>
        <v>单位面积地价：77080元/平方米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楼面地价：21161元/平方米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抵押价格：322575万元</v>
      </c>
      <c r="L29" s="1252"/>
      <c r="M29" s="1252"/>
      <c r="N29" s="1252"/>
      <c r="O29" s="1251"/>
      <c r="P29" s="2028"/>
      <c r="V29" s="2028"/>
    </row>
    <row r="30" spans="1:26" ht="18.75" thickBot="1">
      <c r="A30" s="3156" t="s">
        <v>335</v>
      </c>
      <c r="B30" s="309"/>
      <c r="C30" s="309"/>
      <c r="D30" s="310"/>
      <c r="E30" s="3157" t="s">
        <v>2968</v>
      </c>
      <c r="F30" s="311"/>
      <c r="G30" s="311"/>
      <c r="H30" s="311"/>
      <c r="I30" s="311"/>
      <c r="J30" s="2028"/>
      <c r="K30" s="1258" t="str">
        <f ca="1">IF(K29="——","——","大写金额：人民币"&amp;NUMBERSTRING(INT(O39*10000),2)&amp;"元整")</f>
        <v>大写金额：人民币叁拾贰亿贰仟伍佰柒拾伍万元整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336</v>
      </c>
      <c r="B32" s="1380" t="s">
        <v>1688</v>
      </c>
      <c r="C32" s="1381">
        <f ca="1">G19-C24</f>
        <v>322575</v>
      </c>
      <c r="D32" s="1382" t="s">
        <v>1689</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339</v>
      </c>
      <c r="B33" s="1383" t="s">
        <v>1690</v>
      </c>
      <c r="C33" s="264">
        <f ca="1">ROUND(C32*10000/'数据-汇总表'!E3,0)</f>
        <v>21161</v>
      </c>
      <c r="D33" s="1384" t="s">
        <v>1691</v>
      </c>
      <c r="E33" s="3322"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5" t="s">
        <v>1692</v>
      </c>
      <c r="C34" s="264">
        <f ca="1">ROUND(C32*10000/'数据-汇总表'!D3,0)</f>
        <v>77080</v>
      </c>
      <c r="D34" s="1386" t="s">
        <v>1691</v>
      </c>
      <c r="E34" s="3363"/>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7"/>
      <c r="C35" s="1388">
        <f ca="1">ROUND(C32/('数据-汇总表'!D3/666.67),0)</f>
        <v>5139</v>
      </c>
      <c r="D35" s="1389" t="s">
        <v>1693</v>
      </c>
      <c r="E35" s="3364"/>
      <c r="F35" s="301" t="s">
        <v>341</v>
      </c>
      <c r="G35" s="982">
        <f>E37+E38</f>
        <v>0</v>
      </c>
      <c r="H35" s="981" t="s">
        <v>342</v>
      </c>
      <c r="I35" s="311"/>
      <c r="J35" s="2028"/>
      <c r="K35" s="3337" t="s">
        <v>349</v>
      </c>
      <c r="L35" s="3337" t="s">
        <v>350</v>
      </c>
      <c r="M35" s="1264" t="s">
        <v>351</v>
      </c>
      <c r="N35" s="3337" t="s">
        <v>352</v>
      </c>
      <c r="O35" s="3337" t="s">
        <v>353</v>
      </c>
      <c r="P35" s="2028"/>
      <c r="V35" s="2028"/>
    </row>
    <row r="36" spans="1:26" ht="16.5" customHeight="1">
      <c r="A36" s="303" t="s">
        <v>343</v>
      </c>
      <c r="B36" s="304" t="s">
        <v>332</v>
      </c>
      <c r="C36" s="305" t="s">
        <v>344</v>
      </c>
      <c r="D36" s="305" t="s">
        <v>345</v>
      </c>
      <c r="E36" s="306" t="s">
        <v>346</v>
      </c>
      <c r="F36" s="311"/>
      <c r="G36" s="311"/>
      <c r="H36" s="311"/>
      <c r="I36" s="311"/>
      <c r="J36" s="2030"/>
      <c r="K36" s="3338"/>
      <c r="L36" s="3338"/>
      <c r="M36" s="1266" t="s">
        <v>354</v>
      </c>
      <c r="N36" s="3338"/>
      <c r="O36" s="3338"/>
      <c r="P36" s="2028"/>
      <c r="V36" s="2028"/>
    </row>
    <row r="37" spans="1:26" ht="16.5" customHeight="1" thickBot="1">
      <c r="A37" s="1260" t="s">
        <v>347</v>
      </c>
      <c r="B37" s="307">
        <f>'数据-汇总表'!G20</f>
        <v>0</v>
      </c>
      <c r="C37" s="294">
        <f>ROUND(28709*0.25*0.25,0)</f>
        <v>1794</v>
      </c>
      <c r="D37" s="3216">
        <v>3.0499999999999999E-2</v>
      </c>
      <c r="E37" s="295">
        <f>ROUND(B37*C37*(1+D37)/10000,0)</f>
        <v>0</v>
      </c>
      <c r="F37" s="311"/>
      <c r="G37" s="311"/>
      <c r="H37" s="311"/>
      <c r="I37" s="311"/>
      <c r="J37" s="2030"/>
      <c r="K37" s="3339"/>
      <c r="L37" s="3339"/>
      <c r="M37" s="1267"/>
      <c r="N37" s="3339"/>
      <c r="O37" s="3339"/>
      <c r="P37" s="2028"/>
      <c r="V37" s="2028"/>
    </row>
    <row r="38" spans="1:26" ht="16.5" customHeight="1" thickBot="1">
      <c r="A38" s="1260" t="s">
        <v>348</v>
      </c>
      <c r="B38" s="307"/>
      <c r="C38" s="294">
        <f>ROUND(28709*0.2*0.25,0)</f>
        <v>1435</v>
      </c>
      <c r="D38" s="3216">
        <v>3.0499999999999999E-2</v>
      </c>
      <c r="E38" s="295">
        <f>ROUND(B38*C38*(1+D38)/10000,0)</f>
        <v>0</v>
      </c>
      <c r="F38" s="311"/>
      <c r="G38" s="311"/>
      <c r="H38" s="311"/>
      <c r="I38" s="311"/>
      <c r="J38" s="2030"/>
      <c r="K38" s="1268">
        <f>'数据-汇总表'!D3</f>
        <v>41849.370000000003</v>
      </c>
      <c r="L38" s="1269">
        <f>'数据-汇总表'!E3</f>
        <v>152440.46</v>
      </c>
      <c r="M38" s="1269">
        <f ca="1">C34</f>
        <v>77080</v>
      </c>
      <c r="N38" s="1269">
        <f ca="1">C33</f>
        <v>21161</v>
      </c>
      <c r="O38" s="1270">
        <f ca="1">C32</f>
        <v>322575</v>
      </c>
      <c r="P38" s="2028"/>
      <c r="V38" s="2028"/>
    </row>
    <row r="39" spans="1:26" ht="16.5" customHeight="1" thickBot="1">
      <c r="A39" s="1265"/>
      <c r="B39" s="308"/>
      <c r="C39" s="309"/>
      <c r="D39" s="309"/>
      <c r="E39" s="310"/>
      <c r="F39" s="311"/>
      <c r="G39" s="311"/>
      <c r="H39" s="311"/>
      <c r="I39" s="311"/>
      <c r="J39" s="2030"/>
      <c r="K39" s="3382" t="str">
        <f>MID(A44,3,LEN(A44)-2)</f>
        <v>抵押价格</v>
      </c>
      <c r="L39" s="3383"/>
      <c r="M39" s="3383"/>
      <c r="N39" s="3384"/>
      <c r="O39" s="1391">
        <f ca="1">C44</f>
        <v>322575</v>
      </c>
      <c r="P39" s="2028"/>
      <c r="V39" s="2028"/>
    </row>
    <row r="40" spans="1:26" ht="19.5" thickBot="1">
      <c r="A40" s="104" t="s">
        <v>872</v>
      </c>
      <c r="B40" s="311"/>
      <c r="C40" s="311"/>
      <c r="D40" s="311"/>
      <c r="E40" s="311"/>
      <c r="F40" s="311"/>
      <c r="G40" s="311"/>
      <c r="H40" s="311"/>
      <c r="I40" s="311"/>
      <c r="J40" s="2030"/>
      <c r="K40" s="3382" t="str">
        <f t="shared" ref="K40:K41" si="0">MID(A45,3,LEN(A45)-2)</f>
        <v/>
      </c>
      <c r="L40" s="3383"/>
      <c r="M40" s="3383"/>
      <c r="N40" s="3384"/>
      <c r="O40" s="1391" t="str">
        <f>C45</f>
        <v>——</v>
      </c>
      <c r="P40" s="2028"/>
      <c r="V40" s="2028"/>
    </row>
    <row r="41" spans="1:26" ht="16.5" thickBot="1">
      <c r="A41" s="312" t="s">
        <v>355</v>
      </c>
      <c r="B41" s="313"/>
      <c r="C41" s="314" t="s">
        <v>356</v>
      </c>
      <c r="D41" s="315" t="s">
        <v>357</v>
      </c>
      <c r="E41" s="315" t="s">
        <v>358</v>
      </c>
      <c r="F41" s="316" t="s">
        <v>359</v>
      </c>
      <c r="G41" s="311"/>
      <c r="H41" s="311"/>
      <c r="I41" s="311"/>
      <c r="J41" s="2030"/>
      <c r="K41" s="3382" t="str">
        <f t="shared" si="0"/>
        <v/>
      </c>
      <c r="L41" s="3383"/>
      <c r="M41" s="3383"/>
      <c r="N41" s="3384"/>
      <c r="O41" s="1391" t="str">
        <f>C46</f>
        <v>——</v>
      </c>
      <c r="P41" s="2028"/>
      <c r="V41" s="2028"/>
    </row>
    <row r="42" spans="1:26" ht="29.25">
      <c r="A42" s="3324" t="s">
        <v>2067</v>
      </c>
      <c r="B42" s="3325"/>
      <c r="C42" s="264">
        <f ca="1">C32</f>
        <v>322575</v>
      </c>
      <c r="D42" s="317">
        <f ca="1">C33</f>
        <v>21161</v>
      </c>
      <c r="E42" s="317">
        <f ca="1">C34</f>
        <v>77080</v>
      </c>
      <c r="F42" s="318">
        <f ca="1">C35</f>
        <v>5139</v>
      </c>
      <c r="G42" s="311"/>
      <c r="H42" s="311"/>
      <c r="I42" s="319"/>
      <c r="J42" s="2030"/>
      <c r="K42" s="1271" t="s">
        <v>360</v>
      </c>
      <c r="L42" s="2047" t="s">
        <v>361</v>
      </c>
      <c r="M42" s="1272" t="s">
        <v>362</v>
      </c>
      <c r="N42" s="2048" t="s">
        <v>363</v>
      </c>
      <c r="O42" s="2049" t="s">
        <v>364</v>
      </c>
      <c r="P42" s="2028"/>
      <c r="V42" s="2028"/>
    </row>
    <row r="43" spans="1:26" ht="30">
      <c r="A43" s="3335" t="s">
        <v>2730</v>
      </c>
      <c r="B43" s="3336"/>
      <c r="C43" s="264">
        <f>IF(H33="正常操作",G33+G34+G35,G34+G35)</f>
        <v>0</v>
      </c>
      <c r="D43" s="317" t="s">
        <v>43</v>
      </c>
      <c r="E43" s="317" t="s">
        <v>44</v>
      </c>
      <c r="F43" s="318" t="s">
        <v>44</v>
      </c>
      <c r="G43" s="2890" t="s">
        <v>951</v>
      </c>
      <c r="H43" s="311"/>
      <c r="I43" s="319"/>
      <c r="J43" s="2030"/>
      <c r="K43" s="1273" t="str">
        <f>C4</f>
        <v>剩余法-待开发</v>
      </c>
      <c r="L43" s="1274">
        <f ca="1">IF(L42="估价结果/万元",C19,C20)</f>
        <v>303478</v>
      </c>
      <c r="M43" s="1275">
        <f>C18</f>
        <v>0.5</v>
      </c>
      <c r="N43" s="1276">
        <f ca="1">IF(N42="测算结果/万元",G19,G20)</f>
        <v>322575</v>
      </c>
      <c r="O43" s="1277">
        <f ca="1">IF(O42="最终结果/万元",C32,C33)</f>
        <v>322575</v>
      </c>
      <c r="P43" s="2028"/>
      <c r="V43" s="2028"/>
    </row>
    <row r="44" spans="1:26" ht="30.75" thickBot="1">
      <c r="A44" s="3324" t="str">
        <f>IF(OR(项目基本情况!E8="抵押价格",项目基本情况!E8="已注销及未注销"),"3.抵押价格","——")</f>
        <v>3.抵押价格</v>
      </c>
      <c r="B44" s="3325"/>
      <c r="C44" s="264">
        <f ca="1">IF(A44="——","——",C42-C43)</f>
        <v>322575</v>
      </c>
      <c r="D44" s="317">
        <f ca="1">ROUND(C44*10000/'数据-汇总表'!E3,0)</f>
        <v>21161</v>
      </c>
      <c r="E44" s="317">
        <f ca="1">ROUND(C44*10000/'数据-汇总表'!D3,0)</f>
        <v>77080</v>
      </c>
      <c r="F44" s="318">
        <f ca="1">ROUND(C44/('数据-汇总表'!D3/666.67),0)</f>
        <v>5139</v>
      </c>
      <c r="G44" s="311"/>
      <c r="H44" s="311"/>
      <c r="I44" s="319"/>
      <c r="J44" s="2030"/>
      <c r="K44" s="1278" t="str">
        <f>D4</f>
        <v>比较法-住宅、综合</v>
      </c>
      <c r="L44" s="1279">
        <f ca="1">IF(L42="估价结果/万元",D19,D20)</f>
        <v>341671</v>
      </c>
      <c r="M44" s="1280">
        <f>D18</f>
        <v>0.5</v>
      </c>
      <c r="N44" s="1281"/>
      <c r="O44" s="1282"/>
      <c r="P44" s="2028"/>
      <c r="V44" s="2028"/>
    </row>
    <row r="45" spans="1:26" ht="15">
      <c r="A45" s="3330" t="str">
        <f>IF(项目基本情况!E8="已注销及未注销","4.抵押担保权已注销时的抵押价格",IF(项目基本情况!E8="已注销","3.抵押担保权已注销时的抵押价格","——"))</f>
        <v>——</v>
      </c>
      <c r="B45" s="3331"/>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26" t="str">
        <f>IF(项目基本情况!E9="抵押净值",IF(A45="——","4.抵押净值","5.抵押净值"),"——")</f>
        <v>——</v>
      </c>
      <c r="B46" s="332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71" t="s">
        <v>373</v>
      </c>
      <c r="B63" s="3372"/>
      <c r="C63" s="3373"/>
      <c r="D63" s="341">
        <f ca="1">ROUND(C42*F63,0)</f>
        <v>193545</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32" t="s">
        <v>377</v>
      </c>
      <c r="B64" s="3333"/>
      <c r="C64" s="3333"/>
      <c r="D64" s="3333"/>
      <c r="E64" s="3333"/>
      <c r="F64" s="3333"/>
      <c r="G64" s="3334"/>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28" t="s">
        <v>385</v>
      </c>
      <c r="B66" s="3329"/>
      <c r="C66" s="3329"/>
      <c r="D66" s="261">
        <f ca="1">IF(H66="情况1",0,IF(H66="情况2",D70,IF(H66="情况3",D71,IF(H66="情况4",D72))))</f>
        <v>10322</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386" t="s">
        <v>384</v>
      </c>
      <c r="M66" s="3387"/>
      <c r="N66" s="2482"/>
      <c r="O66" s="2483"/>
      <c r="P66" s="2484"/>
      <c r="Q66" s="2028"/>
      <c r="R66" s="2028"/>
      <c r="S66" s="2028"/>
      <c r="T66" s="2028"/>
      <c r="U66" s="2028"/>
      <c r="V66" s="2028"/>
    </row>
    <row r="67" spans="1:22" ht="25.5" customHeight="1">
      <c r="A67" s="352" t="s">
        <v>389</v>
      </c>
      <c r="B67" s="3319" t="s">
        <v>390</v>
      </c>
      <c r="C67" s="3319"/>
      <c r="D67" s="353">
        <v>0</v>
      </c>
      <c r="E67" s="41" t="s">
        <v>391</v>
      </c>
      <c r="F67" s="62" t="s">
        <v>21</v>
      </c>
      <c r="G67" s="3374"/>
      <c r="H67" s="311"/>
      <c r="I67" s="1292"/>
      <c r="J67" s="2035"/>
      <c r="K67" s="1976">
        <v>2</v>
      </c>
      <c r="L67" s="3385" t="s">
        <v>388</v>
      </c>
      <c r="M67" s="3385"/>
      <c r="N67" s="1325">
        <f>'数据-取费表'!B2</f>
        <v>43348</v>
      </c>
      <c r="O67" s="1325"/>
      <c r="P67" s="1325"/>
      <c r="Q67" s="2028"/>
      <c r="R67" s="2028"/>
      <c r="S67" s="2028"/>
      <c r="T67" s="2028"/>
      <c r="U67" s="2028"/>
      <c r="V67" s="2028"/>
    </row>
    <row r="68" spans="1:22" ht="25.5" customHeight="1">
      <c r="A68" s="354"/>
      <c r="B68" s="3319" t="s">
        <v>393</v>
      </c>
      <c r="C68" s="3319"/>
      <c r="D68" s="355"/>
      <c r="E68" s="77"/>
      <c r="F68" s="356"/>
      <c r="G68" s="3375"/>
      <c r="H68" s="311"/>
      <c r="I68" s="1292"/>
      <c r="J68" s="2035"/>
      <c r="K68" s="1976">
        <v>3</v>
      </c>
      <c r="L68" s="3385" t="s">
        <v>392</v>
      </c>
      <c r="M68" s="3385"/>
      <c r="N68" s="1293">
        <f ca="1">C42</f>
        <v>322575</v>
      </c>
      <c r="O68" s="1293"/>
      <c r="P68" s="1293"/>
      <c r="Q68" s="2028"/>
      <c r="R68" s="2028"/>
      <c r="S68" s="2028"/>
      <c r="T68" s="2028"/>
      <c r="U68" s="2028"/>
      <c r="V68" s="2028"/>
    </row>
    <row r="69" spans="1:22" ht="12" customHeight="1">
      <c r="A69" s="357"/>
      <c r="B69" s="3319" t="s">
        <v>394</v>
      </c>
      <c r="C69" s="3319"/>
      <c r="D69" s="358"/>
      <c r="E69" s="73"/>
      <c r="F69" s="356"/>
      <c r="G69" s="3376"/>
      <c r="H69" s="311"/>
      <c r="I69" s="1292"/>
      <c r="J69" s="2035"/>
      <c r="K69" s="1294">
        <v>4</v>
      </c>
      <c r="L69" s="3390" t="s">
        <v>2883</v>
      </c>
      <c r="M69" s="3391"/>
      <c r="N69" s="1295">
        <f ca="1">C44</f>
        <v>322575</v>
      </c>
      <c r="O69" s="1295"/>
      <c r="P69" s="1295"/>
      <c r="Q69" s="2028"/>
      <c r="R69" s="2028"/>
      <c r="S69" s="2028"/>
      <c r="T69" s="2028"/>
      <c r="U69" s="2028"/>
      <c r="V69" s="2028"/>
    </row>
    <row r="70" spans="1:22" ht="24" customHeight="1">
      <c r="A70" s="359" t="s">
        <v>395</v>
      </c>
      <c r="B70" s="3319" t="s">
        <v>396</v>
      </c>
      <c r="C70" s="3319"/>
      <c r="D70" s="358">
        <f ca="1">ROUND(D63*'数据-取费表'!B41/(1+'数据-取费表'!C42),0)</f>
        <v>10322</v>
      </c>
      <c r="E70" s="17" t="s">
        <v>397</v>
      </c>
      <c r="F70" s="360">
        <f>'数据-取费表'!B41</f>
        <v>5.6000000000000001E-2</v>
      </c>
      <c r="G70" s="361"/>
      <c r="H70" s="311"/>
      <c r="I70" s="1292"/>
      <c r="J70" s="2035"/>
      <c r="K70" s="3083"/>
      <c r="L70" s="3084"/>
      <c r="M70" s="3084"/>
      <c r="N70" s="3085" t="s">
        <v>2888</v>
      </c>
      <c r="O70" s="3084"/>
      <c r="P70" s="3086"/>
      <c r="Q70" s="2028"/>
      <c r="R70" s="2028"/>
      <c r="S70" s="2028"/>
      <c r="T70" s="2028"/>
      <c r="U70" s="2028"/>
      <c r="V70" s="2028"/>
    </row>
    <row r="71" spans="1:22" ht="12" customHeight="1">
      <c r="A71" s="359" t="s">
        <v>403</v>
      </c>
      <c r="B71" s="3320" t="s">
        <v>404</v>
      </c>
      <c r="C71" s="3321"/>
      <c r="D71" s="358">
        <f ca="1">ROUND(D63*'数据-取费表'!B41/(1+'数据-取费表'!C42),0)</f>
        <v>10322</v>
      </c>
      <c r="E71" s="17" t="s">
        <v>397</v>
      </c>
      <c r="F71" s="360">
        <f>'数据-取费表'!B41</f>
        <v>5.6000000000000001E-2</v>
      </c>
      <c r="G71" s="361"/>
      <c r="H71" s="311"/>
      <c r="I71" s="1292"/>
      <c r="J71" s="2035"/>
      <c r="K71" s="3082" t="s">
        <v>398</v>
      </c>
      <c r="L71" s="3392" t="s">
        <v>399</v>
      </c>
      <c r="M71" s="3392"/>
      <c r="N71" s="3082" t="s">
        <v>400</v>
      </c>
      <c r="O71" s="3082" t="s">
        <v>401</v>
      </c>
      <c r="P71" s="3082" t="s">
        <v>402</v>
      </c>
      <c r="Q71" s="2028"/>
      <c r="R71" s="2028"/>
      <c r="S71" s="2028"/>
      <c r="T71" s="2028"/>
      <c r="U71" s="2028"/>
      <c r="V71" s="2028"/>
    </row>
    <row r="72" spans="1:22" ht="12" customHeight="1">
      <c r="A72" s="359" t="s">
        <v>406</v>
      </c>
      <c r="B72" s="3320" t="s">
        <v>407</v>
      </c>
      <c r="C72" s="3321"/>
      <c r="D72" s="358">
        <f ca="1">C86</f>
        <v>10210</v>
      </c>
      <c r="E72" s="73" t="s">
        <v>408</v>
      </c>
      <c r="F72" s="360">
        <f>'数据-取费表'!B41</f>
        <v>5.6000000000000001E-2</v>
      </c>
      <c r="G72" s="361"/>
      <c r="H72" s="1298"/>
      <c r="I72" s="1292"/>
      <c r="J72" s="2035"/>
      <c r="K72" s="1976">
        <v>1</v>
      </c>
      <c r="L72" s="3367" t="s">
        <v>405</v>
      </c>
      <c r="M72" s="3367"/>
      <c r="N72" s="1296">
        <f ca="1">D66</f>
        <v>10322</v>
      </c>
      <c r="O72" s="1859" t="str">
        <f>E66</f>
        <v>销售额×税（费）率</v>
      </c>
      <c r="P72" s="1297">
        <f>F66</f>
        <v>5.6000000000000001E-2</v>
      </c>
      <c r="Q72" s="2028"/>
      <c r="R72" s="2028"/>
      <c r="S72" s="2028"/>
      <c r="T72" s="2028"/>
      <c r="U72" s="2028"/>
      <c r="V72" s="2028"/>
    </row>
    <row r="73" spans="1:22" ht="24" customHeight="1">
      <c r="A73" s="3361" t="s">
        <v>410</v>
      </c>
      <c r="B73" s="3329"/>
      <c r="C73" s="3329"/>
      <c r="D73" s="362">
        <f>IF(H73="个人住宅",0,ROUND(D63*I73,0))</f>
        <v>0</v>
      </c>
      <c r="E73" s="17" t="s">
        <v>411</v>
      </c>
      <c r="F73" s="360" t="str">
        <f>IF(H73="正常",I73,"免征")</f>
        <v>免征</v>
      </c>
      <c r="G73" s="361"/>
      <c r="H73" s="191" t="s">
        <v>2456</v>
      </c>
      <c r="I73" s="360">
        <f>'数据-取费表'!B49</f>
        <v>5.0000000000000001E-4</v>
      </c>
      <c r="J73" s="2035"/>
      <c r="K73" s="1976">
        <v>2</v>
      </c>
      <c r="L73" s="3367" t="s">
        <v>409</v>
      </c>
      <c r="M73" s="3367"/>
      <c r="N73" s="1296">
        <f t="shared" ref="N73:P74" si="1">D73</f>
        <v>0</v>
      </c>
      <c r="O73" s="1859" t="str">
        <f t="shared" si="1"/>
        <v>销售额×税（费）率</v>
      </c>
      <c r="P73" s="1297" t="str">
        <f t="shared" si="1"/>
        <v>免征</v>
      </c>
      <c r="Q73" s="2028"/>
      <c r="R73" s="2028"/>
      <c r="S73" s="2028"/>
      <c r="T73" s="2028"/>
      <c r="U73" s="2028"/>
      <c r="V73" s="2028"/>
    </row>
    <row r="74" spans="1:22" ht="24.75">
      <c r="A74" s="3361" t="s">
        <v>414</v>
      </c>
      <c r="B74" s="3329"/>
      <c r="C74" s="3329"/>
      <c r="D74" s="362">
        <f ca="1">IF(H74="个人住宅",D75,D76)</f>
        <v>108891</v>
      </c>
      <c r="E74" s="17" t="s">
        <v>415</v>
      </c>
      <c r="F74" s="360" t="str">
        <f>IF(H74="正常",F76,"免征")</f>
        <v>——</v>
      </c>
      <c r="G74" s="983" t="s">
        <v>416</v>
      </c>
      <c r="H74" s="363" t="s">
        <v>412</v>
      </c>
      <c r="I74" s="42"/>
      <c r="J74" s="2035"/>
      <c r="K74" s="1976">
        <v>3</v>
      </c>
      <c r="L74" s="3367" t="s">
        <v>413</v>
      </c>
      <c r="M74" s="3367"/>
      <c r="N74" s="1296">
        <f t="shared" ca="1" si="1"/>
        <v>108891</v>
      </c>
      <c r="O74" s="1859" t="str">
        <f t="shared" si="1"/>
        <v>增值额×税（费）率</v>
      </c>
      <c r="P74" s="1299" t="str">
        <f t="shared" si="1"/>
        <v>——</v>
      </c>
      <c r="Q74" s="2028"/>
      <c r="R74" s="2028"/>
      <c r="S74" s="2028"/>
      <c r="T74" s="2028"/>
      <c r="U74" s="2028"/>
      <c r="V74" s="2028"/>
    </row>
    <row r="75" spans="1:22" ht="24">
      <c r="A75" s="359" t="s">
        <v>417</v>
      </c>
      <c r="B75" s="3317" t="s">
        <v>418</v>
      </c>
      <c r="C75" s="3347"/>
      <c r="D75" s="364">
        <v>0</v>
      </c>
      <c r="E75" s="41" t="s">
        <v>419</v>
      </c>
      <c r="F75" s="365"/>
      <c r="G75" s="361"/>
      <c r="H75" s="42"/>
      <c r="I75" s="42"/>
      <c r="J75" s="2035"/>
      <c r="K75" s="3075">
        <f>IF(H77="非个人房产","",4)</f>
        <v>4</v>
      </c>
      <c r="L75" s="3367" t="str">
        <f>IF(H77="非个人房产","——","个人所得税")</f>
        <v>个人所得税</v>
      </c>
      <c r="M75" s="3367"/>
      <c r="N75" s="1300">
        <f ca="1">D77</f>
        <v>1935</v>
      </c>
      <c r="O75" s="1872" t="str">
        <f>E77</f>
        <v>销售额×税（费）率</v>
      </c>
      <c r="P75" s="1301">
        <f>F77</f>
        <v>0.01</v>
      </c>
      <c r="Q75" s="2028"/>
      <c r="R75" s="2028"/>
      <c r="S75" s="2028"/>
      <c r="T75" s="2028"/>
      <c r="U75" s="2028"/>
      <c r="V75" s="2028"/>
    </row>
    <row r="76" spans="1:22" ht="24.75">
      <c r="A76" s="359" t="s">
        <v>395</v>
      </c>
      <c r="B76" s="3317" t="s">
        <v>421</v>
      </c>
      <c r="C76" s="3318"/>
      <c r="D76" s="362">
        <f ca="1">IF(H76="转让取得",C99,C115)</f>
        <v>108891</v>
      </c>
      <c r="E76" s="17" t="s">
        <v>422</v>
      </c>
      <c r="F76" s="53" t="s">
        <v>21</v>
      </c>
      <c r="G76" s="361"/>
      <c r="H76" s="363" t="s">
        <v>423</v>
      </c>
      <c r="I76" s="42"/>
      <c r="J76" s="2035"/>
      <c r="K76" s="3075" t="str">
        <f>IF(项目基本情况!K6="上海银行",IF(K75="",4,K75+1),"")</f>
        <v/>
      </c>
      <c r="L76" s="3378" t="str">
        <f>IF(项目基本情况!K6="上海银行","其他处置费用","")</f>
        <v/>
      </c>
      <c r="M76" s="3379"/>
      <c r="N76" s="1296" t="str">
        <f>IF(项目基本情况!K6="上海银行",N89,"")</f>
        <v/>
      </c>
      <c r="O76" s="3380" t="str">
        <f>IF(项目基本情况!K6="上海银行","包含处置中涉及的律师、诉讼、拍卖、评估等费用","")</f>
        <v/>
      </c>
      <c r="P76" s="3381"/>
      <c r="Q76" s="2028"/>
      <c r="R76" s="2028"/>
      <c r="S76" s="2028"/>
      <c r="T76" s="2028"/>
      <c r="U76" s="2028"/>
      <c r="V76" s="2028"/>
    </row>
    <row r="77" spans="1:22" ht="26.25" thickBot="1">
      <c r="A77" s="3369" t="s">
        <v>425</v>
      </c>
      <c r="B77" s="3370"/>
      <c r="C77" s="3370"/>
      <c r="D77" s="366">
        <f ca="1">IF(H77="非个人房产","——",IF(H77="个人住宅",0,ROUND(D63*I77,0)))</f>
        <v>1935</v>
      </c>
      <c r="E77" s="367" t="str">
        <f>IF(H77="非个人房产","——","销售额×税（费）率")</f>
        <v>销售额×税（费）率</v>
      </c>
      <c r="F77" s="368">
        <f>IF(H77="非个人房产","——",IF(H77="个人住宅","免征",I77))</f>
        <v>0.01</v>
      </c>
      <c r="G77" s="984" t="s">
        <v>416</v>
      </c>
      <c r="H77" s="363" t="s">
        <v>2884</v>
      </c>
      <c r="I77" s="369">
        <v>0.01</v>
      </c>
      <c r="J77" s="2035"/>
      <c r="K77" s="3368">
        <f>IF(AND(K75="",K76=""),4,IF(项目基本情况!K6="上海银行",K76+1,K75+1))</f>
        <v>5</v>
      </c>
      <c r="L77" s="3367" t="s">
        <v>2885</v>
      </c>
      <c r="M77" s="3081" t="s">
        <v>420</v>
      </c>
      <c r="N77" s="1302"/>
      <c r="O77" s="1303">
        <f ca="1">SUMIF(N72:N76,"&lt;9e307")</f>
        <v>121148</v>
      </c>
      <c r="P77" s="1304"/>
      <c r="Q77" s="3079">
        <f ca="1">O77/N69</f>
        <v>0.37556537239401688</v>
      </c>
      <c r="R77" s="2028"/>
      <c r="S77" s="2028"/>
      <c r="T77" s="2028"/>
      <c r="U77" s="2028"/>
      <c r="V77" s="2028"/>
    </row>
    <row r="78" spans="1:22" ht="12" customHeight="1">
      <c r="A78" s="1305"/>
      <c r="B78" s="311"/>
      <c r="C78" s="311"/>
      <c r="D78" s="311"/>
      <c r="E78" s="42"/>
      <c r="F78" s="42"/>
      <c r="G78" s="42"/>
      <c r="H78" s="1003"/>
      <c r="I78" s="311"/>
      <c r="J78" s="2035"/>
      <c r="K78" s="3368"/>
      <c r="L78" s="3367"/>
      <c r="M78" s="3081" t="s">
        <v>424</v>
      </c>
      <c r="N78" s="1302"/>
      <c r="O78" s="1303" t="str">
        <f ca="1">NUMBERSTRING(INT(O77*10000),2)&amp;"元整"</f>
        <v>壹拾贰亿壹仟壹佰肆拾捌万元整</v>
      </c>
      <c r="P78" s="1304"/>
      <c r="Q78" s="2028"/>
      <c r="R78" s="2028"/>
      <c r="S78" s="2028"/>
      <c r="T78" s="2028"/>
      <c r="U78" s="2028"/>
      <c r="V78" s="2028"/>
    </row>
    <row r="79" spans="1:22" ht="13.5" thickBot="1">
      <c r="A79" s="3362" t="s">
        <v>426</v>
      </c>
      <c r="B79" s="3362"/>
      <c r="C79" s="3362"/>
      <c r="D79" s="3362"/>
      <c r="E79" s="3362"/>
      <c r="F79" s="42"/>
      <c r="G79" s="42"/>
      <c r="H79" s="1003"/>
      <c r="I79" s="311"/>
      <c r="J79" s="2035"/>
      <c r="K79" s="3388">
        <f>K77+1</f>
        <v>6</v>
      </c>
      <c r="L79" s="3367" t="s">
        <v>2886</v>
      </c>
      <c r="M79" s="3081" t="s">
        <v>420</v>
      </c>
      <c r="N79" s="1302"/>
      <c r="O79" s="1303">
        <f ca="1">N69-O77</f>
        <v>201427</v>
      </c>
      <c r="P79" s="1304"/>
      <c r="Q79" s="2028"/>
      <c r="R79" s="2028"/>
      <c r="S79" s="2028"/>
      <c r="T79" s="2028"/>
      <c r="U79" s="2028"/>
      <c r="V79" s="2028"/>
    </row>
    <row r="80" spans="1:22" ht="25.5">
      <c r="A80" s="3357" t="s">
        <v>427</v>
      </c>
      <c r="B80" s="3358"/>
      <c r="C80" s="994"/>
      <c r="D80" s="994" t="s">
        <v>428</v>
      </c>
      <c r="E80" s="370" t="s">
        <v>429</v>
      </c>
      <c r="F80" s="42"/>
      <c r="G80" s="42"/>
      <c r="H80" s="1003"/>
      <c r="I80" s="311"/>
      <c r="J80" s="2028"/>
      <c r="K80" s="3389"/>
      <c r="L80" s="3367"/>
      <c r="M80" s="3081" t="s">
        <v>424</v>
      </c>
      <c r="N80" s="1302"/>
      <c r="O80" s="1303" t="str">
        <f ca="1">NUMBERSTRING(INT(O79*10000),2)&amp;"元整"</f>
        <v>贰拾亿壹仟肆佰贰拾柒万元整</v>
      </c>
      <c r="P80" s="1304"/>
      <c r="Q80" s="2028"/>
      <c r="R80" s="2028"/>
      <c r="S80" s="2028"/>
      <c r="T80" s="2028"/>
      <c r="U80" s="2028"/>
      <c r="V80" s="2028"/>
    </row>
    <row r="81" spans="1:26" ht="13.5" thickBot="1">
      <c r="A81" s="381" t="s">
        <v>1823</v>
      </c>
      <c r="B81" s="371" t="s">
        <v>430</v>
      </c>
      <c r="C81" s="372">
        <f ca="1">ROUND((C82+C83)/(1+'数据-取费表'!C42),0)</f>
        <v>184329</v>
      </c>
      <c r="D81" s="373"/>
      <c r="E81" s="374"/>
      <c r="F81" s="42"/>
      <c r="G81" s="42"/>
      <c r="H81" s="1003"/>
      <c r="I81" s="311"/>
      <c r="J81" s="2028"/>
      <c r="K81" s="3075">
        <f>K79+1</f>
        <v>7</v>
      </c>
      <c r="L81" s="3365" t="s">
        <v>2887</v>
      </c>
      <c r="M81" s="3366"/>
      <c r="N81" s="1306"/>
      <c r="O81" s="1307">
        <f ca="1">ROUND(O79*10000/'数据-汇总表'!E3,0)</f>
        <v>13213</v>
      </c>
      <c r="P81" s="1308"/>
      <c r="Q81" s="2028"/>
      <c r="R81" s="2028"/>
      <c r="S81" s="2028"/>
      <c r="T81" s="2028"/>
      <c r="U81" s="2028"/>
      <c r="V81" s="2028"/>
    </row>
    <row r="82" spans="1:26" ht="13.5" thickTop="1">
      <c r="A82" s="375" t="s">
        <v>1824</v>
      </c>
      <c r="B82" s="376" t="s">
        <v>431</v>
      </c>
      <c r="C82" s="377">
        <f ca="1">D63</f>
        <v>193545</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3"/>
      <c r="I83" s="311"/>
      <c r="J83" s="2028"/>
      <c r="K83" s="3377" t="s">
        <v>2874</v>
      </c>
      <c r="L83" s="3087" t="s">
        <v>2875</v>
      </c>
      <c r="M83" s="3077">
        <f ca="1">IF(N69&gt;10000,N69*0.5%,IF(AND(N69&gt;1000,N69&lt;=10000),N69*1%,IF(AND(N69&gt;100,N69&lt;=1000),N69*3%,IF(AND(N69&gt;10,N69&lt;=100),N69*5%,N69*8%))))</f>
        <v>1612.875</v>
      </c>
      <c r="N83" s="53">
        <f ca="1">ROUND(M83,1)</f>
        <v>1612.9</v>
      </c>
      <c r="O83" s="3080"/>
      <c r="P83" s="2028"/>
      <c r="Q83" s="2028"/>
      <c r="R83" s="2028"/>
      <c r="S83" s="2028"/>
      <c r="T83" s="2028"/>
      <c r="U83" s="2028"/>
      <c r="V83" s="2028"/>
    </row>
    <row r="84" spans="1:26" ht="12.75">
      <c r="A84" s="381" t="s">
        <v>1826</v>
      </c>
      <c r="B84" s="382" t="s">
        <v>433</v>
      </c>
      <c r="C84" s="383">
        <v>2000</v>
      </c>
      <c r="D84" s="384" t="s">
        <v>19</v>
      </c>
      <c r="E84" s="3121" t="s">
        <v>2939</v>
      </c>
      <c r="F84" s="42"/>
      <c r="G84" s="42"/>
      <c r="H84" s="1003"/>
      <c r="I84" s="311"/>
      <c r="J84" s="2028"/>
      <c r="K84" s="3377"/>
      <c r="L84" s="3087" t="s">
        <v>2876</v>
      </c>
      <c r="M84" s="3077">
        <f ca="1">IF(N69&gt;2000,N69*0.5%,IF(AND(N69&gt;1000,N69&lt;=2000),N69*0.6%,IF(AND(N69&gt;500,N69&lt;=1000),N69*0.7%,IF(AND(N69&gt;200,N69&lt;=500),N69*0.8%,IF(AND(N69&gt;100,N69&lt;=200),N69*0.9%,IF(AND(N69&gt;50,N69&lt;=100),N69*1%,IF(AND(N69&gt;20,N69&lt;=50),N69*1.5%,IF(AND(N69&gt;10,N69&lt;=20),N69*2%,IF(AND(N69&gt;1,N69&lt;=10),N69*2.5%)))))))))</f>
        <v>1612.875</v>
      </c>
      <c r="N84" s="53">
        <f t="shared" ref="N84:N85" ca="1" si="2">ROUND(M84,1)</f>
        <v>1612.9</v>
      </c>
      <c r="O84" s="2028" t="s">
        <v>2877</v>
      </c>
      <c r="P84" s="2028"/>
      <c r="Q84" s="2028"/>
      <c r="R84" s="2028"/>
      <c r="S84" s="2028"/>
      <c r="T84" s="2028"/>
      <c r="U84" s="2028"/>
      <c r="V84" s="2028"/>
    </row>
    <row r="85" spans="1:26" ht="12.75">
      <c r="A85" s="381" t="s">
        <v>1827</v>
      </c>
      <c r="B85" s="382" t="s">
        <v>434</v>
      </c>
      <c r="C85" s="385">
        <f ca="1">C81-C84</f>
        <v>182329</v>
      </c>
      <c r="D85" s="378" t="s">
        <v>19</v>
      </c>
      <c r="E85" s="379"/>
      <c r="F85" s="42"/>
      <c r="G85" s="42"/>
      <c r="H85" s="1003"/>
      <c r="I85" s="311"/>
      <c r="J85" s="2028"/>
      <c r="K85" s="3377"/>
      <c r="L85" s="3087" t="s">
        <v>2878</v>
      </c>
      <c r="M85" s="3077">
        <f ca="1">IF(N69&gt;1000,N69*0.1%,IF(AND(N69&gt;500,N69&lt;=1000),N69*0.5%,IF(AND(N69&gt;50,N69&lt;=500),N69*1%,IF(AND(N69&gt;1,N69&lt;=50),N69*1.5%))))</f>
        <v>322.57499999999999</v>
      </c>
      <c r="N85" s="53">
        <f t="shared" ca="1" si="2"/>
        <v>322.60000000000002</v>
      </c>
      <c r="O85" s="2028" t="s">
        <v>2877</v>
      </c>
      <c r="P85" s="2028"/>
      <c r="Q85" s="2028"/>
      <c r="R85" s="2028"/>
      <c r="S85" s="2028"/>
      <c r="T85" s="2028"/>
      <c r="U85" s="2028"/>
      <c r="V85" s="2028"/>
    </row>
    <row r="86" spans="1:26" ht="13.5" thickBot="1">
      <c r="A86" s="386" t="s">
        <v>1828</v>
      </c>
      <c r="B86" s="387" t="s">
        <v>435</v>
      </c>
      <c r="C86" s="388">
        <f ca="1">IF(C85&lt;=0,0,ROUND(C85*D86,0))</f>
        <v>10210</v>
      </c>
      <c r="D86" s="389">
        <f>'数据-取费表'!B41</f>
        <v>5.6000000000000001E-2</v>
      </c>
      <c r="E86" s="390"/>
      <c r="F86" s="42"/>
      <c r="G86" s="42"/>
      <c r="H86" s="1003"/>
      <c r="I86" s="311"/>
      <c r="J86" s="2028"/>
      <c r="K86" s="3377"/>
      <c r="L86" s="3087" t="s">
        <v>2879</v>
      </c>
      <c r="M86" s="3077">
        <f ca="1">N69*0.5%</f>
        <v>1612.875</v>
      </c>
      <c r="N86" s="53">
        <f ca="1">IF(M86&gt;0.5,0.5,ROUND(M86,0))</f>
        <v>0.5</v>
      </c>
      <c r="O86" s="2028" t="s">
        <v>2880</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77"/>
      <c r="L87" s="3087" t="s">
        <v>2881</v>
      </c>
      <c r="M87" s="3077">
        <f ca="1">IF(N69&gt;=10000,(8.25+(N69-10000)*0.01%),IF(AND(N69&gt;=8000,N69&lt;10000),(7.85+(N69-8000)*0.02%),IF(AND(N69&gt;=5000,N69&lt;8000),(6.65+(N69-5000)*0.04%),IF(AND(N69&gt;=2000,N69&lt;5000),(4.25+(PN69-2000)*0.08%),IF(AND(N69&gt;=1000,N69&lt;2000),(2.75+(N69-1000)*0.15%),IF(AND(N69&gt;=100,N69&lt;1000),(0.5+(N69-100)*0.25%),IF(AND(N69&gt;0,N69&lt;100),N69*0.5%)))))))</f>
        <v>39.5075</v>
      </c>
      <c r="N87" s="53">
        <f ca="1">ROUND(M87*0.9,1)</f>
        <v>35.6</v>
      </c>
      <c r="O87" s="3080"/>
      <c r="P87" s="311"/>
      <c r="Q87" s="2028"/>
      <c r="R87" s="2028"/>
      <c r="S87" s="2028"/>
      <c r="T87" s="2028"/>
      <c r="U87" s="2028"/>
      <c r="V87" s="2028"/>
      <c r="W87" s="292"/>
      <c r="X87" s="292"/>
      <c r="Y87" s="292"/>
      <c r="Z87" s="292"/>
    </row>
    <row r="88" spans="1:26" s="1314" customFormat="1" ht="15" thickBot="1">
      <c r="A88" s="3359" t="s">
        <v>436</v>
      </c>
      <c r="B88" s="3360"/>
      <c r="C88" s="3360"/>
      <c r="D88" s="3360"/>
      <c r="E88" s="3360"/>
      <c r="F88" s="3360"/>
      <c r="G88" s="3360"/>
      <c r="H88" s="3360"/>
      <c r="I88" s="1315"/>
      <c r="J88" s="2036"/>
      <c r="K88" s="3377"/>
      <c r="L88" s="3087" t="s">
        <v>2882</v>
      </c>
      <c r="M88" s="3077">
        <f ca="1">IF(N69&gt;10000,N69*0.5%,IF(AND(N69&gt;5000,N69&lt;=10000),N69*1%,IF(AND(N69&gt;1000,N69&lt;=5000),N69*2%,IF(AND(N69&gt;200,N69&lt;=1000),N69*3%,N69*5%))))</f>
        <v>1612.875</v>
      </c>
      <c r="N88" s="53">
        <f ca="1">ROUND(M88,1)</f>
        <v>1612.9</v>
      </c>
      <c r="O88" s="3080"/>
      <c r="P88" s="11"/>
      <c r="Q88" s="2033"/>
      <c r="R88" s="2033"/>
      <c r="S88" s="2033"/>
      <c r="T88" s="2033"/>
      <c r="U88" s="2033"/>
      <c r="V88" s="2033"/>
      <c r="W88" s="2037"/>
      <c r="X88" s="2037"/>
      <c r="Y88" s="2037"/>
      <c r="Z88" s="2037"/>
    </row>
    <row r="89" spans="1:26" s="1314" customFormat="1" ht="14.25">
      <c r="A89" s="3357" t="s">
        <v>427</v>
      </c>
      <c r="B89" s="3358"/>
      <c r="C89" s="994"/>
      <c r="D89" s="994" t="s">
        <v>428</v>
      </c>
      <c r="E89" s="391" t="s">
        <v>437</v>
      </c>
      <c r="F89" s="392"/>
      <c r="G89" s="392"/>
      <c r="H89" s="393"/>
      <c r="I89" s="1316"/>
      <c r="J89" s="2038"/>
      <c r="K89" s="3377"/>
      <c r="L89" s="3087" t="s">
        <v>27</v>
      </c>
      <c r="M89" s="3078"/>
      <c r="N89" s="53">
        <f ca="1">ROUND(SUM(N83:N88),0)</f>
        <v>5197</v>
      </c>
      <c r="O89" s="3088">
        <f ca="1">N89/N69</f>
        <v>1.6110981942183987E-2</v>
      </c>
      <c r="P89" s="2033"/>
      <c r="Q89" s="2033"/>
      <c r="R89" s="2033"/>
      <c r="S89" s="2033"/>
      <c r="T89" s="2033"/>
      <c r="U89" s="2033"/>
      <c r="V89" s="2033"/>
      <c r="W89" s="2037"/>
      <c r="X89" s="2037"/>
      <c r="Y89" s="2037"/>
      <c r="Z89" s="2037"/>
    </row>
    <row r="90" spans="1:26" s="1314" customFormat="1" ht="14.25">
      <c r="A90" s="381" t="s">
        <v>1823</v>
      </c>
      <c r="B90" s="382" t="s">
        <v>438</v>
      </c>
      <c r="C90" s="385">
        <f ca="1">ROUND(D63/(1+'数据-取费表'!C42),0)</f>
        <v>184329</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439</v>
      </c>
      <c r="C91" s="385">
        <f ca="1">C92+C96</f>
        <v>3667</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445</v>
      </c>
      <c r="C94" s="378">
        <f>IF(F93="购房发票",ROUND(C93*H93*5%,0),0)</f>
        <v>500</v>
      </c>
      <c r="D94" s="401">
        <v>0.05</v>
      </c>
      <c r="E94" s="3320" t="s">
        <v>446</v>
      </c>
      <c r="F94" s="3319"/>
      <c r="G94" s="3319"/>
      <c r="H94" s="3356"/>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449</v>
      </c>
      <c r="C96" s="405">
        <f ca="1">ROUND(D63*D96/(1+'数据-取费表'!C42),0)</f>
        <v>1106</v>
      </c>
      <c r="D96" s="406">
        <f>'数据-取费表'!B43</f>
        <v>6.000000000000001E-3</v>
      </c>
      <c r="E96" s="3348" t="s">
        <v>2429</v>
      </c>
      <c r="F96" s="3349"/>
      <c r="G96" s="3349"/>
      <c r="H96" s="3350"/>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6" t="s">
        <v>1835</v>
      </c>
      <c r="B97" s="382" t="s">
        <v>450</v>
      </c>
      <c r="C97" s="385">
        <f ca="1">C90-C91</f>
        <v>180662</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1836</v>
      </c>
      <c r="B98" s="382" t="s">
        <v>451</v>
      </c>
      <c r="C98" s="407">
        <f ca="1">IF(C97&lt;=0,0,C97/C91)</f>
        <v>49.266975729479135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7" t="s">
        <v>1837</v>
      </c>
      <c r="B99" s="387" t="s">
        <v>452</v>
      </c>
      <c r="C99" s="408">
        <f ca="1">ROUND(IF(C97&lt;=0,0,IF(C98&gt;=200%,C97*60%-C91*35%,IF(C98&gt;=100%,C97*50%-C91*15%,IF(C98&gt;=50%,C97*40%-C91*5%,IF(C98&lt;50%,C97*30%,0))))),0)</f>
        <v>107114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59" t="s">
        <v>453</v>
      </c>
      <c r="B101" s="3360"/>
      <c r="C101" s="3360"/>
      <c r="D101" s="3360"/>
      <c r="E101" s="3360"/>
      <c r="F101" s="3360"/>
      <c r="G101" s="3360"/>
      <c r="H101" s="3360"/>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57" t="s">
        <v>427</v>
      </c>
      <c r="B102" s="3358"/>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438</v>
      </c>
      <c r="C103" s="385">
        <f ca="1">ROUND(D63/(1+'数据-取费表'!C42),0)</f>
        <v>184329</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439</v>
      </c>
      <c r="C104" s="385">
        <f ca="1">IF(H106="仅含出让金",C105+C108+C109+C110+C111+C112,C105+C109+C110+C111+C112)</f>
        <v>1796</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454</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455</v>
      </c>
      <c r="C106" s="416">
        <v>555</v>
      </c>
      <c r="D106" s="406"/>
      <c r="E106" s="417" t="s">
        <v>456</v>
      </c>
      <c r="F106" s="986"/>
      <c r="G106" s="418" t="s">
        <v>457</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1838</v>
      </c>
      <c r="B109" s="376" t="s">
        <v>460</v>
      </c>
      <c r="C109" s="405">
        <f>IF(H109="——",IF(F1="现房",'剩余法-现房'!C18,'剩余法-待开发'!C18),I109)</f>
        <v>55</v>
      </c>
      <c r="D109" s="406"/>
      <c r="E109" s="3351" t="s">
        <v>461</v>
      </c>
      <c r="F109" s="3349"/>
      <c r="G109" s="3349"/>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1839</v>
      </c>
      <c r="B110" s="376" t="s">
        <v>462</v>
      </c>
      <c r="C110" s="405">
        <f>ROUND((C105+C108+C109)*D110,0)</f>
        <v>63</v>
      </c>
      <c r="D110" s="406">
        <v>0.1</v>
      </c>
      <c r="E110" s="3351" t="s">
        <v>463</v>
      </c>
      <c r="F110" s="3349"/>
      <c r="G110" s="3349"/>
      <c r="H110" s="3350"/>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1840</v>
      </c>
      <c r="B111" s="376" t="s">
        <v>449</v>
      </c>
      <c r="C111" s="405">
        <f ca="1">ROUND(D63*D111/(1+'数据-取费表'!C42),0)</f>
        <v>1106</v>
      </c>
      <c r="D111" s="406">
        <f>'数据-取费表'!B43</f>
        <v>6.000000000000001E-3</v>
      </c>
      <c r="E111" s="3348" t="s">
        <v>2429</v>
      </c>
      <c r="F111" s="3349"/>
      <c r="G111" s="3349"/>
      <c r="H111" s="3350"/>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1841</v>
      </c>
      <c r="B112" s="376" t="s">
        <v>464</v>
      </c>
      <c r="C112" s="405">
        <f>ROUND(C108*D112,0)</f>
        <v>0</v>
      </c>
      <c r="D112" s="406">
        <v>0.2</v>
      </c>
      <c r="E112" s="3351" t="s">
        <v>2454</v>
      </c>
      <c r="F112" s="3349"/>
      <c r="G112" s="3349"/>
      <c r="H112" s="3350"/>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6" t="s">
        <v>1835</v>
      </c>
      <c r="B113" s="382" t="s">
        <v>450</v>
      </c>
      <c r="C113" s="385">
        <f ca="1">ROUND(C103-C104,0)</f>
        <v>182533</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1836</v>
      </c>
      <c r="B114" s="382" t="s">
        <v>451</v>
      </c>
      <c r="C114" s="407">
        <f ca="1">IF(C113&lt;=0,0,C113/C104)</f>
        <v>101.63307349665924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7" t="s">
        <v>1837</v>
      </c>
      <c r="B115" s="387" t="s">
        <v>452</v>
      </c>
      <c r="C115" s="408">
        <f ca="1">ROUND(IF(C113&lt;=0,0,IF(C114&gt;=200%,C113*60%-C104*35%,IF(C114&gt;=100%,C113*50%-C104*15%,IF(C114&gt;=50%,C113*40%-C104*5%,IF(C114&lt;50%,C113*30%,0))))),0)</f>
        <v>108891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33"/>
      <c r="C1" s="2104"/>
      <c r="D1" s="2104"/>
      <c r="E1" s="2104"/>
      <c r="F1" s="2104"/>
      <c r="G1" s="2104"/>
      <c r="H1" s="2104"/>
      <c r="I1" s="2104"/>
      <c r="J1" s="2104"/>
      <c r="K1" s="422">
        <f>MATCH(B1,'数据-取费表'!A6:A16,0)+5</f>
        <v>10</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2652</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47159</v>
      </c>
      <c r="D13" s="451"/>
      <c r="E13" s="365"/>
      <c r="F13" s="452"/>
      <c r="G13" s="444"/>
      <c r="H13" s="447"/>
      <c r="I13" s="447"/>
      <c r="J13" s="447"/>
      <c r="K13" s="448"/>
    </row>
    <row r="14" spans="1:41" s="2116" customFormat="1" ht="13.5" customHeight="1">
      <c r="A14" s="1632" t="s">
        <v>1849</v>
      </c>
      <c r="B14" s="449" t="s">
        <v>479</v>
      </c>
      <c r="C14" s="53">
        <f ca="1">ROUND(C13*F14,0)</f>
        <v>1415</v>
      </c>
      <c r="D14" s="451"/>
      <c r="E14" s="365"/>
      <c r="F14" s="453">
        <f>'数据-取费表'!B33</f>
        <v>0.03</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716</v>
      </c>
      <c r="D15" s="451"/>
      <c r="E15" s="365"/>
      <c r="F15" s="453">
        <f>'数据-取费表'!B34</f>
        <v>0.02</v>
      </c>
      <c r="G15" s="444" t="s">
        <v>501</v>
      </c>
      <c r="H15" s="447"/>
      <c r="I15" s="447"/>
      <c r="J15" s="447"/>
      <c r="K15" s="448"/>
    </row>
    <row r="16" spans="1:41" s="2117" customFormat="1" ht="13.5" customHeight="1">
      <c r="A16" s="1632" t="s">
        <v>1851</v>
      </c>
      <c r="B16" s="449" t="s">
        <v>483</v>
      </c>
      <c r="C16" s="53">
        <f ca="1">ROUND(D16*E16/10000,0)</f>
        <v>3049</v>
      </c>
      <c r="D16" s="451">
        <f ca="1">IF(B1="",'数据-汇总表'!E3,INDIRECT("'数据-取费表'!K"&amp;$K$1)+INDIRECT("'数据-取费表'!S"&amp;$K$1))</f>
        <v>152440.46</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707</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53046</v>
      </c>
      <c r="D18" s="461"/>
      <c r="E18" s="462"/>
      <c r="F18" s="462"/>
      <c r="G18" s="1327" t="s">
        <v>2433</v>
      </c>
      <c r="H18" s="447"/>
      <c r="I18" s="447"/>
      <c r="J18" s="447"/>
      <c r="K18" s="448"/>
    </row>
    <row r="19" spans="1:14" s="2119" customFormat="1" ht="13.5" customHeight="1">
      <c r="A19" s="1633" t="s">
        <v>1854</v>
      </c>
      <c r="B19" s="459" t="s">
        <v>492</v>
      </c>
      <c r="C19" s="460">
        <f ca="1">ROUND(C18*F19,0)</f>
        <v>1061</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51">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1858</v>
      </c>
      <c r="B21" s="461" t="s">
        <v>493</v>
      </c>
      <c r="C21" s="470">
        <f ca="1">C22</f>
        <v>2570</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2" t="s">
        <v>1848</v>
      </c>
      <c r="B22" s="1328" t="s">
        <v>2436</v>
      </c>
      <c r="C22" s="487">
        <f ca="1">ROUND(IF('数据-取费表'!B22&lt;=1,(C18+C19)*F21*'数据-取费表'!B20/2,(C18+C19)*(POWER((1+F21),'数据-取费表'!B20/2)-1)),0)</f>
        <v>2570</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1849</v>
      </c>
      <c r="B23" s="1328" t="s">
        <v>507</v>
      </c>
      <c r="C23" s="488">
        <f ca="1">ROUND(IF('数据-取费表'!B22&lt;=1,F20*F21*'数据-取费表'!B20/2,F20*(POWER((1+F21),'数据-取费表'!B20/2)-1)),4)</f>
        <v>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53" t="s">
        <v>2832</v>
      </c>
      <c r="C24" s="478">
        <f ca="1">C25</f>
        <v>3787</v>
      </c>
      <c r="D24" s="489">
        <f ca="1">C26</f>
        <v>1.4E-3</v>
      </c>
      <c r="E24" s="469" t="s">
        <v>506</v>
      </c>
      <c r="F24" s="479">
        <f ca="1">IF(B1="",'数据-取费表'!Q16,INDIRECT("'数据-取费表'!q"&amp;$K$1))</f>
        <v>7.0000000000000007E-2</v>
      </c>
      <c r="G24" s="444"/>
      <c r="H24" s="447"/>
      <c r="I24" s="447"/>
      <c r="J24" s="447"/>
      <c r="K24" s="448"/>
    </row>
    <row r="25" spans="1:14" s="2120" customFormat="1" ht="13.5" customHeight="1">
      <c r="A25" s="1632" t="s">
        <v>1848</v>
      </c>
      <c r="B25" s="1328" t="s">
        <v>2437</v>
      </c>
      <c r="C25" s="490">
        <f ca="1">ROUND((C18+C19)*F24,0)</f>
        <v>3787</v>
      </c>
      <c r="D25" s="472"/>
      <c r="E25" s="473"/>
      <c r="F25" s="480"/>
      <c r="G25" s="1326" t="s">
        <v>2434</v>
      </c>
      <c r="H25" s="457"/>
      <c r="I25" s="457"/>
      <c r="J25" s="457"/>
      <c r="K25" s="458"/>
    </row>
    <row r="26" spans="1:14" s="2120" customFormat="1" ht="13.5" customHeight="1">
      <c r="A26" s="1632" t="s">
        <v>1849</v>
      </c>
      <c r="B26" s="1328" t="s">
        <v>508</v>
      </c>
      <c r="C26" s="491">
        <f ca="1">ROUND(F20*F24,4)</f>
        <v>1.4E-3</v>
      </c>
      <c r="D26" s="472"/>
      <c r="E26" s="481"/>
      <c r="F26" s="480"/>
      <c r="G26" s="1326" t="s">
        <v>509</v>
      </c>
      <c r="H26" s="457"/>
      <c r="I26" s="457"/>
      <c r="J26" s="457"/>
      <c r="K26" s="458"/>
    </row>
    <row r="27" spans="1:14" s="2120" customFormat="1" ht="13.5" customHeight="1">
      <c r="A27" s="1636" t="s">
        <v>1867</v>
      </c>
      <c r="B27" s="459" t="s">
        <v>510</v>
      </c>
      <c r="C27" s="3052">
        <f>ROUND(F27/(1+'数据-取费表'!C42),4)</f>
        <v>5.33E-2</v>
      </c>
      <c r="D27" s="462" t="s">
        <v>2830</v>
      </c>
      <c r="E27" s="462"/>
      <c r="F27" s="466">
        <f>'数据-取费表'!B41</f>
        <v>5.6000000000000001E-2</v>
      </c>
      <c r="G27" s="1960" t="s">
        <v>2291</v>
      </c>
      <c r="H27" s="447"/>
      <c r="I27" s="447"/>
      <c r="J27" s="447"/>
      <c r="K27" s="448"/>
    </row>
    <row r="28" spans="1:14" s="2121" customFormat="1" ht="13.5" customHeight="1">
      <c r="A28" s="1636" t="s">
        <v>1868</v>
      </c>
      <c r="B28" s="476" t="s">
        <v>511</v>
      </c>
      <c r="C28" s="470">
        <f ca="1">ROUND((C18+C19+C21+C24)/(1-C20-D21-D24-C27),0)</f>
        <v>65416</v>
      </c>
      <c r="D28" s="477"/>
      <c r="E28" s="469"/>
      <c r="F28" s="471"/>
      <c r="G28" s="1327" t="s">
        <v>2435</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506" t="s">
        <v>1865</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7"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2" zoomScale="85" zoomScaleNormal="95" zoomScaleSheetLayoutView="85" workbookViewId="0">
      <selection activeCell="F68" sqref="F68"/>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7.375" style="1337" customWidth="1"/>
    <col min="8" max="8" width="12.25" style="1337" customWidth="1"/>
    <col min="9" max="9" width="18.1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341671</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8" t="s">
        <v>1684</v>
      </c>
      <c r="B3" s="510">
        <f>ROUND(B2*10000/'数据-汇总表'!E3,0)</f>
        <v>22413</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81643</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5443</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402" t="s">
        <v>521</v>
      </c>
      <c r="D6" s="3403"/>
      <c r="E6" s="3402" t="s">
        <v>522</v>
      </c>
      <c r="F6" s="3403"/>
      <c r="G6" s="3402" t="s">
        <v>523</v>
      </c>
      <c r="H6" s="3403"/>
      <c r="I6" s="3402" t="s">
        <v>524</v>
      </c>
      <c r="J6" s="3403"/>
      <c r="K6" s="514" t="s">
        <v>525</v>
      </c>
      <c r="L6" s="2133"/>
      <c r="M6" s="2132"/>
      <c r="N6" s="2132"/>
      <c r="O6" s="2134"/>
      <c r="P6" s="3404" t="s">
        <v>526</v>
      </c>
      <c r="Q6" s="3405"/>
      <c r="R6" s="3410" t="s">
        <v>522</v>
      </c>
      <c r="S6" s="3411"/>
      <c r="T6" s="3410" t="s">
        <v>523</v>
      </c>
      <c r="U6" s="3411"/>
      <c r="V6" s="3397" t="s">
        <v>524</v>
      </c>
      <c r="W6" s="3397"/>
      <c r="X6" s="1566"/>
      <c r="Y6" s="3410" t="s">
        <v>526</v>
      </c>
      <c r="Z6" s="3411"/>
      <c r="AA6" s="3399" t="s">
        <v>522</v>
      </c>
      <c r="AB6" s="3400" t="s">
        <v>523</v>
      </c>
      <c r="AC6" s="3399" t="s">
        <v>524</v>
      </c>
    </row>
    <row r="7" spans="1:30" ht="95.25" customHeight="1">
      <c r="A7" s="515"/>
      <c r="B7" s="516"/>
      <c r="C7" s="3420" t="str">
        <f>项目基本情况!F10</f>
        <v>海淀区“海淀北部地区整体开发”西北旺镇亮甲店村HD00-0404-6006地块R2二类居住用地</v>
      </c>
      <c r="D7" s="3419"/>
      <c r="E7" s="3418" t="str">
        <f>土地案例!A17</f>
        <v>北京市朝阳区豆各庄乡马家湾村1306-606地块R2二类居住用地</v>
      </c>
      <c r="F7" s="3419"/>
      <c r="G7" s="3418" t="str">
        <f>土地案例!A18</f>
        <v>北京市朝阳区东坝乡驹子房村1109-663地块R2二类居住用地</v>
      </c>
      <c r="H7" s="3419"/>
      <c r="I7" s="3418" t="str">
        <f>土地案例!A21</f>
        <v>朝阳区管庄乡塔营村1208-605地块</v>
      </c>
      <c r="J7" s="3419"/>
      <c r="K7" s="514"/>
      <c r="L7" s="2133"/>
      <c r="M7" s="2132"/>
      <c r="N7" s="2132"/>
      <c r="O7" s="2134"/>
      <c r="P7" s="3406"/>
      <c r="Q7" s="3407"/>
      <c r="R7" s="3412"/>
      <c r="S7" s="3413"/>
      <c r="T7" s="3412"/>
      <c r="U7" s="3413"/>
      <c r="V7" s="3397"/>
      <c r="W7" s="3397"/>
      <c r="X7" s="1566"/>
      <c r="Y7" s="3412"/>
      <c r="Z7" s="3413"/>
      <c r="AA7" s="3400"/>
      <c r="AB7" s="3400"/>
      <c r="AC7" s="3400"/>
    </row>
    <row r="8" spans="1:30" ht="21" thickBot="1">
      <c r="A8" s="515"/>
      <c r="B8" s="516"/>
      <c r="C8" s="3416" t="s">
        <v>3321</v>
      </c>
      <c r="D8" s="3417"/>
      <c r="E8" s="3416" t="s">
        <v>3322</v>
      </c>
      <c r="F8" s="3417"/>
      <c r="G8" s="3421" t="s">
        <v>3323</v>
      </c>
      <c r="H8" s="3422"/>
      <c r="I8" s="3416" t="s">
        <v>3324</v>
      </c>
      <c r="J8" s="3417"/>
      <c r="K8" s="514" t="s">
        <v>527</v>
      </c>
      <c r="L8" s="2133"/>
      <c r="M8" s="2132"/>
      <c r="N8" s="2132"/>
      <c r="O8" s="2134"/>
      <c r="P8" s="3408"/>
      <c r="Q8" s="3409"/>
      <c r="R8" s="3412"/>
      <c r="S8" s="3413"/>
      <c r="T8" s="3414"/>
      <c r="U8" s="3415"/>
      <c r="V8" s="3397"/>
      <c r="W8" s="3397"/>
      <c r="X8" s="1566"/>
      <c r="Y8" s="3414"/>
      <c r="Z8" s="3415"/>
      <c r="AA8" s="3401"/>
      <c r="AB8" s="3401"/>
      <c r="AC8" s="3401"/>
    </row>
    <row r="9" spans="1:30" s="1220" customFormat="1" ht="21" thickBot="1">
      <c r="A9" s="2936"/>
      <c r="B9" s="2943" t="s">
        <v>528</v>
      </c>
      <c r="C9" s="2935">
        <f>'数据-取费表'!B2</f>
        <v>43348</v>
      </c>
      <c r="D9" s="520">
        <v>100</v>
      </c>
      <c r="E9" s="521" t="str">
        <f>土地案例!AA17</f>
        <v>2017-12-14</v>
      </c>
      <c r="F9" s="522">
        <f>SUMIF(72:72,YEAR(E9)&amp;"-"&amp;INT((MONTH(E9)+2)/3),73:73)</f>
        <v>97</v>
      </c>
      <c r="G9" s="523" t="str">
        <f>土地案例!AA18</f>
        <v>2017-11-03</v>
      </c>
      <c r="H9" s="520">
        <f>SUMIF(72:72,YEAR(G9)&amp;"-"&amp;INT((MONTH(G9)+2)/3),73:73)</f>
        <v>97</v>
      </c>
      <c r="I9" s="523" t="str">
        <f>土地案例!AA21</f>
        <v>2017-04-25</v>
      </c>
      <c r="J9" s="520">
        <f>SUMIF(72:72,YEAR(I9)&amp;"-"&amp;INT((MONTH(I9)+2)/3),73:73)</f>
        <v>95</v>
      </c>
      <c r="K9" s="524"/>
      <c r="L9" s="2135"/>
      <c r="M9" s="2132"/>
      <c r="N9" s="2132"/>
      <c r="O9" s="2136"/>
      <c r="P9" s="3428" t="s">
        <v>529</v>
      </c>
      <c r="Q9" s="3430"/>
      <c r="R9" s="1567" t="s">
        <v>8</v>
      </c>
      <c r="S9" s="1568">
        <f t="shared" ref="S9:S17" si="0">F9</f>
        <v>97</v>
      </c>
      <c r="T9" s="1567" t="s">
        <v>8</v>
      </c>
      <c r="U9" s="1568">
        <f t="shared" ref="U9:U17" si="1">H9</f>
        <v>97</v>
      </c>
      <c r="V9" s="1567" t="s">
        <v>8</v>
      </c>
      <c r="W9" s="1568">
        <f t="shared" ref="W9:W17" si="2">J9</f>
        <v>95</v>
      </c>
      <c r="X9" s="1569"/>
      <c r="Y9" s="3428" t="s">
        <v>529</v>
      </c>
      <c r="Z9" s="3429"/>
      <c r="AA9" s="1570">
        <f>D9/F9</f>
        <v>1.0309278350515463</v>
      </c>
      <c r="AB9" s="1570">
        <f>D9/H9</f>
        <v>1.0309278350515463</v>
      </c>
      <c r="AC9" s="1570">
        <f>D9/J9</f>
        <v>1.0526315789473684</v>
      </c>
    </row>
    <row r="10" spans="1:30" s="1220" customFormat="1" ht="21" thickBot="1">
      <c r="A10" s="2937"/>
      <c r="B10" s="2944"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5"/>
      <c r="M10" s="2132"/>
      <c r="N10" s="2132"/>
      <c r="O10" s="2136"/>
      <c r="P10" s="3428" t="s">
        <v>532</v>
      </c>
      <c r="Q10" s="3429"/>
      <c r="R10" s="1567" t="s">
        <v>8</v>
      </c>
      <c r="S10" s="1568">
        <f t="shared" si="0"/>
        <v>100</v>
      </c>
      <c r="T10" s="1567" t="s">
        <v>8</v>
      </c>
      <c r="U10" s="1568">
        <f t="shared" si="1"/>
        <v>100</v>
      </c>
      <c r="V10" s="1567" t="s">
        <v>8</v>
      </c>
      <c r="W10" s="1568">
        <f t="shared" si="2"/>
        <v>100</v>
      </c>
      <c r="X10" s="1569"/>
      <c r="Y10" s="3428" t="s">
        <v>532</v>
      </c>
      <c r="Z10" s="3429"/>
      <c r="AA10" s="1570">
        <f t="shared" ref="AA10:AA47" si="3">D10/F10</f>
        <v>1</v>
      </c>
      <c r="AB10" s="1570">
        <f t="shared" ref="AB10:AB47" si="4">D10/H10</f>
        <v>1</v>
      </c>
      <c r="AC10" s="1570">
        <f t="shared" ref="AC10:AC47" si="5">D10/J10</f>
        <v>1</v>
      </c>
    </row>
    <row r="11" spans="1:30" s="1220" customFormat="1" ht="35.25" customHeight="1">
      <c r="A11" s="2938"/>
      <c r="B11" s="2945" t="s">
        <v>2756</v>
      </c>
      <c r="C11" s="2932" t="s">
        <v>2983</v>
      </c>
      <c r="D11" s="254">
        <v>100</v>
      </c>
      <c r="E11" s="526" t="str">
        <f>土地案例!I2</f>
        <v>R2二类居住用地</v>
      </c>
      <c r="F11" s="254">
        <f>SUMIF(77:77,E11,78:78)-SUMIF(77:77,C11,78:78)+100</f>
        <v>100</v>
      </c>
      <c r="G11" s="3226" t="s">
        <v>2983</v>
      </c>
      <c r="H11" s="254">
        <f>SUMIF(77:77,G11,78:78)-SUMIF(77:77,C11,78:78)+100</f>
        <v>100</v>
      </c>
      <c r="I11" s="526" t="s">
        <v>3111</v>
      </c>
      <c r="J11" s="254">
        <f>SUMIF(77:77,I11,78:78)-SUMIF(77:77,C11,78:78)+100</f>
        <v>98</v>
      </c>
      <c r="K11" s="524"/>
      <c r="L11" s="2135"/>
      <c r="M11" s="2132"/>
      <c r="N11" s="2132"/>
      <c r="O11" s="2137"/>
      <c r="P11" s="3396" t="s">
        <v>534</v>
      </c>
      <c r="Q11" s="1151" t="str">
        <f t="shared" ref="Q11:Q17" si="6">B11</f>
        <v>用途</v>
      </c>
      <c r="R11" s="1567" t="s">
        <v>8</v>
      </c>
      <c r="S11" s="1568">
        <f t="shared" si="0"/>
        <v>100</v>
      </c>
      <c r="T11" s="1567" t="s">
        <v>8</v>
      </c>
      <c r="U11" s="1568">
        <f t="shared" si="1"/>
        <v>100</v>
      </c>
      <c r="V11" s="1567" t="s">
        <v>8</v>
      </c>
      <c r="W11" s="1568">
        <f t="shared" si="2"/>
        <v>98</v>
      </c>
      <c r="X11" s="1569"/>
      <c r="Y11" s="3342" t="s">
        <v>535</v>
      </c>
      <c r="Z11" s="1150" t="str">
        <f t="shared" ref="Z11:Z17" si="7">Q11</f>
        <v>用途</v>
      </c>
      <c r="AA11" s="1570">
        <f t="shared" si="3"/>
        <v>1</v>
      </c>
      <c r="AB11" s="1570">
        <f t="shared" si="4"/>
        <v>1</v>
      </c>
      <c r="AC11" s="1570">
        <f t="shared" si="5"/>
        <v>1.0204081632653061</v>
      </c>
    </row>
    <row r="12" spans="1:30" s="1338" customFormat="1" ht="28.5">
      <c r="A12" s="2939"/>
      <c r="B12" s="2944" t="s">
        <v>2757</v>
      </c>
      <c r="C12" s="3222" t="s">
        <v>3329</v>
      </c>
      <c r="D12" s="255">
        <v>100</v>
      </c>
      <c r="E12" s="530" t="s">
        <v>3169</v>
      </c>
      <c r="F12" s="255">
        <f>ROUND(100/'数据-取费表'!G16,0)</f>
        <v>100</v>
      </c>
      <c r="G12" s="530" t="s">
        <v>3169</v>
      </c>
      <c r="H12" s="255">
        <f>ROUND(100/'数据-取费表'!G16,0)</f>
        <v>100</v>
      </c>
      <c r="I12" s="530" t="s">
        <v>3169</v>
      </c>
      <c r="J12" s="255">
        <f>ROUND(100/'数据-取费表'!G16,0)</f>
        <v>100</v>
      </c>
      <c r="K12" s="531"/>
      <c r="L12" s="2138"/>
      <c r="M12" s="2132"/>
      <c r="N12" s="2132"/>
      <c r="O12" s="2139"/>
      <c r="P12" s="3396"/>
      <c r="Q12" s="1151" t="str">
        <f t="shared" si="6"/>
        <v>土地使用年限（年）</v>
      </c>
      <c r="R12" s="1567" t="s">
        <v>8</v>
      </c>
      <c r="S12" s="1568">
        <f t="shared" si="0"/>
        <v>100</v>
      </c>
      <c r="T12" s="1567" t="s">
        <v>8</v>
      </c>
      <c r="U12" s="1568">
        <f t="shared" si="1"/>
        <v>100</v>
      </c>
      <c r="V12" s="1567" t="s">
        <v>8</v>
      </c>
      <c r="W12" s="1568">
        <f t="shared" si="2"/>
        <v>100</v>
      </c>
      <c r="X12" s="1569"/>
      <c r="Y12" s="3342"/>
      <c r="Z12" s="1150" t="str">
        <f t="shared" si="7"/>
        <v>土地使用年限（年）</v>
      </c>
      <c r="AA12" s="1570">
        <f t="shared" si="3"/>
        <v>1</v>
      </c>
      <c r="AB12" s="1570">
        <f t="shared" si="4"/>
        <v>1</v>
      </c>
      <c r="AC12" s="1570">
        <f t="shared" si="5"/>
        <v>1</v>
      </c>
    </row>
    <row r="13" spans="1:30" ht="20.25">
      <c r="A13" s="2940"/>
      <c r="B13" s="2944" t="s">
        <v>2758</v>
      </c>
      <c r="C13" s="534">
        <f>'数据-汇总表'!I4</f>
        <v>2.2000000000000002</v>
      </c>
      <c r="D13" s="255">
        <v>100</v>
      </c>
      <c r="E13" s="533">
        <f>土地案例!L17</f>
        <v>2.1</v>
      </c>
      <c r="F13" s="255">
        <f>LOOKUP(E13,82:82,83:83)-LOOKUP(C13,82:82,83:83)+100</f>
        <v>100</v>
      </c>
      <c r="G13" s="534">
        <f>土地案例!L18</f>
        <v>2.5</v>
      </c>
      <c r="H13" s="255">
        <f>LOOKUP(G13,82:82,83:83)-LOOKUP(C13,82:82,83:83)+100</f>
        <v>100</v>
      </c>
      <c r="I13" s="533">
        <f>土地案例!L21</f>
        <v>1.7</v>
      </c>
      <c r="J13" s="255">
        <f>LOOKUP(I13,82:82,83:83)-LOOKUP(C13,82:82,83:83)+100</f>
        <v>101</v>
      </c>
      <c r="K13" s="535">
        <v>1</v>
      </c>
      <c r="L13" s="2140"/>
      <c r="M13" s="2132"/>
      <c r="N13" s="2132"/>
      <c r="O13" s="2141"/>
      <c r="P13" s="3396"/>
      <c r="Q13" s="1151" t="str">
        <f t="shared" si="6"/>
        <v>容积率</v>
      </c>
      <c r="R13" s="1567" t="s">
        <v>8</v>
      </c>
      <c r="S13" s="1568">
        <f t="shared" si="0"/>
        <v>100</v>
      </c>
      <c r="T13" s="1567" t="s">
        <v>8</v>
      </c>
      <c r="U13" s="1568">
        <f t="shared" si="1"/>
        <v>100</v>
      </c>
      <c r="V13" s="1567" t="s">
        <v>8</v>
      </c>
      <c r="W13" s="1568">
        <f t="shared" si="2"/>
        <v>101</v>
      </c>
      <c r="X13" s="1569"/>
      <c r="Y13" s="3342"/>
      <c r="Z13" s="1150" t="str">
        <f t="shared" si="7"/>
        <v>容积率</v>
      </c>
      <c r="AA13" s="1570">
        <f t="shared" si="3"/>
        <v>1</v>
      </c>
      <c r="AB13" s="1570">
        <f t="shared" si="4"/>
        <v>1</v>
      </c>
      <c r="AC13" s="1570">
        <f t="shared" si="5"/>
        <v>0.99009900990099009</v>
      </c>
    </row>
    <row r="14" spans="1:30" s="1220" customFormat="1" ht="27">
      <c r="A14" s="2937"/>
      <c r="B14" s="2946" t="s">
        <v>2759</v>
      </c>
      <c r="C14" s="2933" t="s">
        <v>3330</v>
      </c>
      <c r="D14" s="538">
        <v>100</v>
      </c>
      <c r="E14" s="2933" t="s">
        <v>3330</v>
      </c>
      <c r="F14" s="255">
        <f>SUMIF(84:84,E14,85:85)-SUMIF(84:84,C14,85:85)+100</f>
        <v>100</v>
      </c>
      <c r="G14" s="2933" t="s">
        <v>3330</v>
      </c>
      <c r="H14" s="255">
        <f>SUMIF(84:84,G14,85:85)-SUMIF(84:84,C14,85:85)+100</f>
        <v>100</v>
      </c>
      <c r="I14" s="2933" t="s">
        <v>3331</v>
      </c>
      <c r="J14" s="255">
        <f>SUMIF(84:84,I14,85:85)-SUMIF(84:84,C14,85:85)+100</f>
        <v>100</v>
      </c>
      <c r="K14" s="531"/>
      <c r="L14" s="2135"/>
      <c r="M14" s="2132"/>
      <c r="N14" s="2132"/>
      <c r="O14" s="2137"/>
      <c r="P14" s="3396"/>
      <c r="Q14" s="1151" t="str">
        <f t="shared" si="6"/>
        <v>配建</v>
      </c>
      <c r="R14" s="1567" t="s">
        <v>8</v>
      </c>
      <c r="S14" s="1568">
        <f t="shared" si="0"/>
        <v>100</v>
      </c>
      <c r="T14" s="1567" t="s">
        <v>8</v>
      </c>
      <c r="U14" s="1568">
        <f t="shared" si="1"/>
        <v>100</v>
      </c>
      <c r="V14" s="1567" t="s">
        <v>8</v>
      </c>
      <c r="W14" s="1568">
        <f t="shared" si="2"/>
        <v>100</v>
      </c>
      <c r="X14" s="1569"/>
      <c r="Y14" s="3342"/>
      <c r="Z14" s="1150" t="str">
        <f t="shared" si="7"/>
        <v>配建</v>
      </c>
      <c r="AA14" s="1570">
        <f>D14/F14</f>
        <v>1</v>
      </c>
      <c r="AB14" s="1570">
        <f>D14/H14</f>
        <v>1</v>
      </c>
      <c r="AC14" s="1570">
        <f>D14/J14</f>
        <v>1</v>
      </c>
    </row>
    <row r="15" spans="1:30" ht="20.25">
      <c r="A15" s="2941"/>
      <c r="B15" s="3205" t="s">
        <v>3207</v>
      </c>
      <c r="C15" s="3206" t="s">
        <v>3208</v>
      </c>
      <c r="D15" s="540">
        <v>100</v>
      </c>
      <c r="E15" s="3206" t="s">
        <v>3208</v>
      </c>
      <c r="F15" s="255">
        <f>SUMIF(86:86,E15,87:87)-SUMIF(86:86,C15,87:87)+100</f>
        <v>100</v>
      </c>
      <c r="G15" s="3206" t="s">
        <v>3208</v>
      </c>
      <c r="H15" s="540">
        <f>SUMIF(86:86,G15,87:87)-SUMIF(86:86,C15,87:87)+100</f>
        <v>100</v>
      </c>
      <c r="I15" s="3206" t="s">
        <v>3208</v>
      </c>
      <c r="J15" s="540">
        <f>SUMIF(86:86,I15,87:87)-SUMIF(86:86,C15,87:87)+100</f>
        <v>100</v>
      </c>
      <c r="K15" s="531"/>
      <c r="L15" s="2142"/>
      <c r="M15" s="2132"/>
      <c r="N15" s="2132"/>
      <c r="O15" s="2141"/>
      <c r="P15" s="3396"/>
      <c r="Q15" s="1151" t="str">
        <f t="shared" si="6"/>
        <v>是否限价</v>
      </c>
      <c r="R15" s="1567" t="s">
        <v>8</v>
      </c>
      <c r="S15" s="1568">
        <f t="shared" si="0"/>
        <v>100</v>
      </c>
      <c r="T15" s="1567" t="s">
        <v>8</v>
      </c>
      <c r="U15" s="1568">
        <f t="shared" si="1"/>
        <v>100</v>
      </c>
      <c r="V15" s="1567" t="s">
        <v>8</v>
      </c>
      <c r="W15" s="1568">
        <f t="shared" si="2"/>
        <v>100</v>
      </c>
      <c r="X15" s="1569"/>
      <c r="Y15" s="3342"/>
      <c r="Z15" s="1150" t="str">
        <f t="shared" si="7"/>
        <v>是否限价</v>
      </c>
      <c r="AA15" s="1570">
        <f>D15/F15</f>
        <v>1</v>
      </c>
      <c r="AB15" s="1570">
        <f>D15/H15</f>
        <v>1</v>
      </c>
      <c r="AC15" s="1570">
        <f>D15/J15</f>
        <v>1</v>
      </c>
    </row>
    <row r="16" spans="1:30" ht="2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96"/>
      <c r="Q16" s="1151">
        <f t="shared" si="6"/>
        <v>111</v>
      </c>
      <c r="R16" s="1567" t="s">
        <v>8</v>
      </c>
      <c r="S16" s="1568">
        <f t="shared" si="0"/>
        <v>100</v>
      </c>
      <c r="T16" s="1567" t="s">
        <v>8</v>
      </c>
      <c r="U16" s="1568">
        <f t="shared" si="1"/>
        <v>100</v>
      </c>
      <c r="V16" s="1567" t="s">
        <v>8</v>
      </c>
      <c r="W16" s="1568">
        <f t="shared" si="2"/>
        <v>100</v>
      </c>
      <c r="X16" s="1569"/>
      <c r="Y16" s="3342"/>
      <c r="Z16" s="1150">
        <f t="shared" si="7"/>
        <v>111</v>
      </c>
      <c r="AA16" s="1570">
        <f>D16/F16</f>
        <v>1</v>
      </c>
      <c r="AB16" s="1570">
        <f>D16/H16</f>
        <v>1</v>
      </c>
      <c r="AC16" s="1570">
        <f>D16/J16</f>
        <v>1</v>
      </c>
    </row>
    <row r="17" spans="1:29" ht="99.75">
      <c r="A17" s="2934" t="s">
        <v>2754</v>
      </c>
      <c r="B17" s="578" t="s">
        <v>294</v>
      </c>
      <c r="C17" s="548" t="str">
        <f>估价对象房地状况!C15</f>
        <v>估价对象周边居住用地比例较少、有颐风庄园、大牛坊社区等居住项目，综合评价居住社区成熟度一般</v>
      </c>
      <c r="D17" s="551">
        <v>100</v>
      </c>
      <c r="E17" s="3187"/>
      <c r="F17" s="549">
        <f>SUMIF(90:90,E18,91:91)-SUMIF(90:90,C18,91:91)+100</f>
        <v>96</v>
      </c>
      <c r="G17" s="3188"/>
      <c r="H17" s="549">
        <f>SUMIF(90:90,G18,91:91)-SUMIF(90:90,C18,91:91)+100</f>
        <v>100</v>
      </c>
      <c r="I17" s="3187"/>
      <c r="J17" s="549">
        <f>SUMIF(90:90,I18,91:91)-SUMIF(90:90,C18,91:91)+100</f>
        <v>100</v>
      </c>
      <c r="K17" s="535">
        <v>4</v>
      </c>
      <c r="L17" s="2142"/>
      <c r="M17" s="2132"/>
      <c r="N17" s="2132"/>
      <c r="O17" s="2141"/>
      <c r="P17" s="3431" t="s">
        <v>539</v>
      </c>
      <c r="Q17" s="1571" t="str">
        <f t="shared" si="6"/>
        <v>居住社区成熟度</v>
      </c>
      <c r="R17" s="1572" t="s">
        <v>8</v>
      </c>
      <c r="S17" s="1573">
        <f t="shared" si="0"/>
        <v>96</v>
      </c>
      <c r="T17" s="1572" t="s">
        <v>8</v>
      </c>
      <c r="U17" s="1573">
        <f t="shared" si="1"/>
        <v>100</v>
      </c>
      <c r="V17" s="1572" t="s">
        <v>8</v>
      </c>
      <c r="W17" s="1573">
        <f t="shared" si="2"/>
        <v>100</v>
      </c>
      <c r="X17" s="1566"/>
      <c r="Y17" s="3431" t="s">
        <v>539</v>
      </c>
      <c r="Z17" s="1574" t="str">
        <f t="shared" si="7"/>
        <v>居住社区成熟度</v>
      </c>
      <c r="AA17" s="1575">
        <f t="shared" si="3"/>
        <v>1.0416666666666667</v>
      </c>
      <c r="AB17" s="1575">
        <f t="shared" si="4"/>
        <v>1</v>
      </c>
      <c r="AC17" s="1575">
        <f t="shared" si="5"/>
        <v>1</v>
      </c>
    </row>
    <row r="18" spans="1:29" ht="20.25">
      <c r="A18" s="532"/>
      <c r="B18" s="553"/>
      <c r="C18" s="554" t="s">
        <v>3174</v>
      </c>
      <c r="D18" s="557"/>
      <c r="E18" s="554" t="s">
        <v>3171</v>
      </c>
      <c r="F18" s="555"/>
      <c r="G18" s="554" t="s">
        <v>3174</v>
      </c>
      <c r="H18" s="559"/>
      <c r="I18" s="554" t="s">
        <v>3174</v>
      </c>
      <c r="J18" s="555"/>
      <c r="K18" s="531"/>
      <c r="L18" s="2142"/>
      <c r="M18" s="2132"/>
      <c r="N18" s="2132"/>
      <c r="O18" s="2141"/>
      <c r="P18" s="3432"/>
      <c r="Q18" s="1571"/>
      <c r="R18" s="1572"/>
      <c r="S18" s="1573"/>
      <c r="T18" s="1572"/>
      <c r="U18" s="1573"/>
      <c r="V18" s="1572"/>
      <c r="W18" s="1573"/>
      <c r="X18" s="1566"/>
      <c r="Y18" s="3432"/>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432"/>
      <c r="Q19" s="1571" t="str">
        <f>B19</f>
        <v>商业繁华度</v>
      </c>
      <c r="R19" s="1572" t="s">
        <v>8</v>
      </c>
      <c r="S19" s="1573">
        <f>F19</f>
        <v>100</v>
      </c>
      <c r="T19" s="1572" t="s">
        <v>8</v>
      </c>
      <c r="U19" s="1573">
        <f>H19</f>
        <v>100</v>
      </c>
      <c r="V19" s="1572" t="s">
        <v>8</v>
      </c>
      <c r="W19" s="1573">
        <f>J19</f>
        <v>100</v>
      </c>
      <c r="X19" s="1566"/>
      <c r="Y19" s="3432"/>
      <c r="Z19" s="1574" t="str">
        <f>Q19</f>
        <v>商业繁华度</v>
      </c>
      <c r="AA19" s="1575">
        <f t="shared" si="3"/>
        <v>1</v>
      </c>
      <c r="AB19" s="1575">
        <f t="shared" si="4"/>
        <v>1</v>
      </c>
      <c r="AC19" s="1575">
        <f t="shared" si="5"/>
        <v>1</v>
      </c>
    </row>
    <row r="20" spans="1:29" ht="20.25">
      <c r="A20" s="532"/>
      <c r="B20" s="566"/>
      <c r="C20" s="567"/>
      <c r="D20" s="563"/>
      <c r="E20" s="567"/>
      <c r="F20" s="559"/>
      <c r="G20" s="567"/>
      <c r="H20" s="555"/>
      <c r="I20" s="567"/>
      <c r="J20" s="555"/>
      <c r="K20" s="531"/>
      <c r="L20" s="2142"/>
      <c r="M20" s="2132"/>
      <c r="N20" s="2132"/>
      <c r="O20" s="2141"/>
      <c r="P20" s="3432"/>
      <c r="Q20" s="1571"/>
      <c r="R20" s="1572"/>
      <c r="S20" s="1573"/>
      <c r="T20" s="1572"/>
      <c r="U20" s="1573"/>
      <c r="V20" s="1572"/>
      <c r="W20" s="1573"/>
      <c r="X20" s="1566"/>
      <c r="Y20" s="3432"/>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32"/>
      <c r="Q21" s="1571" t="str">
        <f>B21</f>
        <v>办公集聚程度</v>
      </c>
      <c r="R21" s="1572" t="s">
        <v>8</v>
      </c>
      <c r="S21" s="1573">
        <f>F21</f>
        <v>100</v>
      </c>
      <c r="T21" s="1572" t="s">
        <v>8</v>
      </c>
      <c r="U21" s="1573">
        <f>H21</f>
        <v>100</v>
      </c>
      <c r="V21" s="1572" t="s">
        <v>8</v>
      </c>
      <c r="W21" s="1573">
        <f>J21</f>
        <v>100</v>
      </c>
      <c r="X21" s="1566"/>
      <c r="Y21" s="3432"/>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2"/>
      <c r="M22" s="2132"/>
      <c r="N22" s="2132"/>
      <c r="O22" s="2141"/>
      <c r="P22" s="3432"/>
      <c r="Q22" s="1571"/>
      <c r="R22" s="1572"/>
      <c r="S22" s="1573"/>
      <c r="T22" s="1572"/>
      <c r="U22" s="1573"/>
      <c r="V22" s="1572"/>
      <c r="W22" s="1573"/>
      <c r="X22" s="1566"/>
      <c r="Y22" s="3432"/>
      <c r="Z22" s="1574"/>
      <c r="AA22" s="1575">
        <v>1</v>
      </c>
      <c r="AB22" s="1575">
        <v>1</v>
      </c>
      <c r="AC22" s="1575">
        <v>1</v>
      </c>
    </row>
    <row r="23" spans="1:29" ht="171">
      <c r="A23" s="532"/>
      <c r="B23" s="560" t="s">
        <v>542</v>
      </c>
      <c r="C23" s="573" t="str">
        <f>估价对象房地状况!C18</f>
        <v>周边路网密集，行车出入便捷，且项目及周边道路均设有停车场位，停车便捷。周边1公里范围内有438路、365路、449路、570路等多条公交线路及地铁16号线永丰站，公交便捷度较好。</v>
      </c>
      <c r="D23" s="563">
        <v>100</v>
      </c>
      <c r="E23" s="564"/>
      <c r="F23" s="565">
        <f>SUMIF(96:96,E24,97:97)-SUMIF(96:96,C24,97:97)+100</f>
        <v>97</v>
      </c>
      <c r="G23" s="562"/>
      <c r="H23" s="559">
        <f>SUMIF(96:96,G24,97:97)-SUMIF(96:96,C24,97:97)+100</f>
        <v>97</v>
      </c>
      <c r="I23" s="564"/>
      <c r="J23" s="559">
        <f>SUMIF(96:96,I24,97:97)-SUMIF(96:96,C24,97:97)+100</f>
        <v>100</v>
      </c>
      <c r="K23" s="535">
        <v>3</v>
      </c>
      <c r="L23" s="2142"/>
      <c r="M23" s="2132"/>
      <c r="N23" s="2132"/>
      <c r="O23" s="2141"/>
      <c r="P23" s="3432"/>
      <c r="Q23" s="1571" t="str">
        <f>B23</f>
        <v>交通便捷度</v>
      </c>
      <c r="R23" s="1572" t="s">
        <v>8</v>
      </c>
      <c r="S23" s="1573">
        <f>F23</f>
        <v>97</v>
      </c>
      <c r="T23" s="1572" t="s">
        <v>8</v>
      </c>
      <c r="U23" s="1573">
        <f>H23</f>
        <v>97</v>
      </c>
      <c r="V23" s="1572" t="s">
        <v>8</v>
      </c>
      <c r="W23" s="1573">
        <f>J23</f>
        <v>100</v>
      </c>
      <c r="X23" s="1566"/>
      <c r="Y23" s="3432"/>
      <c r="Z23" s="1574" t="str">
        <f>Q23</f>
        <v>交通便捷度</v>
      </c>
      <c r="AA23" s="1575">
        <f t="shared" si="3"/>
        <v>1.0309278350515463</v>
      </c>
      <c r="AB23" s="1575">
        <f t="shared" si="4"/>
        <v>1.0309278350515463</v>
      </c>
      <c r="AC23" s="1575">
        <f t="shared" si="5"/>
        <v>1</v>
      </c>
    </row>
    <row r="24" spans="1:29" ht="20.25">
      <c r="A24" s="532"/>
      <c r="B24" s="578"/>
      <c r="C24" s="554" t="s">
        <v>3174</v>
      </c>
      <c r="D24" s="557"/>
      <c r="E24" s="558" t="s">
        <v>3171</v>
      </c>
      <c r="F24" s="555"/>
      <c r="G24" s="558" t="s">
        <v>3171</v>
      </c>
      <c r="H24" s="555"/>
      <c r="I24" s="558" t="s">
        <v>3174</v>
      </c>
      <c r="J24" s="555"/>
      <c r="K24" s="531"/>
      <c r="L24" s="2142"/>
      <c r="M24" s="2132"/>
      <c r="N24" s="2132"/>
      <c r="O24" s="2141"/>
      <c r="P24" s="3432"/>
      <c r="Q24" s="1571"/>
      <c r="R24" s="1572"/>
      <c r="S24" s="1573"/>
      <c r="T24" s="1572"/>
      <c r="U24" s="1573"/>
      <c r="V24" s="1572"/>
      <c r="W24" s="1573"/>
      <c r="X24" s="1566"/>
      <c r="Y24" s="3432"/>
      <c r="Z24" s="1574"/>
      <c r="AA24" s="1575">
        <v>1</v>
      </c>
      <c r="AB24" s="1575">
        <v>1</v>
      </c>
      <c r="AC24" s="1575">
        <v>1</v>
      </c>
    </row>
    <row r="25" spans="1:29" ht="42.75">
      <c r="A25" s="515"/>
      <c r="B25" s="259" t="s">
        <v>543</v>
      </c>
      <c r="C25" s="573" t="str">
        <f>估价对象房地状况!C19</f>
        <v>有部分有其他用地，对本宗地略有影响</v>
      </c>
      <c r="D25" s="563">
        <v>100</v>
      </c>
      <c r="E25" s="3191" t="s">
        <v>3176</v>
      </c>
      <c r="F25" s="565">
        <f>SUMIF(98:98,E26,99:99)-SUMIF(98:98,C26,99:99)+100</f>
        <v>100</v>
      </c>
      <c r="G25" s="3192" t="s">
        <v>3176</v>
      </c>
      <c r="H25" s="559">
        <f>SUMIF(98:98,G26,99:99)-SUMIF(98:98,C26,99:99)+100</f>
        <v>100</v>
      </c>
      <c r="I25" s="3191" t="s">
        <v>3176</v>
      </c>
      <c r="J25" s="559">
        <f>SUMIF(98:98,I26,99:99)-SUMIF(98:98,C26,99:99)+100</f>
        <v>100</v>
      </c>
      <c r="K25" s="535">
        <v>1</v>
      </c>
      <c r="L25" s="2142"/>
      <c r="M25" s="2132"/>
      <c r="N25" s="2132"/>
      <c r="O25" s="2141"/>
      <c r="P25" s="3432"/>
      <c r="Q25" s="1571" t="str">
        <f t="shared" ref="Q25:Q39" si="8">B25</f>
        <v>区域土地利用方向</v>
      </c>
      <c r="R25" s="1572" t="s">
        <v>8</v>
      </c>
      <c r="S25" s="1573">
        <f>F25</f>
        <v>100</v>
      </c>
      <c r="T25" s="1572" t="s">
        <v>8</v>
      </c>
      <c r="U25" s="1573">
        <f>H25</f>
        <v>100</v>
      </c>
      <c r="V25" s="1572" t="s">
        <v>8</v>
      </c>
      <c r="W25" s="1573">
        <f>J25</f>
        <v>100</v>
      </c>
      <c r="X25" s="1566"/>
      <c r="Y25" s="3432"/>
      <c r="Z25" s="1574" t="str">
        <f>Q25</f>
        <v>区域土地利用方向</v>
      </c>
      <c r="AA25" s="1575">
        <f t="shared" si="3"/>
        <v>1</v>
      </c>
      <c r="AB25" s="1575">
        <f t="shared" si="4"/>
        <v>1</v>
      </c>
      <c r="AC25" s="1575">
        <f t="shared" si="5"/>
        <v>1</v>
      </c>
    </row>
    <row r="26" spans="1:29" ht="20.25">
      <c r="A26" s="515"/>
      <c r="B26" s="1007"/>
      <c r="C26" s="554" t="s">
        <v>3174</v>
      </c>
      <c r="D26" s="557"/>
      <c r="E26" s="554" t="s">
        <v>3174</v>
      </c>
      <c r="F26" s="555"/>
      <c r="G26" s="554" t="s">
        <v>3174</v>
      </c>
      <c r="H26" s="555"/>
      <c r="I26" s="554" t="s">
        <v>3174</v>
      </c>
      <c r="J26" s="555"/>
      <c r="K26" s="531"/>
      <c r="L26" s="2142"/>
      <c r="M26" s="2132"/>
      <c r="N26" s="2132"/>
      <c r="O26" s="2141"/>
      <c r="P26" s="3432"/>
      <c r="Q26" s="1571"/>
      <c r="R26" s="1572"/>
      <c r="S26" s="1573"/>
      <c r="T26" s="1572"/>
      <c r="U26" s="1573"/>
      <c r="V26" s="1572"/>
      <c r="W26" s="1573"/>
      <c r="X26" s="1566"/>
      <c r="Y26" s="3432"/>
      <c r="Z26" s="1574"/>
      <c r="AA26" s="1575"/>
      <c r="AB26" s="1575"/>
      <c r="AC26" s="1575"/>
    </row>
    <row r="27" spans="1:29" ht="85.5">
      <c r="A27" s="515"/>
      <c r="B27" s="578" t="s">
        <v>544</v>
      </c>
      <c r="C27" s="561" t="str">
        <f>估价对象房地状况!C20</f>
        <v>区域自然环境：无；人文环境有北京北大资源研修学院、；综合评价环境状况一般</v>
      </c>
      <c r="D27" s="563">
        <v>100</v>
      </c>
      <c r="E27" s="3191" t="s">
        <v>3179</v>
      </c>
      <c r="F27" s="559">
        <f>SUMIF(100:100,E28,101:101)-SUMIF(100:100,C28,101:101)+100</f>
        <v>100</v>
      </c>
      <c r="G27" s="3192" t="s">
        <v>3178</v>
      </c>
      <c r="H27" s="559">
        <f>SUMIF(100:100,G28,101:101)-SUMIF(100:100,C28,101:101)+100</f>
        <v>100</v>
      </c>
      <c r="I27" s="3191" t="s">
        <v>3179</v>
      </c>
      <c r="J27" s="559">
        <f>SUMIF(100:100,I28,101:101)-SUMIF(100:100,C28,101:101)+100</f>
        <v>100</v>
      </c>
      <c r="K27" s="535">
        <v>2</v>
      </c>
      <c r="L27" s="2142"/>
      <c r="M27" s="2132"/>
      <c r="N27" s="2132"/>
      <c r="O27" s="2141"/>
      <c r="P27" s="3432"/>
      <c r="Q27" s="1571" t="str">
        <f t="shared" si="8"/>
        <v>自然及人文环境状况</v>
      </c>
      <c r="R27" s="1572" t="s">
        <v>8</v>
      </c>
      <c r="S27" s="1573">
        <f>F27</f>
        <v>100</v>
      </c>
      <c r="T27" s="1572" t="s">
        <v>8</v>
      </c>
      <c r="U27" s="1573">
        <f>H27</f>
        <v>100</v>
      </c>
      <c r="V27" s="1572" t="s">
        <v>8</v>
      </c>
      <c r="W27" s="1573">
        <f>J27</f>
        <v>100</v>
      </c>
      <c r="X27" s="1566"/>
      <c r="Y27" s="3432"/>
      <c r="Z27" s="1574" t="str">
        <f>Q27</f>
        <v>自然及人文环境状况</v>
      </c>
      <c r="AA27" s="1575">
        <f t="shared" si="3"/>
        <v>1</v>
      </c>
      <c r="AB27" s="1575">
        <f t="shared" si="4"/>
        <v>1</v>
      </c>
      <c r="AC27" s="1575">
        <f t="shared" si="5"/>
        <v>1</v>
      </c>
    </row>
    <row r="28" spans="1:29" ht="20.25">
      <c r="A28" s="515"/>
      <c r="B28" s="566"/>
      <c r="C28" s="554" t="s">
        <v>3174</v>
      </c>
      <c r="D28" s="557"/>
      <c r="E28" s="554" t="s">
        <v>3174</v>
      </c>
      <c r="F28" s="555"/>
      <c r="G28" s="554" t="s">
        <v>3174</v>
      </c>
      <c r="H28" s="555"/>
      <c r="I28" s="554" t="s">
        <v>3174</v>
      </c>
      <c r="J28" s="555"/>
      <c r="K28" s="531"/>
      <c r="L28" s="2142"/>
      <c r="M28" s="2132"/>
      <c r="N28" s="2132"/>
      <c r="O28" s="2141"/>
      <c r="P28" s="3432"/>
      <c r="Q28" s="1571"/>
      <c r="R28" s="1572"/>
      <c r="S28" s="1573"/>
      <c r="T28" s="1572"/>
      <c r="U28" s="1573"/>
      <c r="V28" s="1572"/>
      <c r="W28" s="1573"/>
      <c r="X28" s="1566"/>
      <c r="Y28" s="3432"/>
      <c r="Z28" s="1574"/>
      <c r="AA28" s="1575">
        <v>1</v>
      </c>
      <c r="AB28" s="1575">
        <v>1</v>
      </c>
      <c r="AC28" s="1575">
        <v>1</v>
      </c>
    </row>
    <row r="29" spans="1:29" s="1220" customFormat="1" ht="176.25">
      <c r="A29" s="577"/>
      <c r="B29" s="2615" t="s">
        <v>2549</v>
      </c>
      <c r="C29" s="573" t="str">
        <f>估价对象房地状况!C21</f>
        <v>周边2公里内的公共服务配套设施齐备，有购物场所（华联超市）、医院（无）、银行（工商银行、北京农商银行）、学校（海淀科技园小学）、餐饮等公共服务配套设施。</v>
      </c>
      <c r="D29" s="563">
        <v>100</v>
      </c>
      <c r="E29" s="564" t="s">
        <v>3181</v>
      </c>
      <c r="F29" s="559">
        <f>SUMIF(102:102,E30,103:103)-SUMIF(102:102,C30,103:103)+100</f>
        <v>96</v>
      </c>
      <c r="G29" s="562" t="s">
        <v>3182</v>
      </c>
      <c r="H29" s="559">
        <f>SUMIF(102:102,G30,103:103)-SUMIF(102:102,C30,103:103)+100</f>
        <v>96</v>
      </c>
      <c r="I29" s="564" t="s">
        <v>3181</v>
      </c>
      <c r="J29" s="559">
        <f>SUMIF(102:102,I30,103:103)-SUMIF(102:102,C30,103:103)+100</f>
        <v>100</v>
      </c>
      <c r="K29" s="535">
        <v>4</v>
      </c>
      <c r="L29" s="2135"/>
      <c r="M29" s="2132"/>
      <c r="N29" s="2132"/>
      <c r="O29" s="2137"/>
      <c r="P29" s="3432"/>
      <c r="Q29" s="1151" t="str">
        <f t="shared" si="8"/>
        <v>公共配套设施</v>
      </c>
      <c r="R29" s="1567" t="s">
        <v>8</v>
      </c>
      <c r="S29" s="1568">
        <f>F29</f>
        <v>96</v>
      </c>
      <c r="T29" s="1567" t="s">
        <v>8</v>
      </c>
      <c r="U29" s="1568">
        <f>H29</f>
        <v>96</v>
      </c>
      <c r="V29" s="1567" t="s">
        <v>8</v>
      </c>
      <c r="W29" s="1568">
        <f>J29</f>
        <v>100</v>
      </c>
      <c r="X29" s="1569"/>
      <c r="Y29" s="3432"/>
      <c r="Z29" s="1150" t="str">
        <f>Q29</f>
        <v>公共配套设施</v>
      </c>
      <c r="AA29" s="1575">
        <f>D29/F29</f>
        <v>1.0416666666666667</v>
      </c>
      <c r="AB29" s="1575">
        <f>D29/H29</f>
        <v>1.0416666666666667</v>
      </c>
      <c r="AC29" s="1575">
        <f>D29/J29</f>
        <v>1</v>
      </c>
    </row>
    <row r="30" spans="1:29" s="1220" customFormat="1" ht="20.25">
      <c r="A30" s="577"/>
      <c r="B30" s="566"/>
      <c r="C30" s="579" t="s">
        <v>3174</v>
      </c>
      <c r="D30" s="557"/>
      <c r="E30" s="579" t="s">
        <v>3171</v>
      </c>
      <c r="F30" s="555"/>
      <c r="G30" s="579" t="s">
        <v>3171</v>
      </c>
      <c r="H30" s="555"/>
      <c r="I30" s="579" t="s">
        <v>3174</v>
      </c>
      <c r="J30" s="555"/>
      <c r="K30" s="531"/>
      <c r="L30" s="2135"/>
      <c r="M30" s="2132"/>
      <c r="N30" s="2132"/>
      <c r="O30" s="2137"/>
      <c r="P30" s="3432"/>
      <c r="Q30" s="1151"/>
      <c r="R30" s="1567"/>
      <c r="S30" s="1568"/>
      <c r="T30" s="1567"/>
      <c r="U30" s="1568"/>
      <c r="V30" s="1567"/>
      <c r="W30" s="1568"/>
      <c r="X30" s="1569"/>
      <c r="Y30" s="3432"/>
      <c r="Z30" s="1150"/>
      <c r="AA30" s="1575">
        <v>1</v>
      </c>
      <c r="AB30" s="1575">
        <v>1</v>
      </c>
      <c r="AC30" s="1575">
        <v>1</v>
      </c>
    </row>
    <row r="31" spans="1:29" s="1220" customFormat="1" ht="28.5">
      <c r="A31" s="577"/>
      <c r="B31" s="2615"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32"/>
      <c r="Q31" s="2602" t="str">
        <f t="shared" ref="Q31" si="9">B31</f>
        <v>基础设施水平</v>
      </c>
      <c r="R31" s="1567" t="s">
        <v>8</v>
      </c>
      <c r="S31" s="1568">
        <f>F31</f>
        <v>100</v>
      </c>
      <c r="T31" s="1567" t="s">
        <v>8</v>
      </c>
      <c r="U31" s="1568">
        <f>H31</f>
        <v>100</v>
      </c>
      <c r="V31" s="1567" t="s">
        <v>8</v>
      </c>
      <c r="W31" s="1568">
        <f>J31</f>
        <v>100</v>
      </c>
      <c r="X31" s="1569"/>
      <c r="Y31" s="3432"/>
      <c r="Z31" s="2599" t="str">
        <f>Q31</f>
        <v>基础设施水平</v>
      </c>
      <c r="AA31" s="1575">
        <f>D31/F31</f>
        <v>1</v>
      </c>
      <c r="AB31" s="1575">
        <f>D31/H31</f>
        <v>1</v>
      </c>
      <c r="AC31" s="1575">
        <f>D31/J31</f>
        <v>1</v>
      </c>
    </row>
    <row r="32" spans="1:29" s="1220" customFormat="1" ht="20.25">
      <c r="A32" s="577"/>
      <c r="B32" s="566"/>
      <c r="C32" s="579" t="s">
        <v>3183</v>
      </c>
      <c r="D32" s="557"/>
      <c r="E32" s="579" t="s">
        <v>3183</v>
      </c>
      <c r="F32" s="555"/>
      <c r="G32" s="579" t="s">
        <v>3183</v>
      </c>
      <c r="H32" s="555"/>
      <c r="I32" s="579" t="s">
        <v>3183</v>
      </c>
      <c r="J32" s="555"/>
      <c r="K32" s="531"/>
      <c r="L32" s="2135"/>
      <c r="M32" s="2132"/>
      <c r="N32" s="2132"/>
      <c r="O32" s="2137"/>
      <c r="P32" s="3432"/>
      <c r="Q32" s="2602"/>
      <c r="R32" s="1567"/>
      <c r="S32" s="1568"/>
      <c r="T32" s="1567"/>
      <c r="U32" s="1568"/>
      <c r="V32" s="1567"/>
      <c r="W32" s="1568"/>
      <c r="X32" s="1569"/>
      <c r="Y32" s="3432"/>
      <c r="Z32" s="2599"/>
      <c r="AA32" s="1575">
        <v>1</v>
      </c>
      <c r="AB32" s="1575">
        <v>1</v>
      </c>
      <c r="AC32" s="1575">
        <v>1</v>
      </c>
    </row>
    <row r="33" spans="1:29" ht="20.25">
      <c r="A33" s="532"/>
      <c r="B33" s="566" t="s">
        <v>546</v>
      </c>
      <c r="C33" s="580" t="s">
        <v>3184</v>
      </c>
      <c r="D33" s="575">
        <v>100</v>
      </c>
      <c r="E33" s="583" t="s">
        <v>3184</v>
      </c>
      <c r="F33" s="540">
        <f>SUMIF(106:106,E33,107:107)-SUMIF(106:106,C33,107:107)+100</f>
        <v>100</v>
      </c>
      <c r="G33" s="580" t="s">
        <v>3184</v>
      </c>
      <c r="H33" s="540">
        <f>SUMIF(106:106,G33,107:107)-SUMIF(106:106,C33,107:107)+100</f>
        <v>100</v>
      </c>
      <c r="I33" s="580" t="s">
        <v>3333</v>
      </c>
      <c r="J33" s="540">
        <f>SUMIF(106:106,I33,107:107)-SUMIF(106:106,C33,107:107)+100</f>
        <v>100.5</v>
      </c>
      <c r="K33" s="535">
        <v>0.5</v>
      </c>
      <c r="L33" s="2142"/>
      <c r="M33" s="2132"/>
      <c r="N33" s="2132"/>
      <c r="O33" s="2141"/>
      <c r="P33" s="3432"/>
      <c r="Q33" s="1571" t="str">
        <f t="shared" si="8"/>
        <v>临街状况</v>
      </c>
      <c r="R33" s="1572" t="s">
        <v>8</v>
      </c>
      <c r="S33" s="1573">
        <f t="shared" ref="S33:S47" si="10">F33</f>
        <v>100</v>
      </c>
      <c r="T33" s="1572" t="s">
        <v>8</v>
      </c>
      <c r="U33" s="1573">
        <f t="shared" ref="U33:U47" si="11">H33</f>
        <v>100</v>
      </c>
      <c r="V33" s="1572" t="s">
        <v>8</v>
      </c>
      <c r="W33" s="1573">
        <f t="shared" ref="W33:W47" si="12">J33</f>
        <v>100.5</v>
      </c>
      <c r="X33" s="1566"/>
      <c r="Y33" s="3432"/>
      <c r="Z33" s="1574" t="str">
        <f t="shared" ref="Z33:Z47" si="13">Q33</f>
        <v>临街状况</v>
      </c>
      <c r="AA33" s="1575">
        <f t="shared" si="3"/>
        <v>1</v>
      </c>
      <c r="AB33" s="1575">
        <f t="shared" si="4"/>
        <v>1</v>
      </c>
      <c r="AC33" s="1575">
        <f t="shared" si="5"/>
        <v>0.99502487562189057</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432"/>
      <c r="Q34" s="1571" t="str">
        <f t="shared" si="8"/>
        <v>毗邻道路的类型与等级</v>
      </c>
      <c r="R34" s="1572" t="s">
        <v>8</v>
      </c>
      <c r="S34" s="1573">
        <f t="shared" si="10"/>
        <v>100</v>
      </c>
      <c r="T34" s="1572" t="s">
        <v>8</v>
      </c>
      <c r="U34" s="1573">
        <f t="shared" si="11"/>
        <v>100</v>
      </c>
      <c r="V34" s="1572" t="s">
        <v>8</v>
      </c>
      <c r="W34" s="1573">
        <f t="shared" si="12"/>
        <v>100</v>
      </c>
      <c r="X34" s="1566"/>
      <c r="Y34" s="3432"/>
      <c r="Z34" s="1574" t="str">
        <f t="shared" si="13"/>
        <v>毗邻道路的类型与等级</v>
      </c>
      <c r="AA34" s="1575">
        <f t="shared" si="3"/>
        <v>1</v>
      </c>
      <c r="AB34" s="1575">
        <f t="shared" si="4"/>
        <v>1</v>
      </c>
      <c r="AC34" s="1575">
        <f t="shared" si="5"/>
        <v>1</v>
      </c>
    </row>
    <row r="35" spans="1:29" ht="20.25">
      <c r="A35" s="532"/>
      <c r="B35" s="566"/>
      <c r="C35" s="554" t="s">
        <v>3189</v>
      </c>
      <c r="D35" s="557"/>
      <c r="E35" s="554" t="s">
        <v>3189</v>
      </c>
      <c r="F35" s="555"/>
      <c r="G35" s="554" t="s">
        <v>3189</v>
      </c>
      <c r="H35" s="555"/>
      <c r="I35" s="554" t="s">
        <v>3189</v>
      </c>
      <c r="J35" s="555"/>
      <c r="K35" s="581"/>
      <c r="L35" s="2142"/>
      <c r="M35" s="2132"/>
      <c r="N35" s="2132"/>
      <c r="O35" s="2141"/>
      <c r="P35" s="3432"/>
      <c r="Q35" s="1571"/>
      <c r="R35" s="1572"/>
      <c r="S35" s="1573"/>
      <c r="T35" s="1572"/>
      <c r="U35" s="1573"/>
      <c r="V35" s="1572"/>
      <c r="W35" s="1573"/>
      <c r="X35" s="1566"/>
      <c r="Y35" s="3432"/>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32"/>
      <c r="Q36" s="1571" t="str">
        <f t="shared" si="8"/>
        <v>土地级别</v>
      </c>
      <c r="R36" s="1572" t="s">
        <v>8</v>
      </c>
      <c r="S36" s="1573">
        <f t="shared" si="10"/>
        <v>100</v>
      </c>
      <c r="T36" s="1572" t="s">
        <v>8</v>
      </c>
      <c r="U36" s="1573">
        <f t="shared" si="11"/>
        <v>100</v>
      </c>
      <c r="V36" s="1572" t="s">
        <v>8</v>
      </c>
      <c r="W36" s="1573">
        <f t="shared" si="12"/>
        <v>100</v>
      </c>
      <c r="X36" s="1566"/>
      <c r="Y36" s="3432"/>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32"/>
      <c r="Q37" s="1571">
        <f t="shared" si="8"/>
        <v>111</v>
      </c>
      <c r="R37" s="1572" t="s">
        <v>8</v>
      </c>
      <c r="S37" s="1573">
        <f t="shared" si="10"/>
        <v>100</v>
      </c>
      <c r="T37" s="1572" t="s">
        <v>8</v>
      </c>
      <c r="U37" s="1573">
        <f t="shared" si="11"/>
        <v>100</v>
      </c>
      <c r="V37" s="1572" t="s">
        <v>8</v>
      </c>
      <c r="W37" s="1573">
        <f t="shared" si="12"/>
        <v>100</v>
      </c>
      <c r="X37" s="1566"/>
      <c r="Y37" s="3432"/>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33" t="s">
        <v>549</v>
      </c>
      <c r="Q38" s="1571">
        <f t="shared" si="8"/>
        <v>111</v>
      </c>
      <c r="R38" s="1572" t="s">
        <v>8</v>
      </c>
      <c r="S38" s="1573">
        <f t="shared" si="10"/>
        <v>100</v>
      </c>
      <c r="T38" s="1572" t="s">
        <v>8</v>
      </c>
      <c r="U38" s="1573">
        <f t="shared" si="11"/>
        <v>100</v>
      </c>
      <c r="V38" s="1572" t="s">
        <v>8</v>
      </c>
      <c r="W38" s="1573">
        <f t="shared" si="12"/>
        <v>100</v>
      </c>
      <c r="X38" s="1566"/>
      <c r="Y38" s="3434" t="s">
        <v>549</v>
      </c>
      <c r="Z38" s="1574">
        <f t="shared" si="13"/>
        <v>111</v>
      </c>
      <c r="AA38" s="1575">
        <f t="shared" si="3"/>
        <v>1</v>
      </c>
      <c r="AB38" s="1575">
        <f t="shared" si="4"/>
        <v>1</v>
      </c>
      <c r="AC38" s="1575">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34"/>
      <c r="Q39" s="1571">
        <f t="shared" si="8"/>
        <v>111</v>
      </c>
      <c r="R39" s="1576" t="s">
        <v>8</v>
      </c>
      <c r="S39" s="1577">
        <f t="shared" si="10"/>
        <v>100</v>
      </c>
      <c r="T39" s="1576" t="s">
        <v>8</v>
      </c>
      <c r="U39" s="1577">
        <f t="shared" si="11"/>
        <v>100</v>
      </c>
      <c r="V39" s="1576" t="s">
        <v>8</v>
      </c>
      <c r="W39" s="1577">
        <f t="shared" si="12"/>
        <v>100</v>
      </c>
      <c r="X39" s="1578"/>
      <c r="Y39" s="3434"/>
      <c r="Z39" s="1579">
        <f t="shared" si="13"/>
        <v>111</v>
      </c>
      <c r="AA39" s="1575">
        <f t="shared" si="3"/>
        <v>1</v>
      </c>
      <c r="AB39" s="1575">
        <f t="shared" si="4"/>
        <v>1</v>
      </c>
      <c r="AC39" s="1575">
        <f t="shared" si="5"/>
        <v>1</v>
      </c>
    </row>
    <row r="40" spans="1:29" ht="20.25">
      <c r="A40" s="2931" t="s">
        <v>2755</v>
      </c>
      <c r="B40" s="595" t="s">
        <v>551</v>
      </c>
      <c r="C40" s="596">
        <f>'数据-基础表'!A3</f>
        <v>50942.74</v>
      </c>
      <c r="D40" s="597">
        <v>100</v>
      </c>
      <c r="E40" s="596">
        <f>土地案例!J17</f>
        <v>35847.35</v>
      </c>
      <c r="F40" s="597">
        <f>LOOKUP(E40,119:119,120:120)-LOOKUP(C40,119:119,120:120)+100</f>
        <v>99.5</v>
      </c>
      <c r="G40" s="596">
        <f>土地案例!J18</f>
        <v>77973.48</v>
      </c>
      <c r="H40" s="597">
        <f>LOOKUP(G40,119:119,120:120)-LOOKUP(C40,119:119,120:120)+100</f>
        <v>100.5</v>
      </c>
      <c r="I40" s="598">
        <f>土地案例!J21</f>
        <v>60374.36</v>
      </c>
      <c r="J40" s="597">
        <f>LOOKUP(I40,119:119,120:120)-LOOKUP(C40,119:119,120:120)+100</f>
        <v>100.5</v>
      </c>
      <c r="K40" s="581"/>
      <c r="L40" s="2142"/>
      <c r="M40" s="2132"/>
      <c r="N40" s="2132"/>
      <c r="O40" s="2141"/>
      <c r="P40" s="3434"/>
      <c r="Q40" s="1571" t="str">
        <f>B40</f>
        <v>宗地面积</v>
      </c>
      <c r="R40" s="1572" t="s">
        <v>8</v>
      </c>
      <c r="S40" s="1573">
        <f t="shared" si="10"/>
        <v>99.5</v>
      </c>
      <c r="T40" s="1572" t="s">
        <v>8</v>
      </c>
      <c r="U40" s="1573">
        <f t="shared" si="11"/>
        <v>100.5</v>
      </c>
      <c r="V40" s="1572" t="s">
        <v>8</v>
      </c>
      <c r="W40" s="1573">
        <f t="shared" si="12"/>
        <v>100.5</v>
      </c>
      <c r="X40" s="1566"/>
      <c r="Y40" s="3434"/>
      <c r="Z40" s="1574" t="str">
        <f t="shared" si="13"/>
        <v>宗地面积</v>
      </c>
      <c r="AA40" s="1575">
        <f t="shared" si="3"/>
        <v>1.0050251256281406</v>
      </c>
      <c r="AB40" s="1575">
        <f t="shared" si="4"/>
        <v>0.99502487562189057</v>
      </c>
      <c r="AC40" s="1575">
        <f t="shared" si="5"/>
        <v>0.99502487562189057</v>
      </c>
    </row>
    <row r="41" spans="1:29" ht="20.25">
      <c r="A41" s="594"/>
      <c r="B41" s="527" t="s">
        <v>552</v>
      </c>
      <c r="C41" s="599" t="s">
        <v>3192</v>
      </c>
      <c r="D41" s="540">
        <v>100</v>
      </c>
      <c r="E41" s="599" t="s">
        <v>3192</v>
      </c>
      <c r="F41" s="540">
        <f>SUMIF(121:121,E41,122:122)-SUMIF(121:121,C41,122:122)+100</f>
        <v>100</v>
      </c>
      <c r="G41" s="599" t="s">
        <v>3192</v>
      </c>
      <c r="H41" s="540">
        <f>SUMIF(121:121,G41,122:122)-SUMIF(121:121,C41,122:122)+100</f>
        <v>100</v>
      </c>
      <c r="I41" s="599" t="s">
        <v>3192</v>
      </c>
      <c r="J41" s="540">
        <f>SUMIF(121:121,I41,122:122)-SUMIF(121:121,C41,122:122)+100</f>
        <v>100</v>
      </c>
      <c r="K41" s="584">
        <v>1</v>
      </c>
      <c r="L41" s="2142"/>
      <c r="M41" s="2132"/>
      <c r="N41" s="2132"/>
      <c r="O41" s="2141"/>
      <c r="P41" s="3434"/>
      <c r="Q41" s="1571" t="str">
        <f t="shared" ref="Q41:Q47" si="14">B41</f>
        <v>宗地形状</v>
      </c>
      <c r="R41" s="1572" t="s">
        <v>8</v>
      </c>
      <c r="S41" s="1573">
        <f t="shared" si="10"/>
        <v>100</v>
      </c>
      <c r="T41" s="1572" t="s">
        <v>8</v>
      </c>
      <c r="U41" s="1573">
        <f t="shared" si="11"/>
        <v>100</v>
      </c>
      <c r="V41" s="1572" t="s">
        <v>8</v>
      </c>
      <c r="W41" s="1573">
        <f t="shared" si="12"/>
        <v>100</v>
      </c>
      <c r="X41" s="1566"/>
      <c r="Y41" s="3434"/>
      <c r="Z41" s="1574" t="str">
        <f t="shared" si="13"/>
        <v>宗地形状</v>
      </c>
      <c r="AA41" s="1575">
        <f t="shared" si="3"/>
        <v>1</v>
      </c>
      <c r="AB41" s="1575">
        <f t="shared" si="4"/>
        <v>1</v>
      </c>
      <c r="AC41" s="1575">
        <f t="shared" si="5"/>
        <v>1</v>
      </c>
    </row>
    <row r="42" spans="1:29" ht="57">
      <c r="A42" s="594"/>
      <c r="B42" s="527" t="s">
        <v>553</v>
      </c>
      <c r="C42" s="599" t="s">
        <v>3196</v>
      </c>
      <c r="D42" s="540">
        <v>100</v>
      </c>
      <c r="E42" s="599" t="s">
        <v>3196</v>
      </c>
      <c r="F42" s="540">
        <f>SUMIF(123:123,E42,124:124)-SUMIF(123:123,C42,124:124)+100</f>
        <v>100</v>
      </c>
      <c r="G42" s="599" t="s">
        <v>3196</v>
      </c>
      <c r="H42" s="540">
        <f>SUMIF(123:123,G42,124:124)-SUMIF(123:123,C42,124:124)+100</f>
        <v>100</v>
      </c>
      <c r="I42" s="599" t="s">
        <v>3196</v>
      </c>
      <c r="J42" s="540">
        <f>SUMIF(123:123,I42,124:124)-SUMIF(123:123,C42,124:124)+100</f>
        <v>100</v>
      </c>
      <c r="K42" s="584">
        <v>1</v>
      </c>
      <c r="L42" s="2142"/>
      <c r="M42" s="2132"/>
      <c r="N42" s="2132"/>
      <c r="O42" s="2141"/>
      <c r="P42" s="3434"/>
      <c r="Q42" s="1571" t="str">
        <f t="shared" si="14"/>
        <v>临街宽度及深度</v>
      </c>
      <c r="R42" s="1572" t="s">
        <v>8</v>
      </c>
      <c r="S42" s="1573">
        <f t="shared" si="10"/>
        <v>100</v>
      </c>
      <c r="T42" s="1572" t="s">
        <v>8</v>
      </c>
      <c r="U42" s="1573">
        <f t="shared" si="11"/>
        <v>100</v>
      </c>
      <c r="V42" s="1572" t="s">
        <v>8</v>
      </c>
      <c r="W42" s="1573">
        <f t="shared" si="12"/>
        <v>100</v>
      </c>
      <c r="X42" s="1566"/>
      <c r="Y42" s="3434"/>
      <c r="Z42" s="1574" t="str">
        <f t="shared" si="13"/>
        <v>临街宽度及深度</v>
      </c>
      <c r="AA42" s="1575">
        <f t="shared" si="3"/>
        <v>1</v>
      </c>
      <c r="AB42" s="1575">
        <f t="shared" si="4"/>
        <v>1</v>
      </c>
      <c r="AC42" s="1575">
        <f t="shared" si="5"/>
        <v>1</v>
      </c>
    </row>
    <row r="43" spans="1:29" s="1220" customFormat="1" ht="20.25">
      <c r="A43" s="600"/>
      <c r="B43" s="1895" t="s">
        <v>2425</v>
      </c>
      <c r="C43" s="601" t="s">
        <v>3201</v>
      </c>
      <c r="D43" s="255">
        <v>100</v>
      </c>
      <c r="E43" s="601" t="s">
        <v>3201</v>
      </c>
      <c r="F43" s="540">
        <f>SUMIF(125:125,E43,126:126)-SUMIF(125:125,C43,126:126)+100</f>
        <v>100</v>
      </c>
      <c r="G43" s="601" t="s">
        <v>3201</v>
      </c>
      <c r="H43" s="540">
        <f>SUMIF(125:125,G43,126:126)-SUMIF(125:125,C43,126:126)+100</f>
        <v>100</v>
      </c>
      <c r="I43" s="601" t="s">
        <v>3332</v>
      </c>
      <c r="J43" s="540">
        <f>SUMIF(125:125,I43,126:126)-SUMIF(125:125,C43,126:126)+100</f>
        <v>100.5</v>
      </c>
      <c r="K43" s="584">
        <v>0.5</v>
      </c>
      <c r="L43" s="2135"/>
      <c r="M43" s="2132"/>
      <c r="N43" s="2132"/>
      <c r="O43" s="2137"/>
      <c r="P43" s="3434"/>
      <c r="Q43" s="1571" t="str">
        <f t="shared" si="14"/>
        <v>宗地开发程度</v>
      </c>
      <c r="R43" s="1567" t="s">
        <v>8</v>
      </c>
      <c r="S43" s="1568">
        <f t="shared" si="10"/>
        <v>100</v>
      </c>
      <c r="T43" s="1567" t="s">
        <v>8</v>
      </c>
      <c r="U43" s="1568">
        <f t="shared" si="11"/>
        <v>100</v>
      </c>
      <c r="V43" s="1567" t="s">
        <v>8</v>
      </c>
      <c r="W43" s="1568">
        <f t="shared" si="12"/>
        <v>100.5</v>
      </c>
      <c r="X43" s="1569"/>
      <c r="Y43" s="3434"/>
      <c r="Z43" s="1150" t="str">
        <f t="shared" si="13"/>
        <v>宗地开发程度</v>
      </c>
      <c r="AA43" s="1570">
        <f t="shared" si="3"/>
        <v>1</v>
      </c>
      <c r="AB43" s="1570">
        <f t="shared" si="4"/>
        <v>1</v>
      </c>
      <c r="AC43" s="1570">
        <f t="shared" si="5"/>
        <v>0.99502487562189057</v>
      </c>
    </row>
    <row r="44" spans="1:29" ht="20.25">
      <c r="A44" s="594"/>
      <c r="B44" s="527" t="s">
        <v>554</v>
      </c>
      <c r="C44" s="599" t="s">
        <v>3174</v>
      </c>
      <c r="D44" s="540">
        <v>100</v>
      </c>
      <c r="E44" s="599" t="s">
        <v>3174</v>
      </c>
      <c r="F44" s="540">
        <f>SUMIF(127:127,E44,128:128)-SUMIF(127:127,C44,128:128)+100</f>
        <v>100</v>
      </c>
      <c r="G44" s="599" t="s">
        <v>3174</v>
      </c>
      <c r="H44" s="540">
        <f>SUMIF(127:127,G44,128:128)-SUMIF(127:127,C44,128:128)+100</f>
        <v>100</v>
      </c>
      <c r="I44" s="599" t="s">
        <v>3174</v>
      </c>
      <c r="J44" s="540">
        <f>SUMIF(127:127,I44,128:128)-SUMIF(127:127,C44,128:128)+100</f>
        <v>100</v>
      </c>
      <c r="K44" s="584">
        <v>1</v>
      </c>
      <c r="L44" s="2142"/>
      <c r="M44" s="2132"/>
      <c r="N44" s="2132"/>
      <c r="O44" s="2141"/>
      <c r="P44" s="3434" t="s">
        <v>549</v>
      </c>
      <c r="Q44" s="1571" t="str">
        <f t="shared" si="14"/>
        <v>工程地质条件</v>
      </c>
      <c r="R44" s="1572" t="s">
        <v>8</v>
      </c>
      <c r="S44" s="1573">
        <f t="shared" si="10"/>
        <v>100</v>
      </c>
      <c r="T44" s="1572" t="s">
        <v>8</v>
      </c>
      <c r="U44" s="1573">
        <f t="shared" si="11"/>
        <v>100</v>
      </c>
      <c r="V44" s="1572" t="s">
        <v>8</v>
      </c>
      <c r="W44" s="1573">
        <f t="shared" si="12"/>
        <v>100</v>
      </c>
      <c r="X44" s="1566"/>
      <c r="Y44" s="3434" t="s">
        <v>549</v>
      </c>
      <c r="Z44" s="1574" t="str">
        <f t="shared" si="13"/>
        <v>工程地质条件</v>
      </c>
      <c r="AA44" s="1575">
        <f t="shared" si="3"/>
        <v>1</v>
      </c>
      <c r="AB44" s="1575">
        <f t="shared" si="4"/>
        <v>1</v>
      </c>
      <c r="AC44" s="1575">
        <f t="shared" si="5"/>
        <v>1</v>
      </c>
    </row>
    <row r="45" spans="1:29" ht="20.25">
      <c r="A45" s="594"/>
      <c r="B45" s="3200" t="s">
        <v>3202</v>
      </c>
      <c r="C45" s="3201"/>
      <c r="D45" s="3202">
        <v>100</v>
      </c>
      <c r="E45" s="3203"/>
      <c r="F45" s="3202">
        <f>SUMIF(129:129,E45,130:130)-SUMIF(129:129,C45,130:130)+100</f>
        <v>100</v>
      </c>
      <c r="G45" s="3203"/>
      <c r="H45" s="3202">
        <f>SUMIF(129:129,G45,130:130)-SUMIF(129:129,C45,130:130)+100</f>
        <v>100</v>
      </c>
      <c r="I45" s="3204"/>
      <c r="J45" s="3202">
        <f>SUMIF(129:129,I45,130:130)-SUMIF(129:129,C45,130:130)+100</f>
        <v>100</v>
      </c>
      <c r="K45" s="581"/>
      <c r="L45" s="2142"/>
      <c r="M45" s="2132"/>
      <c r="N45" s="2132"/>
      <c r="O45" s="2141"/>
      <c r="P45" s="3434"/>
      <c r="Q45" s="1571" t="str">
        <f t="shared" si="14"/>
        <v>自持商品房比例</v>
      </c>
      <c r="R45" s="1572" t="s">
        <v>8</v>
      </c>
      <c r="S45" s="1573">
        <f t="shared" si="10"/>
        <v>100</v>
      </c>
      <c r="T45" s="1572" t="s">
        <v>8</v>
      </c>
      <c r="U45" s="1573">
        <f t="shared" si="11"/>
        <v>100</v>
      </c>
      <c r="V45" s="1572" t="s">
        <v>8</v>
      </c>
      <c r="W45" s="1573">
        <f t="shared" si="12"/>
        <v>100</v>
      </c>
      <c r="X45" s="1566"/>
      <c r="Y45" s="3434"/>
      <c r="Z45" s="1574" t="str">
        <f t="shared" si="13"/>
        <v>自持商品房比例</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34"/>
      <c r="Q46" s="1571">
        <f t="shared" si="14"/>
        <v>111</v>
      </c>
      <c r="R46" s="1572" t="s">
        <v>8</v>
      </c>
      <c r="S46" s="1573">
        <f t="shared" si="10"/>
        <v>100</v>
      </c>
      <c r="T46" s="1572" t="s">
        <v>8</v>
      </c>
      <c r="U46" s="1573">
        <f t="shared" si="11"/>
        <v>100</v>
      </c>
      <c r="V46" s="1572" t="s">
        <v>8</v>
      </c>
      <c r="W46" s="1573">
        <f t="shared" si="12"/>
        <v>100</v>
      </c>
      <c r="X46" s="1566"/>
      <c r="Y46" s="3434"/>
      <c r="Z46" s="1574">
        <f t="shared" si="13"/>
        <v>111</v>
      </c>
      <c r="AA46" s="1575">
        <f t="shared" si="3"/>
        <v>1</v>
      </c>
      <c r="AB46" s="1575">
        <f t="shared" si="4"/>
        <v>1</v>
      </c>
      <c r="AC46" s="1575">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34"/>
      <c r="Q47" s="1571">
        <f t="shared" si="14"/>
        <v>111</v>
      </c>
      <c r="R47" s="1576" t="s">
        <v>8</v>
      </c>
      <c r="S47" s="1577">
        <f t="shared" si="10"/>
        <v>100</v>
      </c>
      <c r="T47" s="1576" t="s">
        <v>8</v>
      </c>
      <c r="U47" s="1577">
        <f t="shared" si="11"/>
        <v>100</v>
      </c>
      <c r="V47" s="1576" t="s">
        <v>8</v>
      </c>
      <c r="W47" s="1577">
        <f t="shared" si="12"/>
        <v>100</v>
      </c>
      <c r="X47" s="1578"/>
      <c r="Y47" s="3434"/>
      <c r="Z47" s="1579">
        <f t="shared" si="13"/>
        <v>111</v>
      </c>
      <c r="AA47" s="1575">
        <f t="shared" si="3"/>
        <v>1</v>
      </c>
      <c r="AB47" s="1575">
        <f t="shared" si="4"/>
        <v>1</v>
      </c>
      <c r="AC47" s="1575">
        <f t="shared" si="5"/>
        <v>1</v>
      </c>
    </row>
    <row r="48" spans="1:29" ht="20.25">
      <c r="A48" s="607" t="s">
        <v>555</v>
      </c>
      <c r="B48" s="608" t="s">
        <v>3172</v>
      </c>
      <c r="C48" s="609" t="s">
        <v>1</v>
      </c>
      <c r="D48" s="610"/>
      <c r="E48" s="3220">
        <f>ROUND(土地案例!AK17,0)</f>
        <v>24708</v>
      </c>
      <c r="F48" s="612"/>
      <c r="G48" s="3221">
        <f>ROUND(土地案例!AK18,0)</f>
        <v>25547</v>
      </c>
      <c r="H48" s="614"/>
      <c r="I48" s="3220">
        <f>ROUND(土地案例!AK21,0)</f>
        <v>31763</v>
      </c>
      <c r="J48" s="614"/>
      <c r="K48" s="1340"/>
      <c r="L48" s="2144"/>
      <c r="M48" s="2132"/>
      <c r="N48" s="2132"/>
      <c r="O48" s="2145"/>
      <c r="P48" s="3396" t="str">
        <f>A48</f>
        <v>成交单价</v>
      </c>
      <c r="Q48" s="3396"/>
      <c r="R48" s="3397">
        <f>E48</f>
        <v>24708</v>
      </c>
      <c r="S48" s="3397"/>
      <c r="T48" s="3397">
        <f>G48</f>
        <v>25547</v>
      </c>
      <c r="U48" s="3397"/>
      <c r="V48" s="3397">
        <f>I48</f>
        <v>31763</v>
      </c>
      <c r="W48" s="3397"/>
      <c r="X48" s="1558"/>
      <c r="Y48" s="1580"/>
      <c r="Z48" s="1558"/>
      <c r="AA48" s="1558"/>
      <c r="AB48" s="1558"/>
      <c r="AC48" s="1558"/>
    </row>
    <row r="49" spans="1:29" ht="21" thickBot="1">
      <c r="A49" s="615" t="s">
        <v>2693</v>
      </c>
      <c r="B49" s="616"/>
      <c r="C49" s="617">
        <f>R50</f>
        <v>30019</v>
      </c>
      <c r="D49" s="618"/>
      <c r="E49" s="617">
        <f>R49</f>
        <v>28637</v>
      </c>
      <c r="F49" s="619"/>
      <c r="G49" s="620">
        <f>T49</f>
        <v>28142</v>
      </c>
      <c r="H49" s="618"/>
      <c r="I49" s="617">
        <f>V49</f>
        <v>33278</v>
      </c>
      <c r="J49" s="618"/>
      <c r="K49" s="1341"/>
      <c r="L49" s="2144"/>
      <c r="M49" s="2132"/>
      <c r="N49" s="2132"/>
      <c r="O49" s="2145"/>
      <c r="P49" s="3396" t="str">
        <f>A49</f>
        <v>比较价格（元/平方米）</v>
      </c>
      <c r="Q49" s="3396"/>
      <c r="R49" s="3398">
        <f>ROUND(PRODUCT(R48,AA9:AA47),0)</f>
        <v>28637</v>
      </c>
      <c r="S49" s="3398"/>
      <c r="T49" s="3398">
        <f>ROUND(PRODUCT(T48,AB9:AB47),0)</f>
        <v>28142</v>
      </c>
      <c r="U49" s="3398"/>
      <c r="V49" s="3398">
        <f>ROUND(PRODUCT(V48,AC9:AC47),0)</f>
        <v>33278</v>
      </c>
      <c r="W49" s="3398"/>
      <c r="X49" s="1558"/>
      <c r="Y49" s="1558"/>
      <c r="Z49" s="1558"/>
      <c r="AA49" s="1558"/>
      <c r="AB49" s="1558"/>
      <c r="AC49" s="1558"/>
    </row>
    <row r="50" spans="1:29" ht="21" thickBot="1">
      <c r="A50" s="621" t="s">
        <v>2932</v>
      </c>
      <c r="B50" s="622"/>
      <c r="C50" s="623">
        <f>R50</f>
        <v>30019</v>
      </c>
      <c r="D50" s="623"/>
      <c r="E50" s="623"/>
      <c r="F50" s="623"/>
      <c r="G50" s="623"/>
      <c r="H50" s="623"/>
      <c r="I50" s="623"/>
      <c r="J50" s="623"/>
      <c r="K50" s="1342"/>
      <c r="L50" s="2144"/>
      <c r="M50" s="2132"/>
      <c r="N50" s="2132"/>
      <c r="O50" s="2145"/>
      <c r="P50" s="3393" t="str">
        <f>A50</f>
        <v>估价对象XX用房的比较价格（楼面单价，元/平方米）</v>
      </c>
      <c r="Q50" s="3394"/>
      <c r="R50" s="3395">
        <f>ROUND(AVERAGE(R49:V49),0)</f>
        <v>30019</v>
      </c>
      <c r="S50" s="3395"/>
      <c r="T50" s="3395"/>
      <c r="U50" s="3395"/>
      <c r="V50" s="3395"/>
      <c r="W50" s="3395"/>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0.15901732232475307</v>
      </c>
      <c r="F53" s="627" t="str">
        <f>IF(OR(E53&gt;=0.3,E53&lt;=-0.3),"超过30%","")</f>
        <v/>
      </c>
      <c r="G53" s="626">
        <f>IF(G48&lt;G49,G49/G48-1,G48/G49-1)</f>
        <v>0.10157748463616079</v>
      </c>
      <c r="H53" s="627" t="str">
        <f>IF(OR(G53&gt;=0.3,G53&lt;=-0.3),"超过30%","")</f>
        <v/>
      </c>
      <c r="I53" s="626">
        <f>IF(I48&lt;I49,I49/I48-1,I48/I49-1)</f>
        <v>4.7697005950319449E-2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1.7589368204107725E-2</v>
      </c>
      <c r="F54" s="627" t="str">
        <f>IF(OR(E54&gt;=0.2,E54&lt;=-0.2),"超过20%","")</f>
        <v/>
      </c>
      <c r="G54" s="626">
        <f>IF(G49&lt;I49,I49/G49-1,G49/I49-1)</f>
        <v>0.1825030203965603</v>
      </c>
      <c r="H54" s="627" t="str">
        <f>IF(OR(G54&gt;=0.2,G54&lt;=-0.2),"超过20%","")</f>
        <v/>
      </c>
      <c r="I54" s="626">
        <f>IF(I49&lt;E49,E49/I49-1,I49/E49-1)</f>
        <v>0.16206306526521641</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3.3956613242674516E-2</v>
      </c>
      <c r="F55" s="627" t="str">
        <f>IF(OR(E55&gt;=0.3,E55&lt;=-0.3),"超过30%","")</f>
        <v/>
      </c>
      <c r="G55" s="626">
        <f>IF(G48&lt;I48,I48/G48-1,G48/I48-1)</f>
        <v>0.24331624065447999</v>
      </c>
      <c r="H55" s="627" t="str">
        <f>IF(OR(G55&gt;=0.3,G55&lt;=-0.3),"超过30%","")</f>
        <v/>
      </c>
      <c r="I55" s="626">
        <f>IF(I48&lt;E48,E48/I48-1,I48/E48-1)</f>
        <v>0.28553504937672014</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2293</v>
      </c>
      <c r="E57" s="631" t="s">
        <v>561</v>
      </c>
      <c r="F57" s="632" t="s">
        <v>562</v>
      </c>
      <c r="G57" s="3423" t="s">
        <v>2281</v>
      </c>
      <c r="H57" s="3424"/>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563</v>
      </c>
      <c r="B58" s="634">
        <f>C50</f>
        <v>30019</v>
      </c>
      <c r="C58" s="635">
        <v>1</v>
      </c>
      <c r="D58" s="2228">
        <v>1</v>
      </c>
      <c r="E58" s="635">
        <f>'数据-汇总表'!E8+'数据-汇总表'!E9</f>
        <v>111874.03000000001</v>
      </c>
      <c r="F58" s="636">
        <f t="shared" ref="F58:F67" si="15">ROUND(B58*E58/10000,0)</f>
        <v>335835</v>
      </c>
      <c r="G58" s="3425"/>
      <c r="H58" s="3426"/>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564</v>
      </c>
      <c r="B59" s="638">
        <f>ROUND($C$50*C59*D59,0)</f>
        <v>5253</v>
      </c>
      <c r="C59" s="378">
        <f t="shared" ref="C59:C67" si="16">IF($C$57="北京市系数",I59,J59)</f>
        <v>0.7</v>
      </c>
      <c r="D59" s="2229">
        <v>0.25</v>
      </c>
      <c r="E59" s="639">
        <v>0</v>
      </c>
      <c r="F59" s="636">
        <f t="shared" si="15"/>
        <v>0</v>
      </c>
      <c r="G59" s="3427" t="s">
        <v>2282</v>
      </c>
      <c r="H59" s="1948" t="str">
        <f>项目基本情况!B43</f>
        <v>六级</v>
      </c>
      <c r="I59" s="1555">
        <f>SUMIF(修正!$A$45:$A$56,H59,修正!B45:B56)</f>
        <v>0.7</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565</v>
      </c>
      <c r="B60" s="638">
        <f t="shared" ref="B60:B67" si="17">ROUND($C$50*C60*D60,0)</f>
        <v>3002</v>
      </c>
      <c r="C60" s="378">
        <f t="shared" si="16"/>
        <v>0.4</v>
      </c>
      <c r="D60" s="2229">
        <v>0.25</v>
      </c>
      <c r="E60" s="639">
        <v>0</v>
      </c>
      <c r="F60" s="636">
        <f t="shared" si="15"/>
        <v>0</v>
      </c>
      <c r="G60" s="3427"/>
      <c r="H60" s="1948" t="str">
        <f>项目基本情况!B43</f>
        <v>六级</v>
      </c>
      <c r="I60" s="1555">
        <f>SUMIF(修正!$A$45:$A$56,H60,修正!C45:C56)</f>
        <v>0.4</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566</v>
      </c>
      <c r="B61" s="638">
        <f t="shared" si="17"/>
        <v>2101</v>
      </c>
      <c r="C61" s="378">
        <f t="shared" si="16"/>
        <v>0.28000000000000003</v>
      </c>
      <c r="D61" s="2229">
        <v>0.25</v>
      </c>
      <c r="E61" s="639">
        <v>0</v>
      </c>
      <c r="F61" s="636">
        <f t="shared" si="15"/>
        <v>0</v>
      </c>
      <c r="G61" s="3427"/>
      <c r="H61" s="1948" t="str">
        <f>项目基本情况!B43</f>
        <v>六级</v>
      </c>
      <c r="I61" s="1555">
        <f>SUMIF(修正!$A$45:$A$56,H61,修正!D45:D56)</f>
        <v>0.28000000000000003</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567</v>
      </c>
      <c r="B62" s="638">
        <f t="shared" si="17"/>
        <v>1876</v>
      </c>
      <c r="C62" s="378">
        <f t="shared" si="16"/>
        <v>0.25</v>
      </c>
      <c r="D62" s="2229">
        <v>0.25</v>
      </c>
      <c r="E62" s="639">
        <v>0</v>
      </c>
      <c r="F62" s="636">
        <f t="shared" si="15"/>
        <v>0</v>
      </c>
      <c r="G62" s="3427"/>
      <c r="H62" s="1948" t="str">
        <f>项目基本情况!B43</f>
        <v>六级</v>
      </c>
      <c r="I62" s="1555">
        <f>SUMIF(修正!$A$45:$A$56,H62,修正!E45:E56)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2328</v>
      </c>
      <c r="B63" s="638">
        <f t="shared" si="17"/>
        <v>1876</v>
      </c>
      <c r="C63" s="378">
        <f t="shared" si="16"/>
        <v>0.25</v>
      </c>
      <c r="D63" s="2229">
        <v>0.25</v>
      </c>
      <c r="E63" s="641">
        <f>'数据-汇总表'!E11</f>
        <v>0</v>
      </c>
      <c r="F63" s="636">
        <f t="shared" si="15"/>
        <v>0</v>
      </c>
      <c r="G63" s="1945" t="s">
        <v>2283</v>
      </c>
      <c r="H63" s="1948" t="str">
        <f>项目基本情况!C43</f>
        <v>六级</v>
      </c>
      <c r="I63" s="1555">
        <f>SUMIF(修正!$A$45:$A$56,H63,修正!F45:F56)</f>
        <v>0.25</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568</v>
      </c>
      <c r="B64" s="638">
        <f t="shared" si="17"/>
        <v>1876</v>
      </c>
      <c r="C64" s="378">
        <f t="shared" si="16"/>
        <v>0.25</v>
      </c>
      <c r="D64" s="2229">
        <v>0.25</v>
      </c>
      <c r="E64" s="641">
        <f>'数据-汇总表'!E12</f>
        <v>0</v>
      </c>
      <c r="F64" s="636">
        <f t="shared" si="15"/>
        <v>0</v>
      </c>
      <c r="G64" s="1946" t="s">
        <v>922</v>
      </c>
      <c r="H64" s="1944" t="str">
        <f>IF(G64="商业",项目基本情况!B43,IF(G64="办公",项目基本情况!C43,IF(G64="住宅",项目基本情况!D43,项目基本情况!E43)))</f>
        <v>六级</v>
      </c>
      <c r="I64" s="1555">
        <f>SUMIF(修正!$A$45:$A$56,H64,修正!G45:G56)</f>
        <v>0.25</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569</v>
      </c>
      <c r="B65" s="638">
        <f t="shared" si="17"/>
        <v>1501</v>
      </c>
      <c r="C65" s="378">
        <f t="shared" si="16"/>
        <v>0.2</v>
      </c>
      <c r="D65" s="2229">
        <v>0.25</v>
      </c>
      <c r="E65" s="641">
        <f>'数据-汇总表'!E13</f>
        <v>38883.97</v>
      </c>
      <c r="F65" s="636">
        <f t="shared" si="15"/>
        <v>5836</v>
      </c>
      <c r="G65" s="1946" t="s">
        <v>922</v>
      </c>
      <c r="H65" s="1944" t="str">
        <f>IF(G65="商业",项目基本情况!B43,IF(G65="办公",项目基本情况!C43,IF(G65="住宅",项目基本情况!D43,项目基本情况!E43)))</f>
        <v>六级</v>
      </c>
      <c r="I65" s="1555">
        <f>SUMIF(修正!$A$45:$A$56,H65,修正!H45:H56)</f>
        <v>0.2</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570</v>
      </c>
      <c r="B66" s="638">
        <f t="shared" si="17"/>
        <v>1501</v>
      </c>
      <c r="C66" s="378">
        <f t="shared" si="16"/>
        <v>0.2</v>
      </c>
      <c r="D66" s="2229">
        <v>0.25</v>
      </c>
      <c r="E66" s="641">
        <f>'数据-汇总表'!E14</f>
        <v>0</v>
      </c>
      <c r="F66" s="636">
        <f t="shared" si="15"/>
        <v>0</v>
      </c>
      <c r="G66" s="1945" t="s">
        <v>2282</v>
      </c>
      <c r="H66" s="1948" t="str">
        <f>项目基本情况!B43</f>
        <v>六级</v>
      </c>
      <c r="I66" s="1555">
        <f>SUMIF(修正!$A$45:$A$56,H66,修正!H45:H56)</f>
        <v>0.2</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571</v>
      </c>
      <c r="B67" s="638">
        <f t="shared" si="17"/>
        <v>1501</v>
      </c>
      <c r="C67" s="378">
        <f t="shared" si="16"/>
        <v>0.2</v>
      </c>
      <c r="D67" s="2229">
        <v>0.25</v>
      </c>
      <c r="E67" s="641">
        <f>'数据-汇总表'!E15</f>
        <v>0</v>
      </c>
      <c r="F67" s="636">
        <f t="shared" si="15"/>
        <v>0</v>
      </c>
      <c r="G67" s="1947" t="s">
        <v>2283</v>
      </c>
      <c r="H67" s="1949" t="str">
        <f>项目基本情况!C43</f>
        <v>六级</v>
      </c>
      <c r="I67" s="1555">
        <f>SUMIF(修正!$A$45:$A$56,H67,修正!H45:H56)</f>
        <v>0.2</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572</v>
      </c>
      <c r="B68" s="643" t="s">
        <v>17</v>
      </c>
      <c r="C68" s="643" t="s">
        <v>18</v>
      </c>
      <c r="D68" s="643" t="s">
        <v>2294</v>
      </c>
      <c r="E68" s="643">
        <f>IF(B48="楼面地价",SUM(E58:E67),'数据-汇总表'!D3)</f>
        <v>150758</v>
      </c>
      <c r="F68" s="644">
        <f>IF(B48="楼面地价",SUM(F58:F67),ROUND(C50*E68/10000,0))</f>
        <v>341671</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2018-9-1</v>
      </c>
      <c r="D70" s="2823">
        <f>EDATE(C70,-3)</f>
        <v>43252</v>
      </c>
      <c r="E70" s="2823">
        <f t="shared" ref="E70:N70" si="18">EDATE(D70,-3)</f>
        <v>43160</v>
      </c>
      <c r="F70" s="2823">
        <f t="shared" si="18"/>
        <v>43070</v>
      </c>
      <c r="G70" s="2823">
        <f t="shared" si="18"/>
        <v>42979</v>
      </c>
      <c r="H70" s="2823">
        <f t="shared" si="18"/>
        <v>42887</v>
      </c>
      <c r="I70" s="2823">
        <f t="shared" si="18"/>
        <v>42795</v>
      </c>
      <c r="J70" s="2823">
        <f t="shared" si="18"/>
        <v>42705</v>
      </c>
      <c r="K70" s="2823">
        <f t="shared" si="18"/>
        <v>42614</v>
      </c>
      <c r="L70" s="2823">
        <f t="shared" si="18"/>
        <v>42522</v>
      </c>
      <c r="M70" s="2823">
        <f t="shared" si="18"/>
        <v>42430</v>
      </c>
      <c r="N70" s="2823">
        <f t="shared" si="18"/>
        <v>42339</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5">
      <c r="A72" s="2592" t="s">
        <v>2533</v>
      </c>
      <c r="B72" s="2593"/>
      <c r="C72" s="2818" t="str">
        <f>YEAR(C70)&amp;"-"&amp;ROUNDUP(MONTH(C70)/3,0)</f>
        <v>2018-3</v>
      </c>
      <c r="D72" s="2825" t="str">
        <f>YEAR(D70)&amp;"-"&amp;ROUNDUP(MONTH(D70)/3,0)</f>
        <v>2018-2</v>
      </c>
      <c r="E72" s="2825" t="str">
        <f t="shared" ref="E72:N72" si="19">YEAR(E70)&amp;"-"&amp;ROUNDUP(MONTH(E70)/3,0)</f>
        <v>2018-1</v>
      </c>
      <c r="F72" s="2825" t="str">
        <f t="shared" si="19"/>
        <v>2017-4</v>
      </c>
      <c r="G72" s="2825" t="str">
        <f t="shared" si="19"/>
        <v>2017-3</v>
      </c>
      <c r="H72" s="2825" t="str">
        <f t="shared" si="19"/>
        <v>2017-2</v>
      </c>
      <c r="I72" s="2825" t="str">
        <f t="shared" si="19"/>
        <v>2017-1</v>
      </c>
      <c r="J72" s="2825" t="str">
        <f t="shared" si="19"/>
        <v>2016-4</v>
      </c>
      <c r="K72" s="2825" t="str">
        <f t="shared" si="19"/>
        <v>2016-3</v>
      </c>
      <c r="L72" s="2825" t="str">
        <f t="shared" si="19"/>
        <v>2016-2</v>
      </c>
      <c r="M72" s="2825" t="str">
        <f t="shared" si="19"/>
        <v>2016-1</v>
      </c>
      <c r="N72" s="2825" t="str">
        <f t="shared" si="19"/>
        <v>2015-4</v>
      </c>
      <c r="O72" s="2159"/>
      <c r="P72" s="2160"/>
      <c r="Q72" s="2161"/>
      <c r="R72" s="2161"/>
      <c r="S72" s="2161"/>
      <c r="T72" s="2161"/>
      <c r="U72" s="2161"/>
      <c r="V72" s="2161"/>
      <c r="W72" s="2161"/>
      <c r="X72" s="2161"/>
      <c r="Y72" s="2161"/>
      <c r="Z72" s="2161"/>
      <c r="AA72" s="2161"/>
      <c r="AB72" s="2161"/>
      <c r="AC72" s="2161"/>
    </row>
    <row r="73" spans="1:29" s="1220" customFormat="1" ht="27" customHeight="1">
      <c r="A73" s="2830" t="s">
        <v>922</v>
      </c>
      <c r="B73" s="479" t="str">
        <f>"北京市平均增长率"&amp;TEXT(SUMIF(基准地价!N21:N25,A73,基准地价!P21:P25),"0.00%")</f>
        <v>北京市平均增长率0.00%</v>
      </c>
      <c r="C73" s="894">
        <v>100</v>
      </c>
      <c r="D73" s="730">
        <v>99</v>
      </c>
      <c r="E73" s="730">
        <v>98</v>
      </c>
      <c r="F73" s="730">
        <v>97</v>
      </c>
      <c r="G73" s="730">
        <v>96</v>
      </c>
      <c r="H73" s="730">
        <v>95</v>
      </c>
      <c r="I73" s="730"/>
      <c r="J73" s="730"/>
      <c r="K73" s="730"/>
      <c r="L73" s="730"/>
      <c r="M73" s="2816"/>
      <c r="N73" s="2817"/>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0" t="s">
        <v>2647</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20"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69.75">
      <c r="A77" s="664" t="s">
        <v>576</v>
      </c>
      <c r="B77" s="665" t="s">
        <v>533</v>
      </c>
      <c r="C77" s="598" t="s">
        <v>3168</v>
      </c>
      <c r="D77" s="598" t="s">
        <v>3328</v>
      </c>
      <c r="E77" s="598" t="s">
        <v>3326</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99</v>
      </c>
      <c r="E78" s="671">
        <v>98</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t="str">
        <f>B15</f>
        <v>是否限价</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96</v>
      </c>
      <c r="E91" s="679">
        <f>D91-$K17</f>
        <v>92</v>
      </c>
      <c r="F91" s="679">
        <f>E91-$K17</f>
        <v>88</v>
      </c>
      <c r="G91" s="679">
        <f>F91-$K17</f>
        <v>84</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96</v>
      </c>
      <c r="E103" s="679">
        <f>D103-$K29</f>
        <v>92</v>
      </c>
      <c r="F103" s="679">
        <f>E103-$K29</f>
        <v>88</v>
      </c>
      <c r="G103" s="679">
        <f>F103-$K29</f>
        <v>84</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2551</v>
      </c>
      <c r="C104" s="2622" t="s">
        <v>2552</v>
      </c>
      <c r="D104" s="2622" t="s">
        <v>2553</v>
      </c>
      <c r="E104" s="2622" t="s">
        <v>2554</v>
      </c>
      <c r="F104" s="2622" t="s">
        <v>2555</v>
      </c>
      <c r="G104" s="2622"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99.5</v>
      </c>
      <c r="E107" s="679">
        <f t="shared" ref="E107:M107" si="22">D107-$K33</f>
        <v>99</v>
      </c>
      <c r="F107" s="679">
        <f t="shared" si="22"/>
        <v>98.5</v>
      </c>
      <c r="G107" s="679">
        <f t="shared" si="22"/>
        <v>98</v>
      </c>
      <c r="H107" s="679">
        <f t="shared" si="22"/>
        <v>97.5</v>
      </c>
      <c r="I107" s="679">
        <f t="shared" si="22"/>
        <v>97</v>
      </c>
      <c r="J107" s="679">
        <f t="shared" si="22"/>
        <v>96.5</v>
      </c>
      <c r="K107" s="679">
        <f t="shared" si="22"/>
        <v>96</v>
      </c>
      <c r="L107" s="679">
        <f t="shared" si="22"/>
        <v>95.5</v>
      </c>
      <c r="M107" s="679">
        <f t="shared" si="22"/>
        <v>95</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94" t="s">
        <v>3185</v>
      </c>
      <c r="D108" s="3194" t="s">
        <v>3186</v>
      </c>
      <c r="E108" s="3194" t="s">
        <v>3187</v>
      </c>
      <c r="F108" s="3194" t="s">
        <v>3188</v>
      </c>
      <c r="G108" s="3194" t="s">
        <v>3190</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113" t="str">
        <f t="shared" si="25"/>
        <v>(含)-</v>
      </c>
      <c r="K118" s="3113" t="str">
        <f t="shared" si="25"/>
        <v>(含)-</v>
      </c>
      <c r="L118" s="3114" t="str">
        <f t="shared" si="25"/>
        <v>(含)-</v>
      </c>
      <c r="M118" s="311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v>120000</v>
      </c>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100.5</v>
      </c>
      <c r="E120" s="726">
        <v>101</v>
      </c>
      <c r="F120" s="726">
        <v>101.5</v>
      </c>
      <c r="G120" s="726">
        <v>102</v>
      </c>
      <c r="H120" s="726">
        <v>102.5</v>
      </c>
      <c r="I120" s="726">
        <v>103</v>
      </c>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39.75" thickTop="1" thickBot="1">
      <c r="A121" s="735"/>
      <c r="B121" s="673" t="s">
        <v>593</v>
      </c>
      <c r="C121" s="3195" t="s">
        <v>3191</v>
      </c>
      <c r="D121" s="3196" t="s">
        <v>3192</v>
      </c>
      <c r="E121" s="3196" t="s">
        <v>2935</v>
      </c>
      <c r="F121" s="3196" t="s">
        <v>3193</v>
      </c>
      <c r="G121" s="3196" t="s">
        <v>3194</v>
      </c>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68.25" thickTop="1">
      <c r="A123" s="735"/>
      <c r="B123" s="673" t="s">
        <v>594</v>
      </c>
      <c r="C123" s="3194" t="s">
        <v>3195</v>
      </c>
      <c r="D123" s="3194" t="s">
        <v>3197</v>
      </c>
      <c r="E123" s="3194" t="s">
        <v>3198</v>
      </c>
      <c r="F123" s="3197" t="s">
        <v>3199</v>
      </c>
      <c r="G123" s="3197" t="s">
        <v>3200</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3198" t="s">
        <v>2552</v>
      </c>
      <c r="D125" s="3198" t="s">
        <v>2553</v>
      </c>
      <c r="E125" s="3198" t="s">
        <v>2554</v>
      </c>
      <c r="F125" s="3198" t="s">
        <v>2555</v>
      </c>
      <c r="G125" s="3198" t="s">
        <v>2556</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99" t="s">
        <v>578</v>
      </c>
      <c r="D127" s="3199" t="s">
        <v>579</v>
      </c>
      <c r="E127" s="3199" t="s">
        <v>580</v>
      </c>
      <c r="F127" s="3199" t="s">
        <v>581</v>
      </c>
      <c r="G127" s="3199" t="s">
        <v>582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t="str">
        <f>B45</f>
        <v>自持商品房比例</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28" t="str">
        <f>项目基本情况!B1</f>
        <v>北京市海淀区“海淀北部地区整体开发”西北旺镇亮甲店村HD00-0404-6006地块R2二类居住用地出让国有建设用地使用权抵押价格预评估</v>
      </c>
      <c r="C37" s="3228"/>
      <c r="D37" s="3228"/>
      <c r="E37" s="3228"/>
      <c r="F37" s="3228"/>
      <c r="G37" s="3228"/>
      <c r="H37" s="3228"/>
      <c r="I37" s="3228"/>
    </row>
    <row r="38" spans="1:9">
      <c r="A38" s="1655"/>
      <c r="B38" s="1655"/>
    </row>
    <row r="39" spans="1:9">
      <c r="A39" s="1653" t="s">
        <v>1901</v>
      </c>
      <c r="B39" s="1653" t="s">
        <v>2046</v>
      </c>
    </row>
    <row r="40" spans="1:9">
      <c r="A40" s="1653"/>
      <c r="B40" s="1653" t="str">
        <f>项目基本情况!B5</f>
        <v>北京建邦中铁房地产开发有限公司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欧红伟、崔锴</v>
      </c>
    </row>
    <row r="47" spans="1:9">
      <c r="A47" s="1653"/>
      <c r="B47" s="1653"/>
    </row>
    <row r="48" spans="1:9">
      <c r="A48" s="1653" t="s">
        <v>1901</v>
      </c>
      <c r="B48" s="1653" t="s">
        <v>2048</v>
      </c>
    </row>
    <row r="49" spans="2:2">
      <c r="B49" s="1653" t="str">
        <f>"康正预评字"&amp;项目基本情况!B2&amp;"号"</f>
        <v>康正预评字2018-1-0242-P01DYGJ1号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workbookViewId="0">
      <selection activeCell="A21" sqref="A21"/>
    </sheetView>
  </sheetViews>
  <sheetFormatPr defaultRowHeight="13.5"/>
  <cols>
    <col min="1" max="1" width="46.875" customWidth="1"/>
    <col min="19" max="19" width="45" customWidth="1"/>
    <col min="21" max="21" width="34.375" customWidth="1"/>
  </cols>
  <sheetData>
    <row r="1" spans="1:44" s="3185" customFormat="1" ht="12">
      <c r="A1" s="3185" t="s">
        <v>3022</v>
      </c>
      <c r="B1" s="3185" t="s">
        <v>3023</v>
      </c>
      <c r="C1" s="3185" t="s">
        <v>3024</v>
      </c>
      <c r="D1" s="3185" t="s">
        <v>3025</v>
      </c>
      <c r="E1" s="3185" t="s">
        <v>3026</v>
      </c>
      <c r="F1" s="3185" t="s">
        <v>3027</v>
      </c>
      <c r="G1" s="3185" t="s">
        <v>3028</v>
      </c>
      <c r="H1" s="3185" t="s">
        <v>3029</v>
      </c>
      <c r="I1" s="3185" t="s">
        <v>3030</v>
      </c>
      <c r="J1" s="3185" t="s">
        <v>3031</v>
      </c>
      <c r="K1" s="3185" t="s">
        <v>3032</v>
      </c>
      <c r="L1" s="3185" t="s">
        <v>2032</v>
      </c>
      <c r="M1" s="3185" t="s">
        <v>3033</v>
      </c>
      <c r="N1" s="3185" t="s">
        <v>3034</v>
      </c>
      <c r="O1" s="3185" t="s">
        <v>3035</v>
      </c>
      <c r="P1" s="3185" t="s">
        <v>3036</v>
      </c>
      <c r="Q1" s="3185" t="s">
        <v>3037</v>
      </c>
      <c r="R1" s="3185" t="s">
        <v>3038</v>
      </c>
      <c r="S1" s="3185" t="s">
        <v>3039</v>
      </c>
      <c r="T1" s="3185" t="s">
        <v>3040</v>
      </c>
      <c r="U1" s="3185" t="s">
        <v>3041</v>
      </c>
      <c r="V1" s="3185" t="s">
        <v>3042</v>
      </c>
      <c r="W1" s="3185" t="s">
        <v>3043</v>
      </c>
      <c r="X1" s="3185" t="s">
        <v>3044</v>
      </c>
      <c r="Y1" s="3185" t="s">
        <v>3045</v>
      </c>
      <c r="Z1" s="3185" t="s">
        <v>3046</v>
      </c>
      <c r="AA1" s="3185" t="s">
        <v>3047</v>
      </c>
      <c r="AB1" s="3185" t="s">
        <v>3048</v>
      </c>
      <c r="AC1" s="3185" t="s">
        <v>3049</v>
      </c>
      <c r="AD1" s="3185" t="s">
        <v>3050</v>
      </c>
      <c r="AE1" s="3185" t="s">
        <v>3051</v>
      </c>
      <c r="AF1" s="3185" t="s">
        <v>3052</v>
      </c>
      <c r="AG1" s="3185" t="s">
        <v>3053</v>
      </c>
      <c r="AH1" s="3185" t="s">
        <v>3054</v>
      </c>
      <c r="AI1" s="3185" t="s">
        <v>3055</v>
      </c>
      <c r="AJ1" s="3185" t="s">
        <v>3056</v>
      </c>
      <c r="AK1" s="3185" t="s">
        <v>3057</v>
      </c>
      <c r="AL1" s="3185" t="s">
        <v>3058</v>
      </c>
      <c r="AM1" s="3185" t="s">
        <v>3059</v>
      </c>
      <c r="AN1" s="3185" t="s">
        <v>3060</v>
      </c>
      <c r="AO1" s="3185" t="s">
        <v>3061</v>
      </c>
      <c r="AP1" s="3185" t="s">
        <v>3062</v>
      </c>
      <c r="AQ1" s="3185" t="s">
        <v>3063</v>
      </c>
      <c r="AR1" s="3185" t="s">
        <v>3064</v>
      </c>
    </row>
    <row r="2" spans="1:44" s="3185" customFormat="1" ht="12">
      <c r="A2" s="3185" t="s">
        <v>3065</v>
      </c>
      <c r="B2" s="3185" t="s">
        <v>1947</v>
      </c>
      <c r="C2" s="3185" t="s">
        <v>3066</v>
      </c>
      <c r="D2" s="3185" t="s">
        <v>3067</v>
      </c>
      <c r="E2" s="3185" t="s">
        <v>2818</v>
      </c>
      <c r="F2" s="3185" t="s">
        <v>3068</v>
      </c>
      <c r="G2" s="3185" t="s">
        <v>3069</v>
      </c>
      <c r="H2" s="3185" t="s">
        <v>3070</v>
      </c>
      <c r="I2" s="3185" t="s">
        <v>2983</v>
      </c>
      <c r="J2" s="3185">
        <v>74772.84</v>
      </c>
      <c r="K2" s="3185">
        <v>134591</v>
      </c>
      <c r="L2" s="3185">
        <v>1.8</v>
      </c>
      <c r="M2" s="3185" t="s">
        <v>2818</v>
      </c>
      <c r="N2" s="3185" t="s">
        <v>3071</v>
      </c>
      <c r="O2" s="3185" t="s">
        <v>3072</v>
      </c>
      <c r="P2" s="3185" t="s">
        <v>2818</v>
      </c>
      <c r="Q2" s="3185" t="s">
        <v>2818</v>
      </c>
      <c r="R2" s="3185" t="s">
        <v>2818</v>
      </c>
      <c r="S2" s="3185" t="s">
        <v>2818</v>
      </c>
      <c r="T2" s="3185" t="s">
        <v>3073</v>
      </c>
      <c r="U2" s="3185" t="s">
        <v>3074</v>
      </c>
      <c r="V2" s="3185" t="s">
        <v>2818</v>
      </c>
      <c r="W2" s="3185" t="s">
        <v>3075</v>
      </c>
      <c r="X2" s="3185" t="s">
        <v>3076</v>
      </c>
      <c r="Y2" s="3185" t="s">
        <v>3077</v>
      </c>
      <c r="Z2" s="3185" t="s">
        <v>3078</v>
      </c>
      <c r="AA2" s="3185" t="s">
        <v>3078</v>
      </c>
      <c r="AB2" s="3185" t="s">
        <v>3070</v>
      </c>
      <c r="AC2" s="3185" t="s">
        <v>3079</v>
      </c>
      <c r="AD2" s="3185" t="s">
        <v>3080</v>
      </c>
      <c r="AE2" s="3185">
        <v>142000</v>
      </c>
      <c r="AF2" s="3185">
        <v>472300</v>
      </c>
      <c r="AG2" s="3185">
        <v>550000</v>
      </c>
      <c r="AH2" s="3185">
        <v>4210.9799999999996</v>
      </c>
      <c r="AI2" s="3185">
        <v>4903.74</v>
      </c>
      <c r="AJ2" s="3185">
        <v>35091.5</v>
      </c>
      <c r="AK2" s="3185">
        <v>40864.550000000003</v>
      </c>
      <c r="AL2" s="3185" t="s">
        <v>2818</v>
      </c>
      <c r="AM2" s="3185" t="s">
        <v>2818</v>
      </c>
      <c r="AN2" s="3185">
        <v>16.45</v>
      </c>
      <c r="AO2" s="3185" t="s">
        <v>3081</v>
      </c>
      <c r="AP2" s="3185" t="s">
        <v>2818</v>
      </c>
      <c r="AQ2" s="3185" t="s">
        <v>2818</v>
      </c>
      <c r="AR2" s="3185" t="s">
        <v>2818</v>
      </c>
    </row>
    <row r="3" spans="1:44" s="3185" customFormat="1" ht="12">
      <c r="A3" s="3185" t="s">
        <v>3082</v>
      </c>
      <c r="B3" s="3185" t="s">
        <v>1947</v>
      </c>
      <c r="C3" s="3185" t="s">
        <v>3066</v>
      </c>
      <c r="D3" s="3185" t="s">
        <v>3067</v>
      </c>
      <c r="E3" s="3185" t="s">
        <v>2818</v>
      </c>
      <c r="F3" s="3185" t="s">
        <v>3083</v>
      </c>
      <c r="G3" s="3185" t="s">
        <v>3084</v>
      </c>
      <c r="H3" s="3185" t="s">
        <v>3085</v>
      </c>
      <c r="I3" s="3185" t="s">
        <v>2983</v>
      </c>
      <c r="J3" s="3185">
        <v>6180.98</v>
      </c>
      <c r="K3" s="3185">
        <v>32400</v>
      </c>
      <c r="L3" s="3185">
        <v>5.24</v>
      </c>
      <c r="M3" s="3185" t="s">
        <v>2818</v>
      </c>
      <c r="N3" s="3185" t="s">
        <v>2818</v>
      </c>
      <c r="O3" s="3185" t="s">
        <v>2818</v>
      </c>
      <c r="P3" s="3185" t="s">
        <v>2818</v>
      </c>
      <c r="Q3" s="3185" t="s">
        <v>2818</v>
      </c>
      <c r="R3" s="3185" t="s">
        <v>2818</v>
      </c>
      <c r="S3" s="3185" t="s">
        <v>2818</v>
      </c>
      <c r="T3" s="3185" t="s">
        <v>2818</v>
      </c>
      <c r="U3" s="3185" t="s">
        <v>2818</v>
      </c>
      <c r="V3" s="3185" t="s">
        <v>2818</v>
      </c>
      <c r="W3" s="3185" t="s">
        <v>3075</v>
      </c>
      <c r="X3" s="3185" t="s">
        <v>3086</v>
      </c>
      <c r="Y3" s="3185" t="s">
        <v>3087</v>
      </c>
      <c r="Z3" s="3185" t="s">
        <v>3087</v>
      </c>
      <c r="AA3" s="3185" t="s">
        <v>3087</v>
      </c>
      <c r="AB3" s="3185" t="s">
        <v>3085</v>
      </c>
      <c r="AC3" s="3185" t="s">
        <v>3079</v>
      </c>
      <c r="AD3" s="3185" t="s">
        <v>3088</v>
      </c>
      <c r="AE3" s="3185">
        <v>2400</v>
      </c>
      <c r="AF3" s="3185" t="s">
        <v>2818</v>
      </c>
      <c r="AG3" s="3185" t="s">
        <v>2818</v>
      </c>
      <c r="AH3" s="3185" t="s">
        <v>2818</v>
      </c>
      <c r="AI3" s="3185" t="s">
        <v>2818</v>
      </c>
      <c r="AJ3" s="3185" t="s">
        <v>2818</v>
      </c>
      <c r="AK3" s="3185" t="s">
        <v>2818</v>
      </c>
      <c r="AL3" s="3185" t="s">
        <v>2818</v>
      </c>
      <c r="AM3" s="3185" t="s">
        <v>2818</v>
      </c>
      <c r="AN3" s="3185" t="s">
        <v>2818</v>
      </c>
      <c r="AO3" s="3185" t="s">
        <v>3081</v>
      </c>
      <c r="AP3" s="3185" t="s">
        <v>2818</v>
      </c>
      <c r="AQ3" s="3185" t="s">
        <v>2818</v>
      </c>
      <c r="AR3" s="3185" t="s">
        <v>2818</v>
      </c>
    </row>
    <row r="4" spans="1:44" s="3185" customFormat="1" ht="12">
      <c r="A4" s="3185" t="s">
        <v>3089</v>
      </c>
      <c r="B4" s="3185" t="s">
        <v>1947</v>
      </c>
      <c r="C4" s="3185" t="s">
        <v>3090</v>
      </c>
      <c r="D4" s="3185" t="s">
        <v>3067</v>
      </c>
      <c r="E4" s="3185" t="s">
        <v>2818</v>
      </c>
      <c r="F4" s="3185" t="s">
        <v>3091</v>
      </c>
      <c r="G4" s="3185" t="s">
        <v>3069</v>
      </c>
      <c r="H4" s="3185" t="s">
        <v>3092</v>
      </c>
      <c r="I4" s="3185" t="s">
        <v>3093</v>
      </c>
      <c r="J4" s="3185">
        <v>105309.9</v>
      </c>
      <c r="K4" s="3185">
        <v>201320</v>
      </c>
      <c r="L4" s="3185">
        <v>1.9116899999999999</v>
      </c>
      <c r="M4" s="3185" t="s">
        <v>2818</v>
      </c>
      <c r="N4" s="3185" t="s">
        <v>3071</v>
      </c>
      <c r="O4" s="3185" t="s">
        <v>3094</v>
      </c>
      <c r="P4" s="3185" t="s">
        <v>2818</v>
      </c>
      <c r="Q4" s="3185" t="s">
        <v>2818</v>
      </c>
      <c r="R4" s="3185" t="s">
        <v>2818</v>
      </c>
      <c r="S4" s="3185" t="s">
        <v>2818</v>
      </c>
      <c r="T4" s="3185" t="s">
        <v>3073</v>
      </c>
      <c r="U4" s="3185" t="s">
        <v>3074</v>
      </c>
      <c r="V4" s="3185" t="s">
        <v>2818</v>
      </c>
      <c r="W4" s="3185" t="s">
        <v>3075</v>
      </c>
      <c r="X4" s="3185" t="s">
        <v>3095</v>
      </c>
      <c r="Y4" s="3185" t="s">
        <v>3096</v>
      </c>
      <c r="Z4" s="3185" t="s">
        <v>3097</v>
      </c>
      <c r="AA4" s="3185" t="s">
        <v>3097</v>
      </c>
      <c r="AB4" s="3185" t="s">
        <v>3092</v>
      </c>
      <c r="AC4" s="3185" t="s">
        <v>3079</v>
      </c>
      <c r="AD4" s="3185" t="s">
        <v>3098</v>
      </c>
      <c r="AE4" s="3185">
        <v>210000</v>
      </c>
      <c r="AF4" s="3185">
        <v>692500</v>
      </c>
      <c r="AG4" s="3185">
        <v>762000</v>
      </c>
      <c r="AH4" s="3185">
        <v>4383.8900000000003</v>
      </c>
      <c r="AI4" s="3185">
        <v>4823.8599999999997</v>
      </c>
      <c r="AJ4" s="3185">
        <v>34397.97</v>
      </c>
      <c r="AK4" s="3185">
        <v>37850.19</v>
      </c>
      <c r="AL4" s="3185" t="s">
        <v>2818</v>
      </c>
      <c r="AM4" s="3185" t="s">
        <v>2818</v>
      </c>
      <c r="AN4" s="3185">
        <v>10.039999999999999</v>
      </c>
      <c r="AO4" s="3185" t="s">
        <v>3081</v>
      </c>
      <c r="AP4" s="3185" t="s">
        <v>2818</v>
      </c>
      <c r="AQ4" s="3185" t="s">
        <v>2818</v>
      </c>
      <c r="AR4" s="3185" t="s">
        <v>2818</v>
      </c>
    </row>
    <row r="5" spans="1:44" s="3217" customFormat="1" ht="12.75">
      <c r="A5" s="3217" t="s">
        <v>3099</v>
      </c>
      <c r="B5" s="3217" t="s">
        <v>1947</v>
      </c>
      <c r="C5" s="3217" t="s">
        <v>3066</v>
      </c>
      <c r="D5" s="3217" t="s">
        <v>3067</v>
      </c>
      <c r="E5" s="3217" t="s">
        <v>2818</v>
      </c>
      <c r="F5" s="3217" t="s">
        <v>3091</v>
      </c>
      <c r="G5" s="3217" t="s">
        <v>3069</v>
      </c>
      <c r="H5" s="3217" t="s">
        <v>3100</v>
      </c>
      <c r="I5" s="3217" t="s">
        <v>2983</v>
      </c>
      <c r="J5" s="3217">
        <v>84786.55</v>
      </c>
      <c r="K5" s="3217">
        <v>186530</v>
      </c>
      <c r="L5" s="3217">
        <v>2.2000000000000002</v>
      </c>
      <c r="M5" s="3217" t="s">
        <v>2818</v>
      </c>
      <c r="N5" s="3217" t="s">
        <v>3071</v>
      </c>
      <c r="O5" s="3217" t="s">
        <v>3101</v>
      </c>
      <c r="P5" s="3217" t="s">
        <v>2818</v>
      </c>
      <c r="Q5" s="3217" t="s">
        <v>2818</v>
      </c>
      <c r="R5" s="3217" t="s">
        <v>2818</v>
      </c>
      <c r="S5" s="3217" t="s">
        <v>3102</v>
      </c>
      <c r="T5" s="3217" t="s">
        <v>3103</v>
      </c>
      <c r="U5" s="3217" t="s">
        <v>3103</v>
      </c>
      <c r="V5" s="3217" t="s">
        <v>2818</v>
      </c>
      <c r="W5" s="3217" t="s">
        <v>3075</v>
      </c>
      <c r="X5" s="3217" t="s">
        <v>3104</v>
      </c>
      <c r="Y5" s="3217" t="s">
        <v>3105</v>
      </c>
      <c r="Z5" s="3217" t="s">
        <v>3106</v>
      </c>
      <c r="AA5" s="3217" t="s">
        <v>3106</v>
      </c>
      <c r="AB5" s="3217" t="s">
        <v>3100</v>
      </c>
      <c r="AC5" s="3217" t="s">
        <v>3079</v>
      </c>
      <c r="AD5" s="3217" t="s">
        <v>3107</v>
      </c>
      <c r="AE5" s="3217">
        <v>160000</v>
      </c>
      <c r="AF5" s="3217">
        <v>532800</v>
      </c>
      <c r="AG5" s="3217">
        <v>535500</v>
      </c>
      <c r="AH5" s="3217">
        <v>4189.34</v>
      </c>
      <c r="AI5" s="3217">
        <v>4210.57</v>
      </c>
      <c r="AJ5" s="3217">
        <v>28563.77</v>
      </c>
      <c r="AK5" s="3217">
        <v>28708.52</v>
      </c>
      <c r="AL5" s="3217" t="s">
        <v>2818</v>
      </c>
      <c r="AM5" s="3217" t="s">
        <v>2818</v>
      </c>
      <c r="AN5" s="3217">
        <v>0.51</v>
      </c>
      <c r="AO5" s="3217" t="s">
        <v>3081</v>
      </c>
      <c r="AP5" s="3217" t="s">
        <v>2818</v>
      </c>
      <c r="AQ5" s="3217" t="s">
        <v>2818</v>
      </c>
      <c r="AR5" s="3217" t="s">
        <v>2818</v>
      </c>
    </row>
    <row r="6" spans="1:44" s="3185" customFormat="1" ht="12">
      <c r="A6" s="3185" t="s">
        <v>3108</v>
      </c>
      <c r="B6" s="3185" t="s">
        <v>1947</v>
      </c>
      <c r="C6" s="3185" t="s">
        <v>3066</v>
      </c>
      <c r="D6" s="3185" t="s">
        <v>3067</v>
      </c>
      <c r="E6" s="3185" t="s">
        <v>2818</v>
      </c>
      <c r="F6" s="3185" t="s">
        <v>3109</v>
      </c>
      <c r="G6" s="3185" t="s">
        <v>3069</v>
      </c>
      <c r="H6" s="3185" t="s">
        <v>3110</v>
      </c>
      <c r="I6" s="3185" t="s">
        <v>3111</v>
      </c>
      <c r="J6" s="3185">
        <v>10423.85</v>
      </c>
      <c r="K6" s="3185">
        <v>31272</v>
      </c>
      <c r="L6" s="3185">
        <v>3</v>
      </c>
      <c r="M6" s="3185" t="s">
        <v>2818</v>
      </c>
      <c r="N6" s="3185" t="s">
        <v>2818</v>
      </c>
      <c r="O6" s="3185" t="s">
        <v>3112</v>
      </c>
      <c r="P6" s="3185" t="s">
        <v>2818</v>
      </c>
      <c r="Q6" s="3185" t="s">
        <v>2818</v>
      </c>
      <c r="R6" s="3185" t="s">
        <v>2818</v>
      </c>
      <c r="S6" s="3185" t="s">
        <v>2818</v>
      </c>
      <c r="T6" s="3185" t="s">
        <v>3073</v>
      </c>
      <c r="U6" s="3185" t="s">
        <v>3113</v>
      </c>
      <c r="V6" s="3185" t="s">
        <v>2818</v>
      </c>
      <c r="W6" s="3185" t="s">
        <v>3075</v>
      </c>
      <c r="X6" s="3185" t="s">
        <v>3114</v>
      </c>
      <c r="Y6" s="3185" t="s">
        <v>3115</v>
      </c>
      <c r="Z6" s="3185" t="s">
        <v>3116</v>
      </c>
      <c r="AA6" s="3185" t="s">
        <v>3116</v>
      </c>
      <c r="AB6" s="3185" t="s">
        <v>3110</v>
      </c>
      <c r="AC6" s="3185" t="s">
        <v>3079</v>
      </c>
      <c r="AD6" s="3185" t="s">
        <v>3117</v>
      </c>
      <c r="AE6" s="3185">
        <v>37100</v>
      </c>
      <c r="AF6" s="3185">
        <v>123600</v>
      </c>
      <c r="AG6" s="3185">
        <v>165000</v>
      </c>
      <c r="AH6" s="3185">
        <v>7904.95</v>
      </c>
      <c r="AI6" s="3185">
        <v>10552.72</v>
      </c>
      <c r="AJ6" s="3185">
        <v>39524.17</v>
      </c>
      <c r="AK6" s="3185">
        <v>52762.84</v>
      </c>
      <c r="AL6" s="3185" t="s">
        <v>2818</v>
      </c>
      <c r="AM6" s="3185" t="s">
        <v>2818</v>
      </c>
      <c r="AN6" s="3185">
        <v>33.5</v>
      </c>
      <c r="AO6" s="3185" t="s">
        <v>3081</v>
      </c>
      <c r="AP6" s="3185" t="s">
        <v>2818</v>
      </c>
      <c r="AQ6" s="3185">
        <v>36</v>
      </c>
      <c r="AR6" s="3185" t="s">
        <v>2818</v>
      </c>
    </row>
    <row r="7" spans="1:44" s="3185" customFormat="1" ht="12">
      <c r="A7" s="3185" t="s">
        <v>3118</v>
      </c>
      <c r="B7" s="3185" t="s">
        <v>1947</v>
      </c>
      <c r="C7" s="3185" t="s">
        <v>3066</v>
      </c>
      <c r="D7" s="3185" t="s">
        <v>3067</v>
      </c>
      <c r="E7" s="3185" t="s">
        <v>2818</v>
      </c>
      <c r="F7" s="3185" t="s">
        <v>3068</v>
      </c>
      <c r="G7" s="3185" t="s">
        <v>3069</v>
      </c>
      <c r="H7" s="3185" t="s">
        <v>3119</v>
      </c>
      <c r="I7" s="3185" t="s">
        <v>2983</v>
      </c>
      <c r="J7" s="3185">
        <v>82336.42</v>
      </c>
      <c r="K7" s="3185">
        <v>139022</v>
      </c>
      <c r="L7" s="3185" t="s">
        <v>3120</v>
      </c>
      <c r="M7" s="3185" t="s">
        <v>2818</v>
      </c>
      <c r="N7" s="3185" t="s">
        <v>3071</v>
      </c>
      <c r="O7" s="3185" t="s">
        <v>3121</v>
      </c>
      <c r="P7" s="3185" t="s">
        <v>2818</v>
      </c>
      <c r="Q7" s="3185" t="s">
        <v>2818</v>
      </c>
      <c r="R7" s="3185" t="s">
        <v>2818</v>
      </c>
      <c r="S7" s="3185" t="s">
        <v>2818</v>
      </c>
      <c r="T7" s="3185" t="s">
        <v>3073</v>
      </c>
      <c r="U7" s="3185" t="s">
        <v>3113</v>
      </c>
      <c r="V7" s="3185" t="s">
        <v>2818</v>
      </c>
      <c r="W7" s="3185" t="s">
        <v>3138</v>
      </c>
      <c r="X7" s="3185" t="s">
        <v>3122</v>
      </c>
      <c r="Y7" s="3185" t="s">
        <v>3123</v>
      </c>
      <c r="Z7" s="3185" t="s">
        <v>3124</v>
      </c>
      <c r="AA7" s="3185" t="s">
        <v>3124</v>
      </c>
      <c r="AB7" s="3185" t="s">
        <v>3119</v>
      </c>
      <c r="AC7" s="3185" t="s">
        <v>3079</v>
      </c>
      <c r="AD7" s="3185" t="s">
        <v>3125</v>
      </c>
      <c r="AE7" s="3185">
        <v>146000</v>
      </c>
      <c r="AF7" s="3185">
        <v>484000</v>
      </c>
      <c r="AG7" s="3185">
        <v>580800</v>
      </c>
      <c r="AH7" s="3185">
        <v>3918.88</v>
      </c>
      <c r="AI7" s="3185">
        <v>4702.66</v>
      </c>
      <c r="AJ7" s="3185">
        <v>34814.629999999997</v>
      </c>
      <c r="AK7" s="3185">
        <v>41777.550000000003</v>
      </c>
      <c r="AL7" s="3185" t="s">
        <v>2818</v>
      </c>
      <c r="AM7" s="3185" t="s">
        <v>2818</v>
      </c>
      <c r="AN7" s="3185">
        <v>20</v>
      </c>
      <c r="AO7" s="3185" t="s">
        <v>3081</v>
      </c>
      <c r="AP7" s="3185" t="s">
        <v>2818</v>
      </c>
      <c r="AQ7" s="3185">
        <v>36</v>
      </c>
      <c r="AR7" s="3185" t="s">
        <v>2818</v>
      </c>
    </row>
    <row r="8" spans="1:44" s="3185" customFormat="1" ht="12">
      <c r="A8" s="3185" t="s">
        <v>3126</v>
      </c>
      <c r="B8" s="3185" t="s">
        <v>1947</v>
      </c>
      <c r="C8" s="3185" t="s">
        <v>3066</v>
      </c>
      <c r="D8" s="3185" t="s">
        <v>3067</v>
      </c>
      <c r="E8" s="3185" t="s">
        <v>2818</v>
      </c>
      <c r="F8" s="3185" t="s">
        <v>3068</v>
      </c>
      <c r="G8" s="3185" t="s">
        <v>3069</v>
      </c>
      <c r="H8" s="3185" t="s">
        <v>3127</v>
      </c>
      <c r="I8" s="3185" t="s">
        <v>2983</v>
      </c>
      <c r="J8" s="3185">
        <v>54881.23</v>
      </c>
      <c r="K8" s="3185">
        <v>104288</v>
      </c>
      <c r="L8" s="3185" t="s">
        <v>3128</v>
      </c>
      <c r="M8" s="3185" t="s">
        <v>2818</v>
      </c>
      <c r="N8" s="3185" t="s">
        <v>3071</v>
      </c>
      <c r="O8" s="3185" t="s">
        <v>3129</v>
      </c>
      <c r="P8" s="3185" t="s">
        <v>3130</v>
      </c>
      <c r="Q8" s="3185">
        <v>55019</v>
      </c>
      <c r="R8" s="3185">
        <v>55019</v>
      </c>
      <c r="S8" s="3185" t="s">
        <v>2818</v>
      </c>
      <c r="T8" s="3185" t="s">
        <v>3131</v>
      </c>
      <c r="U8" s="3185" t="s">
        <v>3132</v>
      </c>
      <c r="V8" s="3185" t="s">
        <v>2818</v>
      </c>
      <c r="W8" s="3185" t="s">
        <v>3138</v>
      </c>
      <c r="X8" s="3185" t="s">
        <v>3122</v>
      </c>
      <c r="Y8" s="3185" t="s">
        <v>3123</v>
      </c>
      <c r="Z8" s="3185" t="s">
        <v>3124</v>
      </c>
      <c r="AA8" s="3185" t="s">
        <v>3124</v>
      </c>
      <c r="AB8" s="3185" t="s">
        <v>3127</v>
      </c>
      <c r="AC8" s="3185" t="s">
        <v>3079</v>
      </c>
      <c r="AD8" s="3185" t="s">
        <v>3133</v>
      </c>
      <c r="AE8" s="3185">
        <v>48000</v>
      </c>
      <c r="AF8" s="3185">
        <v>157000</v>
      </c>
      <c r="AG8" s="3185">
        <v>180550</v>
      </c>
      <c r="AH8" s="3185">
        <v>1907.15</v>
      </c>
      <c r="AI8" s="3185">
        <v>2193.2199999999998</v>
      </c>
      <c r="AJ8" s="3185">
        <v>15054.46</v>
      </c>
      <c r="AK8" s="3185">
        <v>17312.63</v>
      </c>
      <c r="AL8" s="3185">
        <v>31866</v>
      </c>
      <c r="AM8" s="3185">
        <v>36646</v>
      </c>
      <c r="AN8" s="3185">
        <v>15</v>
      </c>
      <c r="AO8" s="3185" t="s">
        <v>3081</v>
      </c>
      <c r="AP8" s="3185" t="s">
        <v>2818</v>
      </c>
      <c r="AQ8" s="3185">
        <v>44</v>
      </c>
      <c r="AR8" s="3185" t="s">
        <v>2818</v>
      </c>
    </row>
    <row r="9" spans="1:44" s="3185" customFormat="1" ht="12">
      <c r="A9" s="3185" t="s">
        <v>3134</v>
      </c>
      <c r="B9" s="3185" t="s">
        <v>1947</v>
      </c>
      <c r="C9" s="3185" t="s">
        <v>3066</v>
      </c>
      <c r="D9" s="3185" t="s">
        <v>3067</v>
      </c>
      <c r="E9" s="3185" t="s">
        <v>2818</v>
      </c>
      <c r="F9" s="3185" t="s">
        <v>3135</v>
      </c>
      <c r="G9" s="3185" t="s">
        <v>3069</v>
      </c>
      <c r="H9" s="3185" t="s">
        <v>3136</v>
      </c>
      <c r="I9" s="3185" t="s">
        <v>2983</v>
      </c>
      <c r="J9" s="3185">
        <v>83549.62</v>
      </c>
      <c r="K9" s="3185">
        <v>138825</v>
      </c>
      <c r="L9" s="3185">
        <v>1.66</v>
      </c>
      <c r="M9" s="3185" t="s">
        <v>2818</v>
      </c>
      <c r="N9" s="3185" t="s">
        <v>2818</v>
      </c>
      <c r="O9" s="3185" t="s">
        <v>2818</v>
      </c>
      <c r="P9" s="3185" t="s">
        <v>2818</v>
      </c>
      <c r="Q9" s="3185" t="s">
        <v>2818</v>
      </c>
      <c r="R9" s="3185" t="s">
        <v>2818</v>
      </c>
      <c r="S9" s="3185" t="s">
        <v>2818</v>
      </c>
      <c r="T9" s="3185" t="s">
        <v>3137</v>
      </c>
      <c r="U9" s="3185" t="s">
        <v>3137</v>
      </c>
      <c r="V9" s="3185" t="s">
        <v>2818</v>
      </c>
      <c r="W9" s="3185" t="s">
        <v>3138</v>
      </c>
      <c r="X9" s="3185" t="s">
        <v>3139</v>
      </c>
      <c r="Y9" s="3185" t="s">
        <v>3140</v>
      </c>
      <c r="Z9" s="3185" t="s">
        <v>3141</v>
      </c>
      <c r="AA9" s="3185" t="s">
        <v>3141</v>
      </c>
      <c r="AB9" s="3185" t="s">
        <v>3136</v>
      </c>
      <c r="AC9" s="3185" t="s">
        <v>3079</v>
      </c>
      <c r="AD9" s="3185" t="s">
        <v>3142</v>
      </c>
      <c r="AE9" s="3185">
        <v>115000</v>
      </c>
      <c r="AF9" s="3185">
        <v>384000</v>
      </c>
      <c r="AG9" s="3185">
        <v>500000</v>
      </c>
      <c r="AH9" s="3185">
        <v>3064.05</v>
      </c>
      <c r="AI9" s="3185">
        <v>3989.65</v>
      </c>
      <c r="AJ9" s="3185">
        <v>27660.720000000001</v>
      </c>
      <c r="AK9" s="3185">
        <v>36016.559999999998</v>
      </c>
      <c r="AL9" s="3185" t="s">
        <v>2818</v>
      </c>
      <c r="AM9" s="3185" t="s">
        <v>2818</v>
      </c>
      <c r="AN9" s="3185">
        <v>30.21</v>
      </c>
      <c r="AO9" s="3185" t="s">
        <v>3081</v>
      </c>
      <c r="AP9" s="3185" t="s">
        <v>2818</v>
      </c>
      <c r="AQ9" s="3185">
        <v>100</v>
      </c>
      <c r="AR9" s="3185" t="s">
        <v>2818</v>
      </c>
    </row>
    <row r="10" spans="1:44" s="3185" customFormat="1" ht="12">
      <c r="A10" s="3185" t="s">
        <v>3143</v>
      </c>
      <c r="B10" s="3185" t="s">
        <v>1947</v>
      </c>
      <c r="C10" s="3185" t="s">
        <v>3090</v>
      </c>
      <c r="D10" s="3185" t="s">
        <v>3067</v>
      </c>
      <c r="E10" s="3185" t="s">
        <v>2818</v>
      </c>
      <c r="F10" s="3185" t="s">
        <v>3135</v>
      </c>
      <c r="G10" s="3185" t="s">
        <v>3069</v>
      </c>
      <c r="H10" s="3185" t="s">
        <v>3144</v>
      </c>
      <c r="I10" s="3185" t="s">
        <v>3145</v>
      </c>
      <c r="J10" s="3185">
        <v>85584.57</v>
      </c>
      <c r="K10" s="3185">
        <v>162894</v>
      </c>
      <c r="L10" s="3185">
        <v>1.9</v>
      </c>
      <c r="M10" s="3185" t="s">
        <v>2818</v>
      </c>
      <c r="N10" s="3185" t="s">
        <v>2818</v>
      </c>
      <c r="O10" s="3185" t="s">
        <v>2818</v>
      </c>
      <c r="P10" s="3185" t="s">
        <v>2818</v>
      </c>
      <c r="Q10" s="3185" t="s">
        <v>2818</v>
      </c>
      <c r="R10" s="3185" t="s">
        <v>2818</v>
      </c>
      <c r="S10" s="3185" t="s">
        <v>2818</v>
      </c>
      <c r="T10" s="3185" t="s">
        <v>3137</v>
      </c>
      <c r="U10" s="3185" t="s">
        <v>3137</v>
      </c>
      <c r="V10" s="3185" t="s">
        <v>2818</v>
      </c>
      <c r="W10" s="3185" t="s">
        <v>3138</v>
      </c>
      <c r="X10" s="3185" t="s">
        <v>3139</v>
      </c>
      <c r="Y10" s="3185" t="s">
        <v>3140</v>
      </c>
      <c r="Z10" s="3185" t="s">
        <v>3141</v>
      </c>
      <c r="AA10" s="3185" t="s">
        <v>3141</v>
      </c>
      <c r="AB10" s="3185" t="s">
        <v>3144</v>
      </c>
      <c r="AC10" s="3185" t="s">
        <v>3079</v>
      </c>
      <c r="AD10" s="3185" t="s">
        <v>3146</v>
      </c>
      <c r="AE10" s="3185">
        <v>132000</v>
      </c>
      <c r="AF10" s="3185">
        <v>440000</v>
      </c>
      <c r="AG10" s="3185">
        <v>590000</v>
      </c>
      <c r="AH10" s="3185">
        <v>3427.41</v>
      </c>
      <c r="AI10" s="3185">
        <v>4595.84</v>
      </c>
      <c r="AJ10" s="3185">
        <v>27011.43</v>
      </c>
      <c r="AK10" s="3185">
        <v>36219.870000000003</v>
      </c>
      <c r="AL10" s="3185" t="s">
        <v>2818</v>
      </c>
      <c r="AM10" s="3185" t="s">
        <v>2818</v>
      </c>
      <c r="AN10" s="3185">
        <v>34.090000000000003</v>
      </c>
      <c r="AO10" s="3185" t="s">
        <v>3081</v>
      </c>
      <c r="AP10" s="3185" t="s">
        <v>2818</v>
      </c>
      <c r="AQ10" s="3185">
        <v>100</v>
      </c>
      <c r="AR10" s="3185">
        <v>100</v>
      </c>
    </row>
    <row r="11" spans="1:44" s="3185" customFormat="1" ht="12">
      <c r="A11" s="3185" t="s">
        <v>3147</v>
      </c>
      <c r="B11" s="3185" t="s">
        <v>1947</v>
      </c>
      <c r="C11" s="3185" t="s">
        <v>3090</v>
      </c>
      <c r="D11" s="3185" t="s">
        <v>3067</v>
      </c>
      <c r="E11" s="3185" t="s">
        <v>2818</v>
      </c>
      <c r="F11" s="3185" t="s">
        <v>3135</v>
      </c>
      <c r="G11" s="3185" t="s">
        <v>3069</v>
      </c>
      <c r="H11" s="3185" t="s">
        <v>3148</v>
      </c>
      <c r="I11" s="3185" t="s">
        <v>3145</v>
      </c>
      <c r="J11" s="3185">
        <v>84241.64</v>
      </c>
      <c r="K11" s="3185">
        <v>183336</v>
      </c>
      <c r="L11" s="3185">
        <v>2.1800000000000002</v>
      </c>
      <c r="M11" s="3185" t="s">
        <v>2818</v>
      </c>
      <c r="N11" s="3185" t="s">
        <v>2818</v>
      </c>
      <c r="O11" s="3185" t="s">
        <v>2818</v>
      </c>
      <c r="P11" s="3185" t="s">
        <v>2818</v>
      </c>
      <c r="Q11" s="3185" t="s">
        <v>2818</v>
      </c>
      <c r="R11" s="3185" t="s">
        <v>2818</v>
      </c>
      <c r="S11" s="3185" t="s">
        <v>2818</v>
      </c>
      <c r="T11" s="3185" t="s">
        <v>3137</v>
      </c>
      <c r="U11" s="3185" t="s">
        <v>3149</v>
      </c>
      <c r="V11" s="3185" t="s">
        <v>2818</v>
      </c>
      <c r="W11" s="3185" t="s">
        <v>3138</v>
      </c>
      <c r="X11" s="3185" t="s">
        <v>3139</v>
      </c>
      <c r="Y11" s="3185" t="s">
        <v>3140</v>
      </c>
      <c r="Z11" s="3185" t="s">
        <v>3150</v>
      </c>
      <c r="AA11" s="3185" t="s">
        <v>3150</v>
      </c>
      <c r="AB11" s="3185" t="s">
        <v>3148</v>
      </c>
      <c r="AC11" s="3185" t="s">
        <v>3079</v>
      </c>
      <c r="AD11" s="3185" t="s">
        <v>3151</v>
      </c>
      <c r="AE11" s="3185">
        <v>117000</v>
      </c>
      <c r="AF11" s="3185">
        <v>390000</v>
      </c>
      <c r="AG11" s="3185">
        <v>576000</v>
      </c>
      <c r="AH11" s="3185">
        <v>3086.36</v>
      </c>
      <c r="AI11" s="3185">
        <v>4558.32</v>
      </c>
      <c r="AJ11" s="3185">
        <v>21272.41</v>
      </c>
      <c r="AK11" s="3185">
        <v>31417.72</v>
      </c>
      <c r="AL11" s="3185" t="s">
        <v>2818</v>
      </c>
      <c r="AM11" s="3185" t="s">
        <v>2818</v>
      </c>
      <c r="AN11" s="3185">
        <v>47.69</v>
      </c>
      <c r="AO11" s="3185" t="s">
        <v>3081</v>
      </c>
      <c r="AP11" s="3185" t="s">
        <v>2818</v>
      </c>
      <c r="AQ11" s="3185">
        <v>100</v>
      </c>
      <c r="AR11" s="3185">
        <v>10</v>
      </c>
    </row>
    <row r="12" spans="1:44" s="3185" customFormat="1" ht="12">
      <c r="A12" s="3185" t="s">
        <v>3152</v>
      </c>
      <c r="B12" s="3185" t="s">
        <v>1947</v>
      </c>
      <c r="C12" s="3185" t="s">
        <v>3066</v>
      </c>
      <c r="D12" s="3185" t="s">
        <v>3067</v>
      </c>
      <c r="E12" s="3185" t="s">
        <v>2818</v>
      </c>
      <c r="F12" s="3185" t="s">
        <v>3135</v>
      </c>
      <c r="G12" s="3185" t="s">
        <v>3069</v>
      </c>
      <c r="H12" s="3185" t="s">
        <v>3153</v>
      </c>
      <c r="I12" s="3185" t="s">
        <v>2983</v>
      </c>
      <c r="J12" s="3185">
        <v>43356.75</v>
      </c>
      <c r="K12" s="3185">
        <v>91049</v>
      </c>
      <c r="L12" s="3185">
        <v>2.1</v>
      </c>
      <c r="M12" s="3185" t="s">
        <v>2818</v>
      </c>
      <c r="N12" s="3185" t="s">
        <v>2818</v>
      </c>
      <c r="O12" s="3185" t="s">
        <v>2818</v>
      </c>
      <c r="P12" s="3185" t="s">
        <v>3154</v>
      </c>
      <c r="Q12" s="3185">
        <v>36000</v>
      </c>
      <c r="R12" s="3185">
        <v>36000</v>
      </c>
      <c r="S12" s="3185" t="s">
        <v>3155</v>
      </c>
      <c r="T12" s="3185" t="s">
        <v>2818</v>
      </c>
      <c r="U12" s="3185" t="s">
        <v>2818</v>
      </c>
      <c r="V12" s="3185" t="s">
        <v>2818</v>
      </c>
      <c r="W12" s="3185" t="s">
        <v>3138</v>
      </c>
      <c r="X12" s="3185" t="s">
        <v>3139</v>
      </c>
      <c r="Y12" s="3185" t="s">
        <v>3156</v>
      </c>
      <c r="Z12" s="3185" t="s">
        <v>3140</v>
      </c>
      <c r="AA12" s="3185" t="s">
        <v>3140</v>
      </c>
      <c r="AB12" s="3185" t="s">
        <v>3153</v>
      </c>
      <c r="AC12" s="3185" t="s">
        <v>3079</v>
      </c>
      <c r="AD12" s="3185" t="s">
        <v>3157</v>
      </c>
      <c r="AE12" s="3185">
        <v>59700</v>
      </c>
      <c r="AF12" s="3185">
        <v>199000</v>
      </c>
      <c r="AG12" s="3185">
        <v>215000</v>
      </c>
      <c r="AH12" s="3185">
        <v>3059.88</v>
      </c>
      <c r="AI12" s="3185">
        <v>3305.91</v>
      </c>
      <c r="AJ12" s="3185">
        <v>21856.36</v>
      </c>
      <c r="AK12" s="3185">
        <v>23613.65</v>
      </c>
      <c r="AL12" s="3185">
        <v>36150</v>
      </c>
      <c r="AM12" s="3185">
        <v>39056</v>
      </c>
      <c r="AN12" s="3185">
        <v>8.0399999999999991</v>
      </c>
      <c r="AO12" s="3185" t="s">
        <v>3081</v>
      </c>
      <c r="AP12" s="3185" t="s">
        <v>2818</v>
      </c>
      <c r="AQ12" s="3185" t="s">
        <v>2818</v>
      </c>
      <c r="AR12" s="3185" t="s">
        <v>2818</v>
      </c>
    </row>
    <row r="13" spans="1:44" s="3185" customFormat="1" ht="12">
      <c r="A13" s="3185" t="s">
        <v>3158</v>
      </c>
      <c r="B13" s="3185" t="s">
        <v>1947</v>
      </c>
      <c r="C13" s="3185" t="s">
        <v>3090</v>
      </c>
      <c r="D13" s="3185" t="s">
        <v>3067</v>
      </c>
      <c r="E13" s="3185" t="s">
        <v>2818</v>
      </c>
      <c r="F13" s="3185" t="s">
        <v>3159</v>
      </c>
      <c r="G13" s="3185" t="s">
        <v>3069</v>
      </c>
      <c r="H13" s="3185" t="s">
        <v>3160</v>
      </c>
      <c r="I13" s="3185" t="s">
        <v>3111</v>
      </c>
      <c r="J13" s="3185">
        <v>65219.27</v>
      </c>
      <c r="K13" s="3185">
        <v>208702</v>
      </c>
      <c r="L13" s="3185">
        <v>3.2</v>
      </c>
      <c r="M13" s="3185" t="s">
        <v>2818</v>
      </c>
      <c r="N13" s="3185" t="s">
        <v>2818</v>
      </c>
      <c r="O13" s="3185" t="s">
        <v>2818</v>
      </c>
      <c r="P13" s="3185" t="s">
        <v>3154</v>
      </c>
      <c r="Q13" s="3185">
        <v>7500</v>
      </c>
      <c r="R13" s="3185">
        <v>7500</v>
      </c>
      <c r="S13" s="3185" t="s">
        <v>3161</v>
      </c>
      <c r="T13" s="3185" t="s">
        <v>2818</v>
      </c>
      <c r="U13" s="3185" t="s">
        <v>2818</v>
      </c>
      <c r="V13" s="3185" t="s">
        <v>2818</v>
      </c>
      <c r="W13" s="3185" t="s">
        <v>3162</v>
      </c>
      <c r="X13" s="3185" t="s">
        <v>3163</v>
      </c>
      <c r="Y13" s="3185" t="s">
        <v>3164</v>
      </c>
      <c r="Z13" s="3185" t="s">
        <v>3165</v>
      </c>
      <c r="AA13" s="3185" t="s">
        <v>3165</v>
      </c>
      <c r="AB13" s="3185" t="s">
        <v>3160</v>
      </c>
      <c r="AC13" s="3185" t="s">
        <v>3079</v>
      </c>
      <c r="AD13" s="3185" t="s">
        <v>3166</v>
      </c>
      <c r="AE13" s="3185">
        <v>114000</v>
      </c>
      <c r="AF13" s="3185">
        <v>378700</v>
      </c>
      <c r="AG13" s="3185">
        <v>564000</v>
      </c>
      <c r="AH13" s="3185">
        <v>3871.04</v>
      </c>
      <c r="AI13" s="3185">
        <v>5765.17</v>
      </c>
      <c r="AJ13" s="3185">
        <v>18145.490000000002</v>
      </c>
      <c r="AK13" s="3185">
        <v>27024.18</v>
      </c>
      <c r="AL13" s="3185">
        <v>18822</v>
      </c>
      <c r="AM13" s="3185">
        <v>28032</v>
      </c>
      <c r="AN13" s="3185">
        <v>48.93</v>
      </c>
      <c r="AO13" s="3185" t="s">
        <v>3167</v>
      </c>
      <c r="AP13" s="3185" t="s">
        <v>2818</v>
      </c>
      <c r="AQ13" s="3185" t="s">
        <v>2818</v>
      </c>
      <c r="AR13" s="3185" t="s">
        <v>2818</v>
      </c>
    </row>
    <row r="14" spans="1:44" s="3219" customFormat="1" ht="12">
      <c r="A14" s="3219" t="s">
        <v>3216</v>
      </c>
      <c r="B14" s="3219" t="s">
        <v>1947</v>
      </c>
      <c r="C14" s="3219" t="s">
        <v>3090</v>
      </c>
      <c r="D14" s="3219" t="s">
        <v>3217</v>
      </c>
      <c r="E14" s="3219" t="s">
        <v>2818</v>
      </c>
      <c r="F14" s="3219" t="s">
        <v>3218</v>
      </c>
      <c r="G14" s="3219" t="s">
        <v>3069</v>
      </c>
      <c r="H14" s="3219" t="s">
        <v>3219</v>
      </c>
      <c r="I14" s="3219" t="s">
        <v>3220</v>
      </c>
      <c r="J14" s="3219">
        <v>55477.35</v>
      </c>
      <c r="K14" s="3219">
        <v>87924</v>
      </c>
      <c r="L14" s="3219">
        <v>1.58</v>
      </c>
      <c r="M14" s="3219" t="s">
        <v>2818</v>
      </c>
      <c r="N14" s="3219" t="s">
        <v>3071</v>
      </c>
      <c r="O14" s="3219">
        <v>18</v>
      </c>
      <c r="P14" s="3219" t="s">
        <v>2818</v>
      </c>
      <c r="Q14" s="3219" t="s">
        <v>2818</v>
      </c>
      <c r="R14" s="3219" t="s">
        <v>2818</v>
      </c>
      <c r="S14" s="3219" t="s">
        <v>3221</v>
      </c>
      <c r="T14" s="3219" t="s">
        <v>3103</v>
      </c>
      <c r="U14" s="3219" t="s">
        <v>3103</v>
      </c>
      <c r="V14" s="3219" t="s">
        <v>2818</v>
      </c>
      <c r="W14" s="3219" t="s">
        <v>3075</v>
      </c>
      <c r="X14" s="3219" t="s">
        <v>3222</v>
      </c>
      <c r="Y14" s="3219" t="s">
        <v>3223</v>
      </c>
      <c r="Z14" s="3219" t="s">
        <v>3224</v>
      </c>
      <c r="AA14" s="3219" t="s">
        <v>3224</v>
      </c>
      <c r="AB14" s="3219" t="s">
        <v>3219</v>
      </c>
      <c r="AC14" s="3219" t="s">
        <v>3079</v>
      </c>
      <c r="AD14" s="3219" t="s">
        <v>3225</v>
      </c>
      <c r="AE14" s="3219">
        <v>45000</v>
      </c>
      <c r="AF14" s="3219">
        <v>150000</v>
      </c>
      <c r="AG14" s="3219">
        <v>168000</v>
      </c>
      <c r="AH14" s="3219">
        <v>1802.54</v>
      </c>
      <c r="AI14" s="3219">
        <v>2018.84</v>
      </c>
      <c r="AJ14" s="3219">
        <v>17060.18</v>
      </c>
      <c r="AK14" s="3219">
        <v>19107.400000000001</v>
      </c>
      <c r="AL14" s="3219" t="s">
        <v>2818</v>
      </c>
      <c r="AM14" s="3219" t="s">
        <v>2818</v>
      </c>
      <c r="AN14" s="3219">
        <v>12</v>
      </c>
      <c r="AO14" s="3219" t="s">
        <v>3081</v>
      </c>
      <c r="AP14" s="3219" t="s">
        <v>2818</v>
      </c>
      <c r="AQ14" s="3219" t="s">
        <v>2818</v>
      </c>
      <c r="AR14" s="3219" t="s">
        <v>2818</v>
      </c>
    </row>
    <row r="15" spans="1:44" s="3185" customFormat="1" ht="12">
      <c r="A15" s="3185" t="s">
        <v>3226</v>
      </c>
      <c r="B15" s="3185" t="s">
        <v>1947</v>
      </c>
      <c r="C15" s="3185" t="s">
        <v>3066</v>
      </c>
      <c r="D15" s="3185" t="s">
        <v>3217</v>
      </c>
      <c r="E15" s="3185" t="s">
        <v>2818</v>
      </c>
      <c r="F15" s="3185" t="s">
        <v>3226</v>
      </c>
      <c r="G15" s="3185" t="s">
        <v>3069</v>
      </c>
      <c r="H15" s="3185" t="s">
        <v>3227</v>
      </c>
      <c r="I15" s="3185" t="s">
        <v>2983</v>
      </c>
      <c r="J15" s="3185">
        <v>53525.81</v>
      </c>
      <c r="K15" s="3185">
        <v>58878</v>
      </c>
      <c r="L15" s="3185">
        <v>1.1000000000000001</v>
      </c>
      <c r="M15" s="3185" t="s">
        <v>2818</v>
      </c>
      <c r="N15" s="3185" t="s">
        <v>3071</v>
      </c>
      <c r="O15" s="3185" t="s">
        <v>3228</v>
      </c>
      <c r="P15" s="3185" t="s">
        <v>2818</v>
      </c>
      <c r="Q15" s="3185" t="s">
        <v>2818</v>
      </c>
      <c r="R15" s="3185" t="s">
        <v>2818</v>
      </c>
      <c r="S15" s="3185" t="s">
        <v>2818</v>
      </c>
      <c r="T15" s="3185" t="s">
        <v>3137</v>
      </c>
      <c r="U15" s="3185" t="s">
        <v>3229</v>
      </c>
      <c r="V15" s="3185" t="s">
        <v>2818</v>
      </c>
      <c r="W15" s="3185" t="s">
        <v>3075</v>
      </c>
      <c r="X15" s="3185" t="s">
        <v>3230</v>
      </c>
      <c r="Y15" s="3185" t="s">
        <v>3231</v>
      </c>
      <c r="Z15" s="3185" t="s">
        <v>3232</v>
      </c>
      <c r="AA15" s="3185" t="s">
        <v>3232</v>
      </c>
      <c r="AB15" s="3185" t="s">
        <v>3227</v>
      </c>
      <c r="AC15" s="3185" t="s">
        <v>3079</v>
      </c>
      <c r="AD15" s="3185" t="s">
        <v>3233</v>
      </c>
      <c r="AE15" s="3185">
        <v>100000</v>
      </c>
      <c r="AF15" s="3185">
        <v>333100</v>
      </c>
      <c r="AG15" s="3185">
        <v>336500</v>
      </c>
      <c r="AH15" s="3185">
        <v>4148.78</v>
      </c>
      <c r="AI15" s="3185">
        <v>4191.12</v>
      </c>
      <c r="AJ15" s="3185">
        <v>56574.61</v>
      </c>
      <c r="AK15" s="3185">
        <v>57152.08</v>
      </c>
      <c r="AL15" s="3185" t="s">
        <v>2818</v>
      </c>
      <c r="AM15" s="3185" t="s">
        <v>2818</v>
      </c>
      <c r="AN15" s="3185">
        <v>1.02</v>
      </c>
      <c r="AO15" s="3185" t="s">
        <v>3081</v>
      </c>
      <c r="AP15" s="3185" t="s">
        <v>2818</v>
      </c>
      <c r="AQ15" s="3185" t="s">
        <v>2818</v>
      </c>
      <c r="AR15" s="3185" t="s">
        <v>2818</v>
      </c>
    </row>
    <row r="16" spans="1:44" s="3185" customFormat="1" ht="12">
      <c r="A16" s="3185" t="s">
        <v>3234</v>
      </c>
      <c r="B16" s="3185" t="s">
        <v>1947</v>
      </c>
      <c r="C16" s="3185" t="s">
        <v>3066</v>
      </c>
      <c r="D16" s="3185" t="s">
        <v>3217</v>
      </c>
      <c r="E16" s="3185" t="s">
        <v>2818</v>
      </c>
      <c r="F16" s="3185" t="s">
        <v>3235</v>
      </c>
      <c r="G16" s="3185" t="s">
        <v>3069</v>
      </c>
      <c r="H16" s="3185" t="s">
        <v>3236</v>
      </c>
      <c r="I16" s="3185" t="s">
        <v>2983</v>
      </c>
      <c r="J16" s="3185">
        <v>90394.02</v>
      </c>
      <c r="K16" s="3185">
        <v>99433</v>
      </c>
      <c r="L16" s="3185">
        <v>1.1000000000000001</v>
      </c>
      <c r="M16" s="3185" t="s">
        <v>2818</v>
      </c>
      <c r="N16" s="3185" t="s">
        <v>3071</v>
      </c>
      <c r="O16" s="3185" t="s">
        <v>3237</v>
      </c>
      <c r="P16" s="3185" t="s">
        <v>2818</v>
      </c>
      <c r="Q16" s="3185" t="s">
        <v>2818</v>
      </c>
      <c r="R16" s="3185" t="s">
        <v>2818</v>
      </c>
      <c r="S16" s="3185" t="s">
        <v>2818</v>
      </c>
      <c r="T16" s="3185" t="s">
        <v>3137</v>
      </c>
      <c r="U16" s="3185" t="s">
        <v>3229</v>
      </c>
      <c r="V16" s="3185" t="s">
        <v>2818</v>
      </c>
      <c r="W16" s="3185" t="s">
        <v>3075</v>
      </c>
      <c r="X16" s="3185" t="s">
        <v>3238</v>
      </c>
      <c r="Y16" s="3185" t="s">
        <v>3239</v>
      </c>
      <c r="Z16" s="3185" t="s">
        <v>3240</v>
      </c>
      <c r="AA16" s="3185" t="s">
        <v>3240</v>
      </c>
      <c r="AB16" s="3185" t="s">
        <v>3236</v>
      </c>
      <c r="AC16" s="3185" t="s">
        <v>3079</v>
      </c>
      <c r="AD16" s="3185" t="s">
        <v>3241</v>
      </c>
      <c r="AE16" s="3185">
        <v>170000</v>
      </c>
      <c r="AF16" s="3185">
        <v>557900</v>
      </c>
      <c r="AG16" s="3185">
        <v>610000</v>
      </c>
      <c r="AH16" s="3185">
        <v>4114.58</v>
      </c>
      <c r="AI16" s="3185">
        <v>4498.82</v>
      </c>
      <c r="AJ16" s="3185">
        <v>56108.13</v>
      </c>
      <c r="AK16" s="3185">
        <v>61347.83</v>
      </c>
      <c r="AL16" s="3185" t="s">
        <v>2818</v>
      </c>
      <c r="AM16" s="3185" t="s">
        <v>2818</v>
      </c>
      <c r="AN16" s="3185">
        <v>9.34</v>
      </c>
      <c r="AO16" s="3185" t="s">
        <v>3081</v>
      </c>
      <c r="AP16" s="3185" t="s">
        <v>2818</v>
      </c>
      <c r="AQ16" s="3185" t="s">
        <v>2818</v>
      </c>
      <c r="AR16" s="3185" t="s">
        <v>2818</v>
      </c>
    </row>
    <row r="17" spans="1:44" s="3218" customFormat="1" ht="12">
      <c r="A17" s="3218" t="s">
        <v>3242</v>
      </c>
      <c r="B17" s="3218" t="s">
        <v>1947</v>
      </c>
      <c r="C17" s="3218" t="s">
        <v>3066</v>
      </c>
      <c r="D17" s="3218" t="s">
        <v>3217</v>
      </c>
      <c r="E17" s="3218" t="s">
        <v>2818</v>
      </c>
      <c r="F17" s="3218" t="s">
        <v>3218</v>
      </c>
      <c r="G17" s="3218" t="s">
        <v>3069</v>
      </c>
      <c r="H17" s="3218" t="s">
        <v>3243</v>
      </c>
      <c r="I17" s="3218" t="s">
        <v>2983</v>
      </c>
      <c r="J17" s="3218">
        <v>35847.35</v>
      </c>
      <c r="K17" s="3218">
        <v>75279</v>
      </c>
      <c r="L17" s="3218">
        <v>2.1</v>
      </c>
      <c r="M17" s="3218" t="s">
        <v>2818</v>
      </c>
      <c r="N17" s="3218" t="s">
        <v>3071</v>
      </c>
      <c r="O17" s="3218" t="s">
        <v>3244</v>
      </c>
      <c r="P17" s="3218" t="s">
        <v>2818</v>
      </c>
      <c r="Q17" s="3218" t="s">
        <v>2818</v>
      </c>
      <c r="R17" s="3218" t="s">
        <v>2818</v>
      </c>
      <c r="S17" s="3218" t="s">
        <v>3221</v>
      </c>
      <c r="T17" s="3218" t="s">
        <v>3103</v>
      </c>
      <c r="U17" s="3218" t="s">
        <v>3103</v>
      </c>
      <c r="V17" s="3218" t="s">
        <v>2818</v>
      </c>
      <c r="W17" s="3218" t="s">
        <v>3075</v>
      </c>
      <c r="X17" s="3218" t="s">
        <v>3245</v>
      </c>
      <c r="Y17" s="3218" t="s">
        <v>3238</v>
      </c>
      <c r="Z17" s="3218" t="s">
        <v>3230</v>
      </c>
      <c r="AA17" s="3218" t="s">
        <v>3230</v>
      </c>
      <c r="AB17" s="3218" t="s">
        <v>3243</v>
      </c>
      <c r="AC17" s="3218" t="s">
        <v>3079</v>
      </c>
      <c r="AD17" s="3218" t="s">
        <v>3246</v>
      </c>
      <c r="AE17" s="3218">
        <v>51000</v>
      </c>
      <c r="AF17" s="3218">
        <v>170000</v>
      </c>
      <c r="AG17" s="3218">
        <v>186000</v>
      </c>
      <c r="AH17" s="3218">
        <v>3161.55</v>
      </c>
      <c r="AI17" s="3218">
        <v>3459.11</v>
      </c>
      <c r="AJ17" s="3218">
        <v>22582.65</v>
      </c>
      <c r="AK17" s="3218">
        <v>24708.09</v>
      </c>
      <c r="AL17" s="3218" t="s">
        <v>2818</v>
      </c>
      <c r="AM17" s="3218" t="s">
        <v>2818</v>
      </c>
      <c r="AN17" s="3218">
        <v>9.41</v>
      </c>
      <c r="AO17" s="3218" t="s">
        <v>3081</v>
      </c>
      <c r="AP17" s="3218" t="s">
        <v>2818</v>
      </c>
      <c r="AQ17" s="3218" t="s">
        <v>2818</v>
      </c>
      <c r="AR17" s="3218" t="s">
        <v>2818</v>
      </c>
    </row>
    <row r="18" spans="1:44" s="3218" customFormat="1" ht="12">
      <c r="A18" s="3218" t="s">
        <v>3247</v>
      </c>
      <c r="B18" s="3218" t="s">
        <v>1947</v>
      </c>
      <c r="C18" s="3218" t="s">
        <v>3066</v>
      </c>
      <c r="D18" s="3218" t="s">
        <v>3217</v>
      </c>
      <c r="E18" s="3218" t="s">
        <v>2818</v>
      </c>
      <c r="F18" s="3218" t="s">
        <v>3248</v>
      </c>
      <c r="G18" s="3218" t="s">
        <v>3069</v>
      </c>
      <c r="H18" s="3218" t="s">
        <v>3249</v>
      </c>
      <c r="I18" s="3218" t="s">
        <v>2983</v>
      </c>
      <c r="J18" s="3218">
        <v>77973.48</v>
      </c>
      <c r="K18" s="3218">
        <v>194934</v>
      </c>
      <c r="L18" s="3218">
        <v>2.5</v>
      </c>
      <c r="M18" s="3218" t="s">
        <v>2818</v>
      </c>
      <c r="N18" s="3218" t="s">
        <v>3071</v>
      </c>
      <c r="O18" s="3218" t="s">
        <v>3112</v>
      </c>
      <c r="P18" s="3218" t="s">
        <v>2818</v>
      </c>
      <c r="Q18" s="3218" t="s">
        <v>2818</v>
      </c>
      <c r="R18" s="3218" t="s">
        <v>2818</v>
      </c>
      <c r="S18" s="3218" t="s">
        <v>3250</v>
      </c>
      <c r="T18" s="3218" t="s">
        <v>3103</v>
      </c>
      <c r="U18" s="3218" t="s">
        <v>3103</v>
      </c>
      <c r="V18" s="3218" t="s">
        <v>2818</v>
      </c>
      <c r="W18" s="3218" t="s">
        <v>3075</v>
      </c>
      <c r="X18" s="3218" t="s">
        <v>3104</v>
      </c>
      <c r="Y18" s="3218" t="s">
        <v>3105</v>
      </c>
      <c r="Z18" s="3218" t="s">
        <v>3106</v>
      </c>
      <c r="AA18" s="3218" t="s">
        <v>3106</v>
      </c>
      <c r="AB18" s="3218" t="s">
        <v>3249</v>
      </c>
      <c r="AC18" s="3218" t="s">
        <v>3079</v>
      </c>
      <c r="AD18" s="3218" t="s">
        <v>3251</v>
      </c>
      <c r="AE18" s="3218">
        <v>150000</v>
      </c>
      <c r="AF18" s="3218">
        <v>498000</v>
      </c>
      <c r="AG18" s="3218">
        <v>498000</v>
      </c>
      <c r="AH18" s="3218">
        <v>4257.8599999999997</v>
      </c>
      <c r="AI18" s="3218">
        <v>4257.8599999999997</v>
      </c>
      <c r="AJ18" s="3218">
        <v>25547.1</v>
      </c>
      <c r="AK18" s="3218">
        <v>25547.11</v>
      </c>
      <c r="AL18" s="3218" t="s">
        <v>2818</v>
      </c>
      <c r="AM18" s="3218" t="s">
        <v>2818</v>
      </c>
      <c r="AN18" s="3218">
        <v>0</v>
      </c>
      <c r="AO18" s="3218" t="s">
        <v>3081</v>
      </c>
      <c r="AP18" s="3218" t="s">
        <v>2818</v>
      </c>
      <c r="AQ18" s="3218" t="s">
        <v>2818</v>
      </c>
      <c r="AR18" s="3218" t="s">
        <v>2818</v>
      </c>
    </row>
    <row r="19" spans="1:44" s="3185" customFormat="1" ht="12">
      <c r="A19" s="3185" t="s">
        <v>3252</v>
      </c>
      <c r="B19" s="3185" t="s">
        <v>1947</v>
      </c>
      <c r="C19" s="3185" t="s">
        <v>3090</v>
      </c>
      <c r="D19" s="3185" t="s">
        <v>3217</v>
      </c>
      <c r="E19" s="3185" t="s">
        <v>2818</v>
      </c>
      <c r="F19" s="3185" t="s">
        <v>3235</v>
      </c>
      <c r="G19" s="3185" t="s">
        <v>3069</v>
      </c>
      <c r="H19" s="3185" t="s">
        <v>3253</v>
      </c>
      <c r="I19" s="3185" t="s">
        <v>3327</v>
      </c>
      <c r="J19" s="3185">
        <v>99921.81</v>
      </c>
      <c r="K19" s="3185">
        <v>109014</v>
      </c>
      <c r="L19" s="3185">
        <v>1.1000000000000001</v>
      </c>
      <c r="M19" s="3185" t="s">
        <v>2818</v>
      </c>
      <c r="N19" s="3185" t="s">
        <v>3071</v>
      </c>
      <c r="O19" s="3185" t="s">
        <v>3237</v>
      </c>
      <c r="P19" s="3185" t="s">
        <v>2818</v>
      </c>
      <c r="Q19" s="3185" t="s">
        <v>2818</v>
      </c>
      <c r="R19" s="3185" t="s">
        <v>2818</v>
      </c>
      <c r="S19" s="3185" t="s">
        <v>2818</v>
      </c>
      <c r="T19" s="3185" t="s">
        <v>3073</v>
      </c>
      <c r="U19" s="3185" t="s">
        <v>3113</v>
      </c>
      <c r="V19" s="3185" t="s">
        <v>2818</v>
      </c>
      <c r="W19" s="3185" t="s">
        <v>3138</v>
      </c>
      <c r="X19" s="3185" t="s">
        <v>3254</v>
      </c>
      <c r="Y19" s="3185" t="s">
        <v>3255</v>
      </c>
      <c r="Z19" s="3185" t="s">
        <v>3256</v>
      </c>
      <c r="AA19" s="3185" t="s">
        <v>3256</v>
      </c>
      <c r="AB19" s="3185" t="s">
        <v>3253</v>
      </c>
      <c r="AC19" s="3185" t="s">
        <v>3079</v>
      </c>
      <c r="AD19" s="3185" t="s">
        <v>3257</v>
      </c>
      <c r="AE19" s="3185">
        <v>120000</v>
      </c>
      <c r="AF19" s="3185">
        <v>400000</v>
      </c>
      <c r="AG19" s="3185">
        <v>596000</v>
      </c>
      <c r="AH19" s="3185">
        <v>2668.75</v>
      </c>
      <c r="AI19" s="3185">
        <v>3976.44</v>
      </c>
      <c r="AJ19" s="3185">
        <v>36692.53</v>
      </c>
      <c r="AK19" s="3185">
        <v>54671.87</v>
      </c>
      <c r="AL19" s="3185" t="s">
        <v>2818</v>
      </c>
      <c r="AM19" s="3185" t="s">
        <v>2818</v>
      </c>
      <c r="AN19" s="3185">
        <v>49</v>
      </c>
      <c r="AO19" s="3185" t="s">
        <v>3081</v>
      </c>
      <c r="AP19" s="3185" t="s">
        <v>2818</v>
      </c>
      <c r="AQ19" s="3185">
        <v>36</v>
      </c>
      <c r="AR19" s="3185" t="s">
        <v>2818</v>
      </c>
    </row>
    <row r="20" spans="1:44" s="3185" customFormat="1" ht="12">
      <c r="A20" s="3185" t="s">
        <v>3258</v>
      </c>
      <c r="B20" s="3185" t="s">
        <v>1947</v>
      </c>
      <c r="C20" s="3185" t="s">
        <v>3066</v>
      </c>
      <c r="D20" s="3185" t="s">
        <v>3217</v>
      </c>
      <c r="E20" s="3185" t="s">
        <v>2818</v>
      </c>
      <c r="F20" s="3185" t="s">
        <v>3259</v>
      </c>
      <c r="G20" s="3185" t="s">
        <v>3069</v>
      </c>
      <c r="H20" s="3185" t="s">
        <v>3260</v>
      </c>
      <c r="I20" s="3185" t="s">
        <v>3111</v>
      </c>
      <c r="J20" s="3185">
        <v>59511.18</v>
      </c>
      <c r="K20" s="3185">
        <v>89267</v>
      </c>
      <c r="L20" s="3185">
        <v>1.5</v>
      </c>
      <c r="M20" s="3185" t="s">
        <v>2818</v>
      </c>
      <c r="N20" s="3185" t="s">
        <v>2818</v>
      </c>
      <c r="O20" s="3185" t="s">
        <v>2818</v>
      </c>
      <c r="P20" s="3185" t="s">
        <v>2818</v>
      </c>
      <c r="Q20" s="3185" t="s">
        <v>2818</v>
      </c>
      <c r="R20" s="3185" t="s">
        <v>2818</v>
      </c>
      <c r="S20" s="3185" t="s">
        <v>2818</v>
      </c>
      <c r="T20" s="3185" t="s">
        <v>3073</v>
      </c>
      <c r="U20" s="3185" t="s">
        <v>3229</v>
      </c>
      <c r="V20" s="3185" t="s">
        <v>2818</v>
      </c>
      <c r="W20" s="3185" t="s">
        <v>3138</v>
      </c>
      <c r="X20" s="3185" t="s">
        <v>3261</v>
      </c>
      <c r="Y20" s="3185" t="s">
        <v>3262</v>
      </c>
      <c r="Z20" s="3185" t="s">
        <v>3263</v>
      </c>
      <c r="AA20" s="3185" t="s">
        <v>3263</v>
      </c>
      <c r="AB20" s="3185" t="s">
        <v>3260</v>
      </c>
      <c r="AC20" s="3185" t="s">
        <v>3079</v>
      </c>
      <c r="AD20" s="3185" t="s">
        <v>3264</v>
      </c>
      <c r="AE20" s="3185">
        <v>110000</v>
      </c>
      <c r="AF20" s="3185">
        <v>349000</v>
      </c>
      <c r="AG20" s="3185">
        <v>457500</v>
      </c>
      <c r="AH20" s="3185">
        <v>3909.63</v>
      </c>
      <c r="AI20" s="3185">
        <v>5125.09</v>
      </c>
      <c r="AJ20" s="3185">
        <v>39096.19</v>
      </c>
      <c r="AK20" s="3185">
        <v>51250.73</v>
      </c>
      <c r="AL20" s="3185" t="s">
        <v>2818</v>
      </c>
      <c r="AM20" s="3185" t="s">
        <v>2818</v>
      </c>
      <c r="AN20" s="3185">
        <v>31.09</v>
      </c>
      <c r="AO20" s="3185" t="s">
        <v>3265</v>
      </c>
      <c r="AP20" s="3185" t="s">
        <v>2818</v>
      </c>
      <c r="AQ20" s="3185" t="s">
        <v>2818</v>
      </c>
      <c r="AR20" s="3185" t="s">
        <v>2818</v>
      </c>
    </row>
    <row r="21" spans="1:44" s="3218" customFormat="1" ht="12">
      <c r="A21" s="3218" t="s">
        <v>3381</v>
      </c>
      <c r="B21" s="3218" t="s">
        <v>1947</v>
      </c>
      <c r="C21" s="3218" t="s">
        <v>3066</v>
      </c>
      <c r="D21" s="3218" t="s">
        <v>3217</v>
      </c>
      <c r="E21" s="3218" t="s">
        <v>2818</v>
      </c>
      <c r="F21" s="3218" t="s">
        <v>3266</v>
      </c>
      <c r="G21" s="3218" t="s">
        <v>3069</v>
      </c>
      <c r="H21" s="3218" t="s">
        <v>3267</v>
      </c>
      <c r="I21" s="3218" t="s">
        <v>3325</v>
      </c>
      <c r="J21" s="3218">
        <v>60374.36</v>
      </c>
      <c r="K21" s="3218">
        <v>102636</v>
      </c>
      <c r="L21" s="3218">
        <v>1.7</v>
      </c>
      <c r="M21" s="3218" t="s">
        <v>2818</v>
      </c>
      <c r="N21" s="3218" t="s">
        <v>2818</v>
      </c>
      <c r="O21" s="3218" t="s">
        <v>2818</v>
      </c>
      <c r="P21" s="3218" t="s">
        <v>2818</v>
      </c>
      <c r="Q21" s="3218" t="s">
        <v>2818</v>
      </c>
      <c r="R21" s="3218" t="s">
        <v>2818</v>
      </c>
      <c r="S21" s="3218" t="s">
        <v>3268</v>
      </c>
      <c r="T21" s="3218" t="s">
        <v>3103</v>
      </c>
      <c r="U21" s="3218" t="s">
        <v>3103</v>
      </c>
      <c r="V21" s="3218" t="s">
        <v>2818</v>
      </c>
      <c r="W21" s="3218" t="s">
        <v>3138</v>
      </c>
      <c r="X21" s="3218" t="s">
        <v>3269</v>
      </c>
      <c r="Y21" s="3218" t="s">
        <v>3270</v>
      </c>
      <c r="Z21" s="3218" t="s">
        <v>3271</v>
      </c>
      <c r="AA21" s="3218" t="s">
        <v>3271</v>
      </c>
      <c r="AB21" s="3218" t="s">
        <v>3267</v>
      </c>
      <c r="AC21" s="3218" t="s">
        <v>3079</v>
      </c>
      <c r="AD21" s="3218" t="s">
        <v>3272</v>
      </c>
      <c r="AE21" s="3218">
        <v>63000</v>
      </c>
      <c r="AF21" s="3218">
        <v>210000</v>
      </c>
      <c r="AG21" s="3218">
        <v>326000</v>
      </c>
      <c r="AH21" s="3218">
        <v>2318.87</v>
      </c>
      <c r="AI21" s="3218">
        <v>3599.76</v>
      </c>
      <c r="AJ21" s="3218">
        <v>20460.650000000001</v>
      </c>
      <c r="AK21" s="3218">
        <v>31762.720000000001</v>
      </c>
      <c r="AL21" s="3218" t="s">
        <v>2818</v>
      </c>
      <c r="AM21" s="3218" t="s">
        <v>2818</v>
      </c>
      <c r="AN21" s="3218">
        <v>55.24</v>
      </c>
      <c r="AO21" s="3218" t="s">
        <v>3265</v>
      </c>
      <c r="AP21" s="3218" t="s">
        <v>2818</v>
      </c>
      <c r="AQ21" s="3218" t="s">
        <v>2818</v>
      </c>
      <c r="AR21" s="3218" t="s">
        <v>2818</v>
      </c>
    </row>
    <row r="22" spans="1:44" s="3185" customFormat="1" ht="12">
      <c r="A22" s="3185" t="s">
        <v>3273</v>
      </c>
      <c r="B22" s="3185" t="s">
        <v>1947</v>
      </c>
      <c r="C22" s="3185" t="s">
        <v>3090</v>
      </c>
      <c r="D22" s="3185" t="s">
        <v>3217</v>
      </c>
      <c r="E22" s="3185" t="s">
        <v>2818</v>
      </c>
      <c r="F22" s="3185" t="s">
        <v>3274</v>
      </c>
      <c r="G22" s="3185" t="s">
        <v>3069</v>
      </c>
      <c r="H22" s="3185" t="s">
        <v>3275</v>
      </c>
      <c r="I22" s="3185" t="s">
        <v>3276</v>
      </c>
      <c r="J22" s="3185">
        <v>74677.14</v>
      </c>
      <c r="K22" s="3185">
        <v>237938</v>
      </c>
      <c r="L22" s="3185">
        <v>3.19</v>
      </c>
      <c r="M22" s="3185" t="s">
        <v>2818</v>
      </c>
      <c r="N22" s="3185" t="s">
        <v>2818</v>
      </c>
      <c r="O22" s="3185" t="s">
        <v>2818</v>
      </c>
      <c r="P22" s="3185" t="s">
        <v>2818</v>
      </c>
      <c r="Q22" s="3185" t="s">
        <v>2818</v>
      </c>
      <c r="R22" s="3185" t="s">
        <v>2818</v>
      </c>
      <c r="S22" s="3185" t="s">
        <v>2818</v>
      </c>
      <c r="T22" s="3185" t="s">
        <v>2818</v>
      </c>
      <c r="U22" s="3185" t="s">
        <v>2818</v>
      </c>
      <c r="V22" s="3185" t="s">
        <v>2818</v>
      </c>
      <c r="W22" s="3185" t="s">
        <v>3138</v>
      </c>
      <c r="X22" s="3185" t="s">
        <v>3277</v>
      </c>
      <c r="Y22" s="3185" t="s">
        <v>3278</v>
      </c>
      <c r="Z22" s="3185" t="s">
        <v>3279</v>
      </c>
      <c r="AA22" s="3185" t="s">
        <v>3279</v>
      </c>
      <c r="AB22" s="3185" t="s">
        <v>3275</v>
      </c>
      <c r="AC22" s="3185" t="s">
        <v>3079</v>
      </c>
      <c r="AD22" s="3185" t="s">
        <v>3280</v>
      </c>
      <c r="AE22" s="3185">
        <v>185000</v>
      </c>
      <c r="AF22" s="3185">
        <v>615200</v>
      </c>
      <c r="AG22" s="3185">
        <v>615200</v>
      </c>
      <c r="AH22" s="3185">
        <v>5492.09</v>
      </c>
      <c r="AI22" s="3185">
        <v>5492.09</v>
      </c>
      <c r="AJ22" s="3185">
        <v>25855.47</v>
      </c>
      <c r="AK22" s="3185">
        <v>25855.47</v>
      </c>
      <c r="AL22" s="3185" t="s">
        <v>2818</v>
      </c>
      <c r="AM22" s="3185" t="s">
        <v>2818</v>
      </c>
      <c r="AN22" s="3185">
        <v>0</v>
      </c>
      <c r="AO22" s="3185" t="s">
        <v>3081</v>
      </c>
      <c r="AP22" s="3185" t="s">
        <v>2818</v>
      </c>
      <c r="AQ22" s="3185" t="s">
        <v>2818</v>
      </c>
      <c r="AR22" s="3185" t="s">
        <v>2818</v>
      </c>
    </row>
    <row r="23" spans="1:44" s="3185" customFormat="1" ht="12">
      <c r="A23" s="3185" t="s">
        <v>3281</v>
      </c>
      <c r="B23" s="3185" t="s">
        <v>1947</v>
      </c>
      <c r="C23" s="3185" t="s">
        <v>3090</v>
      </c>
      <c r="D23" s="3185" t="s">
        <v>3217</v>
      </c>
      <c r="E23" s="3185" t="s">
        <v>2818</v>
      </c>
      <c r="F23" s="3185" t="s">
        <v>3282</v>
      </c>
      <c r="G23" s="3185" t="s">
        <v>3069</v>
      </c>
      <c r="H23" s="3185" t="s">
        <v>3283</v>
      </c>
      <c r="I23" s="3185" t="s">
        <v>3284</v>
      </c>
      <c r="J23" s="3185">
        <v>56169.07</v>
      </c>
      <c r="K23" s="3185">
        <v>123983</v>
      </c>
      <c r="L23" s="3185">
        <v>2.21</v>
      </c>
      <c r="M23" s="3185" t="s">
        <v>2818</v>
      </c>
      <c r="N23" s="3185" t="s">
        <v>2818</v>
      </c>
      <c r="O23" s="3185" t="s">
        <v>2818</v>
      </c>
      <c r="P23" s="3185" t="s">
        <v>3154</v>
      </c>
      <c r="Q23" s="3185">
        <v>21100</v>
      </c>
      <c r="R23" s="3185">
        <v>21100</v>
      </c>
      <c r="S23" s="3185" t="s">
        <v>2818</v>
      </c>
      <c r="T23" s="3185" t="s">
        <v>2818</v>
      </c>
      <c r="U23" s="3185" t="s">
        <v>2818</v>
      </c>
      <c r="V23" s="3185" t="s">
        <v>2818</v>
      </c>
      <c r="W23" s="3185" t="s">
        <v>3138</v>
      </c>
      <c r="X23" s="3185" t="s">
        <v>3285</v>
      </c>
      <c r="Y23" s="3185" t="s">
        <v>3286</v>
      </c>
      <c r="Z23" s="3185" t="s">
        <v>3287</v>
      </c>
      <c r="AA23" s="3185" t="s">
        <v>3287</v>
      </c>
      <c r="AB23" s="3185" t="s">
        <v>3283</v>
      </c>
      <c r="AC23" s="3185" t="s">
        <v>3079</v>
      </c>
      <c r="AD23" s="3185" t="s">
        <v>3288</v>
      </c>
      <c r="AE23" s="3185">
        <v>151000</v>
      </c>
      <c r="AF23" s="3185">
        <v>503500</v>
      </c>
      <c r="AG23" s="3185">
        <v>513500</v>
      </c>
      <c r="AH23" s="3185">
        <v>5976.01</v>
      </c>
      <c r="AI23" s="3185">
        <v>6094.69</v>
      </c>
      <c r="AJ23" s="3185">
        <v>40610.400000000001</v>
      </c>
      <c r="AK23" s="3185">
        <v>41416.97</v>
      </c>
      <c r="AL23" s="3185">
        <v>48939</v>
      </c>
      <c r="AM23" s="3185">
        <v>49911</v>
      </c>
      <c r="AN23" s="3185">
        <v>1.99</v>
      </c>
      <c r="AO23" s="3185" t="s">
        <v>3081</v>
      </c>
      <c r="AP23" s="3185" t="s">
        <v>2818</v>
      </c>
      <c r="AQ23" s="3185" t="s">
        <v>2818</v>
      </c>
      <c r="AR23" s="3185" t="s">
        <v>2818</v>
      </c>
    </row>
    <row r="24" spans="1:44" s="3219" customFormat="1" ht="12">
      <c r="A24" s="3219" t="s">
        <v>3289</v>
      </c>
      <c r="B24" s="3219" t="s">
        <v>1947</v>
      </c>
      <c r="C24" s="3219" t="s">
        <v>3090</v>
      </c>
      <c r="D24" s="3219" t="s">
        <v>3217</v>
      </c>
      <c r="E24" s="3219" t="s">
        <v>2818</v>
      </c>
      <c r="F24" s="3219" t="s">
        <v>3290</v>
      </c>
      <c r="G24" s="3219" t="s">
        <v>3069</v>
      </c>
      <c r="H24" s="3219" t="s">
        <v>3291</v>
      </c>
      <c r="I24" s="3219" t="s">
        <v>3111</v>
      </c>
      <c r="J24" s="3219">
        <v>41963.66</v>
      </c>
      <c r="K24" s="3219">
        <v>117498</v>
      </c>
      <c r="L24" s="3219">
        <v>2.8</v>
      </c>
      <c r="M24" s="3219" t="s">
        <v>2818</v>
      </c>
      <c r="N24" s="3219" t="s">
        <v>2818</v>
      </c>
      <c r="O24" s="3219" t="s">
        <v>2818</v>
      </c>
      <c r="P24" s="3219" t="s">
        <v>3292</v>
      </c>
      <c r="Q24" s="3219">
        <v>28000</v>
      </c>
      <c r="R24" s="3219">
        <v>28000</v>
      </c>
      <c r="S24" s="3219" t="s">
        <v>3293</v>
      </c>
      <c r="T24" s="3219" t="s">
        <v>2818</v>
      </c>
      <c r="U24" s="3219" t="s">
        <v>2818</v>
      </c>
      <c r="V24" s="3219" t="s">
        <v>2818</v>
      </c>
      <c r="W24" s="3219" t="s">
        <v>3138</v>
      </c>
      <c r="X24" s="3219" t="s">
        <v>3294</v>
      </c>
      <c r="Y24" s="3219" t="s">
        <v>3295</v>
      </c>
      <c r="Z24" s="3219" t="s">
        <v>3296</v>
      </c>
      <c r="AA24" s="3219" t="s">
        <v>3296</v>
      </c>
      <c r="AB24" s="3219" t="s">
        <v>3291</v>
      </c>
      <c r="AC24" s="3219" t="s">
        <v>3079</v>
      </c>
      <c r="AD24" s="3219" t="s">
        <v>3297</v>
      </c>
      <c r="AE24" s="3219">
        <v>66000</v>
      </c>
      <c r="AF24" s="3219">
        <v>220000</v>
      </c>
      <c r="AG24" s="3219">
        <v>330000</v>
      </c>
      <c r="AH24" s="3219">
        <v>3495.09</v>
      </c>
      <c r="AI24" s="3219">
        <v>5242.63</v>
      </c>
      <c r="AJ24" s="3219">
        <v>18723.72</v>
      </c>
      <c r="AK24" s="3219">
        <v>28085.58</v>
      </c>
      <c r="AL24" s="3219">
        <v>24582</v>
      </c>
      <c r="AM24" s="3219">
        <v>36872</v>
      </c>
      <c r="AN24" s="3219">
        <v>50</v>
      </c>
      <c r="AO24" s="3219" t="s">
        <v>3081</v>
      </c>
      <c r="AP24" s="3219" t="s">
        <v>2818</v>
      </c>
      <c r="AQ24" s="3219" t="s">
        <v>2818</v>
      </c>
      <c r="AR24" s="3219" t="s">
        <v>2818</v>
      </c>
    </row>
    <row r="25" spans="1:44" s="3185" customFormat="1" ht="12">
      <c r="A25" s="3185" t="s">
        <v>3298</v>
      </c>
      <c r="B25" s="3185" t="s">
        <v>1947</v>
      </c>
      <c r="C25" s="3185" t="s">
        <v>3090</v>
      </c>
      <c r="D25" s="3185" t="s">
        <v>3217</v>
      </c>
      <c r="E25" s="3185" t="s">
        <v>2818</v>
      </c>
      <c r="F25" s="3185" t="s">
        <v>3259</v>
      </c>
      <c r="G25" s="3185" t="s">
        <v>3069</v>
      </c>
      <c r="H25" s="3185" t="s">
        <v>3299</v>
      </c>
      <c r="I25" s="3185" t="s">
        <v>3300</v>
      </c>
      <c r="J25" s="3185">
        <v>69123.38</v>
      </c>
      <c r="K25" s="3185">
        <v>89860</v>
      </c>
      <c r="L25" s="3185">
        <v>1.3</v>
      </c>
      <c r="M25" s="3185" t="s">
        <v>2818</v>
      </c>
      <c r="N25" s="3185" t="s">
        <v>2818</v>
      </c>
      <c r="O25" s="3185" t="s">
        <v>2818</v>
      </c>
      <c r="P25" s="3185" t="s">
        <v>2818</v>
      </c>
      <c r="Q25" s="3185" t="s">
        <v>2818</v>
      </c>
      <c r="R25" s="3185" t="s">
        <v>2818</v>
      </c>
      <c r="S25" s="3185" t="s">
        <v>2818</v>
      </c>
      <c r="T25" s="3185" t="s">
        <v>2818</v>
      </c>
      <c r="U25" s="3185" t="s">
        <v>2818</v>
      </c>
      <c r="V25" s="3185" t="s">
        <v>2818</v>
      </c>
      <c r="W25" s="3185" t="s">
        <v>3162</v>
      </c>
      <c r="X25" s="3185" t="s">
        <v>3301</v>
      </c>
      <c r="Y25" s="3185" t="s">
        <v>3302</v>
      </c>
      <c r="Z25" s="3185" t="s">
        <v>3303</v>
      </c>
      <c r="AA25" s="3185" t="s">
        <v>3303</v>
      </c>
      <c r="AB25" s="3185" t="s">
        <v>3299</v>
      </c>
      <c r="AC25" s="3185" t="s">
        <v>3079</v>
      </c>
      <c r="AD25" s="3185" t="s">
        <v>3304</v>
      </c>
      <c r="AE25" s="3185">
        <v>58800</v>
      </c>
      <c r="AF25" s="3185">
        <v>196000</v>
      </c>
      <c r="AG25" s="3185">
        <v>294000</v>
      </c>
      <c r="AH25" s="3185">
        <v>1890.34</v>
      </c>
      <c r="AI25" s="3185">
        <v>2835.51</v>
      </c>
      <c r="AJ25" s="3185">
        <v>21811.7</v>
      </c>
      <c r="AK25" s="3185">
        <v>32717.56</v>
      </c>
      <c r="AL25" s="3185" t="s">
        <v>2818</v>
      </c>
      <c r="AM25" s="3185" t="s">
        <v>2818</v>
      </c>
      <c r="AN25" s="3185">
        <v>50</v>
      </c>
      <c r="AO25" s="3185" t="s">
        <v>3305</v>
      </c>
      <c r="AP25" s="3185" t="s">
        <v>2818</v>
      </c>
      <c r="AQ25" s="3185" t="s">
        <v>2818</v>
      </c>
      <c r="AR25" s="3185" t="s">
        <v>2818</v>
      </c>
    </row>
    <row r="26" spans="1:44" s="3185" customFormat="1" ht="12">
      <c r="A26" s="3185" t="s">
        <v>3306</v>
      </c>
      <c r="B26" s="3185" t="s">
        <v>1947</v>
      </c>
      <c r="C26" s="3185" t="s">
        <v>3090</v>
      </c>
      <c r="D26" s="3185" t="s">
        <v>3217</v>
      </c>
      <c r="E26" s="3185" t="s">
        <v>2818</v>
      </c>
      <c r="F26" s="3185" t="s">
        <v>3307</v>
      </c>
      <c r="G26" s="3185" t="s">
        <v>3069</v>
      </c>
      <c r="H26" s="3185" t="s">
        <v>3308</v>
      </c>
      <c r="I26" s="3185" t="s">
        <v>3111</v>
      </c>
      <c r="J26" s="3185">
        <v>63913.14</v>
      </c>
      <c r="K26" s="3185">
        <v>159783</v>
      </c>
      <c r="L26" s="3185">
        <v>2.5</v>
      </c>
      <c r="M26" s="3185" t="s">
        <v>2818</v>
      </c>
      <c r="N26" s="3185" t="s">
        <v>2818</v>
      </c>
      <c r="O26" s="3185" t="s">
        <v>2818</v>
      </c>
      <c r="P26" s="3185" t="s">
        <v>3292</v>
      </c>
      <c r="Q26" s="3185">
        <v>34000</v>
      </c>
      <c r="R26" s="3185">
        <v>89000</v>
      </c>
      <c r="S26" s="3185" t="s">
        <v>2818</v>
      </c>
      <c r="T26" s="3185" t="s">
        <v>2818</v>
      </c>
      <c r="U26" s="3185" t="s">
        <v>2818</v>
      </c>
      <c r="V26" s="3185" t="s">
        <v>2818</v>
      </c>
      <c r="W26" s="3185" t="s">
        <v>3162</v>
      </c>
      <c r="X26" s="3185" t="s">
        <v>3309</v>
      </c>
      <c r="Y26" s="3185" t="s">
        <v>3310</v>
      </c>
      <c r="Z26" s="3185" t="s">
        <v>3311</v>
      </c>
      <c r="AA26" s="3185" t="s">
        <v>3311</v>
      </c>
      <c r="AB26" s="3185" t="s">
        <v>3308</v>
      </c>
      <c r="AC26" s="3185" t="s">
        <v>3079</v>
      </c>
      <c r="AD26" s="3185" t="s">
        <v>3312</v>
      </c>
      <c r="AE26" s="3185">
        <v>91500</v>
      </c>
      <c r="AF26" s="3185">
        <v>305000</v>
      </c>
      <c r="AG26" s="3185">
        <v>425000</v>
      </c>
      <c r="AH26" s="3185">
        <v>3181.4</v>
      </c>
      <c r="AI26" s="3185">
        <v>4433.1000000000004</v>
      </c>
      <c r="AJ26" s="3185">
        <v>19088.38</v>
      </c>
      <c r="AK26" s="3185">
        <v>26598.560000000001</v>
      </c>
      <c r="AL26" s="3185">
        <v>24248</v>
      </c>
      <c r="AM26" s="3185">
        <v>60043</v>
      </c>
      <c r="AN26" s="3185">
        <v>39.340000000000003</v>
      </c>
      <c r="AO26" s="3185" t="s">
        <v>3305</v>
      </c>
      <c r="AP26" s="3185" t="s">
        <v>2818</v>
      </c>
      <c r="AQ26" s="3185" t="s">
        <v>2818</v>
      </c>
      <c r="AR26" s="3185" t="s">
        <v>2818</v>
      </c>
    </row>
    <row r="27" spans="1:44" s="3185" customFormat="1" ht="12">
      <c r="A27" s="3185" t="s">
        <v>3313</v>
      </c>
      <c r="B27" s="3185" t="s">
        <v>1947</v>
      </c>
      <c r="C27" s="3185" t="s">
        <v>3090</v>
      </c>
      <c r="D27" s="3185" t="s">
        <v>3217</v>
      </c>
      <c r="E27" s="3185" t="s">
        <v>2818</v>
      </c>
      <c r="F27" s="3185" t="s">
        <v>3314</v>
      </c>
      <c r="G27" s="3185" t="s">
        <v>3069</v>
      </c>
      <c r="H27" s="3185" t="s">
        <v>3315</v>
      </c>
      <c r="I27" s="3185" t="s">
        <v>3316</v>
      </c>
      <c r="J27" s="3185">
        <v>121096.3</v>
      </c>
      <c r="K27" s="3185">
        <v>143685</v>
      </c>
      <c r="L27" s="3185">
        <v>1.19</v>
      </c>
      <c r="M27" s="3185" t="s">
        <v>2818</v>
      </c>
      <c r="N27" s="3185" t="s">
        <v>2818</v>
      </c>
      <c r="O27" s="3185" t="s">
        <v>2818</v>
      </c>
      <c r="P27" s="3185" t="s">
        <v>2818</v>
      </c>
      <c r="Q27" s="3185" t="s">
        <v>2818</v>
      </c>
      <c r="R27" s="3185" t="s">
        <v>2818</v>
      </c>
      <c r="S27" s="3185" t="s">
        <v>2818</v>
      </c>
      <c r="T27" s="3185" t="s">
        <v>2818</v>
      </c>
      <c r="U27" s="3185" t="s">
        <v>2818</v>
      </c>
      <c r="V27" s="3185" t="s">
        <v>2818</v>
      </c>
      <c r="W27" s="3185" t="s">
        <v>3162</v>
      </c>
      <c r="X27" s="3185" t="s">
        <v>3317</v>
      </c>
      <c r="Y27" s="3185" t="s">
        <v>3318</v>
      </c>
      <c r="Z27" s="3185" t="s">
        <v>3319</v>
      </c>
      <c r="AA27" s="3185" t="s">
        <v>3319</v>
      </c>
      <c r="AB27" s="3185" t="s">
        <v>3315</v>
      </c>
      <c r="AC27" s="3185" t="s">
        <v>3079</v>
      </c>
      <c r="AD27" s="3185" t="s">
        <v>3320</v>
      </c>
      <c r="AE27" s="3185">
        <v>129660</v>
      </c>
      <c r="AF27" s="3185">
        <v>432200</v>
      </c>
      <c r="AG27" s="3185">
        <v>648300</v>
      </c>
      <c r="AH27" s="3185">
        <v>2379.37</v>
      </c>
      <c r="AI27" s="3185">
        <v>3569.06</v>
      </c>
      <c r="AJ27" s="3185">
        <v>30079.68</v>
      </c>
      <c r="AK27" s="3185">
        <v>45119.519999999997</v>
      </c>
      <c r="AL27" s="3185" t="s">
        <v>2818</v>
      </c>
      <c r="AM27" s="3185" t="s">
        <v>2818</v>
      </c>
      <c r="AN27" s="3185">
        <v>50</v>
      </c>
      <c r="AO27" s="3185" t="s">
        <v>3305</v>
      </c>
      <c r="AP27" s="3185" t="s">
        <v>2818</v>
      </c>
      <c r="AQ27" s="3185" t="s">
        <v>2818</v>
      </c>
      <c r="AR27" s="3185" t="s">
        <v>2818</v>
      </c>
    </row>
  </sheetData>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3"/>
      <c r="C1" s="2104"/>
      <c r="D1" s="2104"/>
      <c r="E1" s="2104"/>
      <c r="F1" s="2104"/>
      <c r="G1" s="2104"/>
      <c r="H1" s="2104"/>
      <c r="I1" s="2104"/>
      <c r="J1" s="2104"/>
      <c r="K1" s="422">
        <f>MATCH(B1,'数据-取费表'!A6:A16,0)+5</f>
        <v>10</v>
      </c>
    </row>
    <row r="2" spans="1:31" s="2041" customFormat="1" ht="18" customHeight="1">
      <c r="A2" s="2101" t="s">
        <v>466</v>
      </c>
      <c r="B2" s="2105">
        <f ca="1">C36</f>
        <v>303478</v>
      </c>
      <c r="C2" s="2104"/>
      <c r="D2" s="2104"/>
      <c r="E2" s="2104"/>
      <c r="F2" s="2104"/>
      <c r="G2" s="2104"/>
      <c r="H2" s="2104"/>
      <c r="I2" s="2104"/>
      <c r="J2" s="2104"/>
      <c r="K2" s="2104"/>
    </row>
    <row r="3" spans="1:31" s="2041" customFormat="1" ht="18" customHeight="1">
      <c r="A3" s="2106" t="s">
        <v>1684</v>
      </c>
      <c r="B3" s="2107">
        <f ca="1">ROUND(B2*10000/IF(B1="",'数据-汇总表'!E3,INDIRECT("'数据-取费表'!K"&amp;$K$1)),0)</f>
        <v>19908</v>
      </c>
      <c r="C3" s="2104"/>
      <c r="D3" s="2104"/>
      <c r="E3" s="2104"/>
      <c r="F3" s="2104"/>
      <c r="G3" s="2104"/>
      <c r="H3" s="2104"/>
      <c r="I3" s="2104"/>
      <c r="J3" s="2104"/>
      <c r="K3" s="2104"/>
    </row>
    <row r="4" spans="1:31" s="2041" customFormat="1" ht="18" customHeight="1">
      <c r="A4" s="426" t="s">
        <v>467</v>
      </c>
      <c r="B4" s="427">
        <f ca="1">ROUND(B2*10000/IF(B1="",'数据-汇总表'!D3,INDIRECT("'数据-取费表'!R"&amp;$K$1)),0)</f>
        <v>72517</v>
      </c>
      <c r="C4" s="428"/>
      <c r="D4" s="422"/>
      <c r="E4" s="422"/>
      <c r="F4" s="422"/>
      <c r="G4" s="422"/>
      <c r="H4" s="422"/>
      <c r="I4" s="422"/>
      <c r="J4" s="422"/>
      <c r="K4" s="422"/>
    </row>
    <row r="5" spans="1:31" s="2041" customFormat="1" ht="18" customHeight="1" thickBot="1">
      <c r="A5" s="429"/>
      <c r="B5" s="430">
        <f ca="1">ROUND(B2/(IF(B1="",'数据-汇总表'!D3,INDIRECT("'数据-取费表'!R"&amp;$K$1))/666.67),0)</f>
        <v>4834</v>
      </c>
      <c r="C5" s="431" t="s">
        <v>468</v>
      </c>
      <c r="D5" s="422"/>
      <c r="E5" s="422"/>
      <c r="F5" s="422"/>
      <c r="G5" s="422"/>
      <c r="H5" s="422"/>
      <c r="I5" s="422"/>
      <c r="J5" s="422"/>
      <c r="K5" s="422"/>
    </row>
    <row r="6" spans="1:31" s="2111" customFormat="1" ht="16.5" customHeight="1">
      <c r="A6" s="2852" t="s">
        <v>1842</v>
      </c>
      <c r="B6" s="2853"/>
      <c r="C6" s="2854">
        <f ca="1">SUM(C10:K10)</f>
        <v>464292</v>
      </c>
      <c r="D6" s="2853"/>
      <c r="E6" s="2853"/>
      <c r="F6" s="2853"/>
      <c r="G6" s="2853"/>
      <c r="H6" s="2853"/>
      <c r="I6" s="2853"/>
      <c r="J6" s="2853"/>
      <c r="K6" s="2855"/>
    </row>
    <row r="7" spans="1:31" s="2113" customFormat="1" ht="15">
      <c r="A7" s="2856" t="s">
        <v>469</v>
      </c>
      <c r="B7" s="2857" t="s">
        <v>470</v>
      </c>
      <c r="C7" s="436" t="s">
        <v>922</v>
      </c>
      <c r="D7" s="436" t="s">
        <v>3008</v>
      </c>
      <c r="E7" s="436" t="s">
        <v>35</v>
      </c>
      <c r="F7" s="436"/>
      <c r="G7" s="436"/>
      <c r="H7" s="436"/>
      <c r="I7" s="436"/>
      <c r="J7" s="436"/>
      <c r="K7" s="437"/>
      <c r="L7" s="3182"/>
      <c r="M7" s="3182" t="s">
        <v>3021</v>
      </c>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58">
        <v>37800</v>
      </c>
      <c r="D8" s="2858">
        <f ca="1">'不动产收益法-库房'!B3</f>
        <v>0</v>
      </c>
      <c r="E8" s="2858">
        <f>'不动产比较法-车位'!B3</f>
        <v>10649</v>
      </c>
      <c r="F8" s="2858"/>
      <c r="G8" s="2858"/>
      <c r="H8" s="2858"/>
      <c r="I8" s="2858"/>
      <c r="J8" s="2858"/>
      <c r="K8" s="2859"/>
      <c r="L8" s="3183">
        <f ca="1">C8+D8</f>
        <v>37800</v>
      </c>
      <c r="M8" s="3184">
        <v>53400</v>
      </c>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111874.03000000001</v>
      </c>
      <c r="D9" s="441">
        <f>SUMIF('数据-汇总表'!$C19:$C33,'剩余法-待开发'!D7,'数据-汇总表'!$E19:$E33)</f>
        <v>0</v>
      </c>
      <c r="E9" s="441">
        <f>SUMIF('数据-汇总表'!$C19:$C33,'剩余法-待开发'!E7,'数据-汇总表'!$E19:$E33)</f>
        <v>38883.97</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1847</v>
      </c>
      <c r="B10" s="2846" t="s">
        <v>473</v>
      </c>
      <c r="C10" s="3050">
        <f>ROUND(C8*C9/10000,0)</f>
        <v>422884</v>
      </c>
      <c r="D10" s="3050">
        <f ca="1">'不动产收益法-库房'!B2</f>
        <v>0</v>
      </c>
      <c r="E10" s="3050">
        <f>'不动产比较法-车位'!B2</f>
        <v>41408</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1843</v>
      </c>
      <c r="B11" s="2853"/>
      <c r="C11" s="2853"/>
      <c r="D11" s="2853"/>
      <c r="E11" s="2853"/>
      <c r="F11" s="2853"/>
      <c r="G11" s="2853"/>
      <c r="H11" s="2853"/>
      <c r="I11" s="2853"/>
      <c r="J11" s="2853"/>
      <c r="K11" s="2855"/>
    </row>
    <row r="12" spans="1:31" s="2085" customFormat="1" ht="13.5" customHeight="1">
      <c r="A12" s="2864" t="s">
        <v>469</v>
      </c>
      <c r="B12" s="2836" t="s">
        <v>470</v>
      </c>
      <c r="C12" s="2865" t="s">
        <v>474</v>
      </c>
      <c r="D12" s="2832" t="s">
        <v>475</v>
      </c>
      <c r="E12" s="2832" t="s">
        <v>476</v>
      </c>
      <c r="F12" s="2832" t="s">
        <v>477</v>
      </c>
      <c r="G12" s="2836"/>
      <c r="H12" s="2837"/>
      <c r="I12" s="2837"/>
      <c r="J12" s="2837"/>
      <c r="K12" s="2838"/>
    </row>
    <row r="13" spans="1:31" s="2116" customFormat="1" ht="13.5" customHeight="1">
      <c r="A13" s="2866" t="s">
        <v>1848</v>
      </c>
      <c r="B13" s="2867" t="s">
        <v>478</v>
      </c>
      <c r="C13" s="450">
        <f ca="1">IF(B1="",'数据-取费表'!P16,INDIRECT("'数据-取费表'!p"&amp;$K$1)+INDIRECT("'数据-取费表'!t"&amp;$K$1))</f>
        <v>47159</v>
      </c>
      <c r="D13" s="2868"/>
      <c r="E13" s="2869"/>
      <c r="F13" s="2870"/>
      <c r="G13" s="2836"/>
      <c r="H13" s="2837"/>
      <c r="I13" s="2837"/>
      <c r="J13" s="2837"/>
      <c r="K13" s="2838"/>
    </row>
    <row r="14" spans="1:31" s="2116" customFormat="1" ht="13.5" customHeight="1">
      <c r="A14" s="2866" t="s">
        <v>1849</v>
      </c>
      <c r="B14" s="2867" t="s">
        <v>479</v>
      </c>
      <c r="C14" s="53">
        <f ca="1">ROUND(C13*F14,0)</f>
        <v>1415</v>
      </c>
      <c r="D14" s="2868"/>
      <c r="E14" s="2869"/>
      <c r="F14" s="2871">
        <f>'数据-取费表'!B33</f>
        <v>0.03</v>
      </c>
      <c r="G14" s="2836" t="s">
        <v>480</v>
      </c>
      <c r="H14" s="2837"/>
      <c r="I14" s="2837"/>
      <c r="J14" s="2837"/>
      <c r="K14" s="2838"/>
    </row>
    <row r="15" spans="1:31" s="2116" customFormat="1" ht="13.5" customHeight="1">
      <c r="A15" s="2866" t="s">
        <v>1850</v>
      </c>
      <c r="B15" s="2867" t="s">
        <v>481</v>
      </c>
      <c r="C15" s="53">
        <f ca="1">ROUND(IF(B1="",SUMIF('数据-取费表'!C:C,"住宅",'数据-取费表'!P:P)*F15,IF(INDIRECT("'数据-取费表'!c"&amp;$K$1)="住宅",INDIRECT("'数据-取费表'!P"&amp;$K$1)*F15,0)),0)</f>
        <v>716</v>
      </c>
      <c r="D15" s="2868"/>
      <c r="E15" s="2869"/>
      <c r="F15" s="2871">
        <f>'数据-取费表'!B34</f>
        <v>0.02</v>
      </c>
      <c r="G15" s="2836" t="s">
        <v>482</v>
      </c>
      <c r="H15" s="2837"/>
      <c r="I15" s="2837"/>
      <c r="J15" s="2837"/>
      <c r="K15" s="2838"/>
    </row>
    <row r="16" spans="1:31" s="2117" customFormat="1" ht="13.5" customHeight="1">
      <c r="A16" s="2866" t="s">
        <v>1851</v>
      </c>
      <c r="B16" s="2867" t="s">
        <v>483</v>
      </c>
      <c r="C16" s="53">
        <f ca="1">ROUND(D16*E16/10000,0)</f>
        <v>3049</v>
      </c>
      <c r="D16" s="2868">
        <f ca="1">IF(B1="",'数据-汇总表'!E3,INDIRECT("'数据-取费表'!K"&amp;$K$1)+INDIRECT("'数据-取费表'!S"&amp;$K$1))</f>
        <v>152440.46</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1852</v>
      </c>
      <c r="B17" s="2867" t="s">
        <v>484</v>
      </c>
      <c r="C17" s="2872">
        <f ca="1">ROUND(C13*F17,0)</f>
        <v>707</v>
      </c>
      <c r="D17" s="475"/>
      <c r="E17" s="2872"/>
      <c r="F17" s="2873">
        <f>'数据-取费表'!B36</f>
        <v>1.4999999999999999E-2</v>
      </c>
      <c r="G17" s="261" t="s">
        <v>485</v>
      </c>
      <c r="H17" s="2839"/>
      <c r="I17" s="2839"/>
      <c r="J17" s="2839"/>
      <c r="K17" s="279"/>
    </row>
    <row r="18" spans="1:14" s="2116" customFormat="1" ht="13.5" customHeight="1">
      <c r="A18" s="2874" t="s">
        <v>1853</v>
      </c>
      <c r="B18" s="2875" t="s">
        <v>486</v>
      </c>
      <c r="C18" s="2876">
        <f ca="1">SUM(C13:C17)</f>
        <v>53046</v>
      </c>
      <c r="D18" s="2877"/>
      <c r="E18" s="468"/>
      <c r="F18" s="468"/>
      <c r="G18" s="2840" t="s">
        <v>2431</v>
      </c>
      <c r="H18" s="2841"/>
      <c r="I18" s="2841"/>
      <c r="J18" s="2841"/>
      <c r="K18" s="2842"/>
    </row>
    <row r="19" spans="1:14" s="2116" customFormat="1" ht="13.5" customHeight="1">
      <c r="A19" s="2874" t="s">
        <v>1854</v>
      </c>
      <c r="B19" s="2875" t="s">
        <v>487</v>
      </c>
      <c r="C19" s="2832">
        <f ca="1">ROUND(D19*E19/10000,0)</f>
        <v>1067</v>
      </c>
      <c r="D19" s="2878">
        <f ca="1">D16</f>
        <v>152440.46</v>
      </c>
      <c r="E19" s="2832">
        <f>'数据-取费表'!B32</f>
        <v>70</v>
      </c>
      <c r="F19" s="468"/>
      <c r="G19" s="2836" t="s">
        <v>488</v>
      </c>
      <c r="H19" s="2837"/>
      <c r="I19" s="2841"/>
      <c r="J19" s="2841"/>
      <c r="K19" s="2842"/>
    </row>
    <row r="20" spans="1:14" s="2116" customFormat="1" ht="13.5" customHeight="1">
      <c r="A20" s="2874" t="s">
        <v>1855</v>
      </c>
      <c r="B20" s="2875" t="s">
        <v>489</v>
      </c>
      <c r="C20" s="2832">
        <f ca="1">C21+C22-IF(B1="",'数据-取费表'!B29,IF(G20="已全部缴纳",C21+C22,H20))</f>
        <v>2601</v>
      </c>
      <c r="D20" s="2878"/>
      <c r="E20" s="2832"/>
      <c r="F20" s="2879"/>
      <c r="G20" s="3109" t="s">
        <v>3020</v>
      </c>
      <c r="H20" s="2834">
        <v>0</v>
      </c>
      <c r="I20" s="2835" t="s">
        <v>2651</v>
      </c>
      <c r="J20" s="2841"/>
      <c r="K20" s="2842"/>
    </row>
    <row r="21" spans="1:14" s="2116" customFormat="1" ht="13.5" customHeight="1">
      <c r="A21" s="2866" t="s">
        <v>1856</v>
      </c>
      <c r="B21" s="2867" t="s">
        <v>490</v>
      </c>
      <c r="C21" s="53">
        <f ca="1">ROUND(D21*E21/10000,0)</f>
        <v>1790</v>
      </c>
      <c r="D21" s="2868">
        <f ca="1">IF(B1="",'数据-汇总表'!E5,IF(INDIRECT("'数据-取费表'!c"&amp;$K$1)="住宅",INDIRECT("'数据-取费表'!k"&amp;$K$1),0))</f>
        <v>111874.03000000001</v>
      </c>
      <c r="E21" s="53">
        <f>'数据-取费表'!B27</f>
        <v>160</v>
      </c>
      <c r="F21" s="2871"/>
      <c r="G21" s="26"/>
      <c r="H21" s="51"/>
      <c r="I21" s="51"/>
      <c r="J21" s="51"/>
      <c r="K21" s="2843"/>
    </row>
    <row r="22" spans="1:14" s="2116" customFormat="1" ht="13.5" customHeight="1">
      <c r="A22" s="2866" t="s">
        <v>1857</v>
      </c>
      <c r="B22" s="2867" t="s">
        <v>491</v>
      </c>
      <c r="C22" s="53">
        <f ca="1">ROUND(D22*E22/10000,0)</f>
        <v>811</v>
      </c>
      <c r="D22" s="2868">
        <f ca="1">IF(B1="",'数据-汇总表'!E6,IF(INDIRECT("'数据-取费表'!c"&amp;$K$1)="住宅",INDIRECT("'数据-取费表'!s"&amp;$K$1),INDIRECT("'数据-取费表'!k"&amp;$K$1)+INDIRECT("'数据-取费表'!s"&amp;$K$1)))</f>
        <v>40566.429999999978</v>
      </c>
      <c r="E22" s="53">
        <f>'数据-取费表'!B28</f>
        <v>200</v>
      </c>
      <c r="F22" s="2871"/>
      <c r="G22" s="26"/>
      <c r="H22" s="51"/>
      <c r="I22" s="51"/>
      <c r="J22" s="51"/>
      <c r="K22" s="2843"/>
    </row>
    <row r="23" spans="1:14" s="2116" customFormat="1" ht="13.5" customHeight="1">
      <c r="A23" s="2874" t="s">
        <v>1858</v>
      </c>
      <c r="B23" s="3056" t="s">
        <v>2834</v>
      </c>
      <c r="C23" s="2876">
        <f ca="1">ROUND((C18+C19+C20)*F23,0)</f>
        <v>1134</v>
      </c>
      <c r="D23" s="468"/>
      <c r="E23" s="468"/>
      <c r="F23" s="2880">
        <f>'数据-取费表'!B37</f>
        <v>0.02</v>
      </c>
      <c r="G23" s="2836" t="s">
        <v>2432</v>
      </c>
      <c r="H23" s="2837"/>
      <c r="I23" s="2837"/>
      <c r="J23" s="2837"/>
      <c r="K23" s="2838"/>
      <c r="L23" s="2118"/>
      <c r="M23" s="2118"/>
      <c r="N23" s="2118"/>
    </row>
    <row r="24" spans="1:14" s="2116" customFormat="1" ht="13.5" customHeight="1">
      <c r="A24" s="2874" t="s">
        <v>1859</v>
      </c>
      <c r="B24" s="3056" t="s">
        <v>2837</v>
      </c>
      <c r="C24" s="2876">
        <f ca="1">ROUND(C6*F24,0)</f>
        <v>9286</v>
      </c>
      <c r="D24" s="475"/>
      <c r="E24" s="473"/>
      <c r="F24" s="2880">
        <f>'数据-取费表'!B38</f>
        <v>0.02</v>
      </c>
      <c r="G24" s="2845" t="s">
        <v>498</v>
      </c>
      <c r="H24" s="2839"/>
      <c r="I24" s="2839"/>
      <c r="J24" s="2839"/>
      <c r="K24" s="279"/>
      <c r="L24" s="2118"/>
      <c r="M24" s="2118"/>
      <c r="N24" s="2118"/>
    </row>
    <row r="25" spans="1:14" s="2119" customFormat="1" ht="13.5" customHeight="1">
      <c r="A25" s="2874" t="s">
        <v>1860</v>
      </c>
      <c r="B25" s="3056" t="s">
        <v>2835</v>
      </c>
      <c r="C25" s="467">
        <f>ROUND(F25/(1+'数据-取费表'!C42),4)</f>
        <v>2.9000000000000001E-2</v>
      </c>
      <c r="D25" s="462" t="s">
        <v>2829</v>
      </c>
      <c r="E25" s="469"/>
      <c r="F25" s="2880">
        <f>'数据-取费表'!B48+'数据-取费表'!B49</f>
        <v>3.0499999999999999E-2</v>
      </c>
      <c r="G25" s="2844" t="s">
        <v>2289</v>
      </c>
      <c r="H25" s="2837"/>
      <c r="I25" s="2837"/>
      <c r="J25" s="2837"/>
      <c r="K25" s="2838"/>
    </row>
    <row r="26" spans="1:14" s="2118" customFormat="1" ht="13.5" customHeight="1">
      <c r="A26" s="2874" t="s">
        <v>1861</v>
      </c>
      <c r="B26" s="3057" t="s">
        <v>2836</v>
      </c>
      <c r="C26" s="2881">
        <f ca="1">C28</f>
        <v>3189</v>
      </c>
      <c r="D26" s="467">
        <f ca="1">C27</f>
        <v>0.10009999999999999</v>
      </c>
      <c r="E26" s="469" t="s">
        <v>494</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1856</v>
      </c>
      <c r="B27" s="2882" t="s">
        <v>495</v>
      </c>
      <c r="C27" s="2883">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1857</v>
      </c>
      <c r="B28" s="2882" t="s">
        <v>2838</v>
      </c>
      <c r="C28" s="2884">
        <f ca="1">ROUND(IF('数据-取费表'!B22&lt;=1,(C18+C19+C20+C23+C24)*F26*'数据-取费表'!B24/2,(C18+C19+C20+C23+C24)*(POWER((1+F26),'数据-取费表'!B24/2)-1)),0)</f>
        <v>3189</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1862</v>
      </c>
      <c r="B29" s="2875" t="s">
        <v>496</v>
      </c>
      <c r="C29" s="2876">
        <f ca="1">ROUND(C6*F29/(1+'数据-取费表'!C42),0)</f>
        <v>24762</v>
      </c>
      <c r="D29" s="468"/>
      <c r="E29" s="468"/>
      <c r="F29" s="3058">
        <f>'数据-取费表'!B41</f>
        <v>5.6000000000000001E-2</v>
      </c>
      <c r="G29" s="2845" t="s">
        <v>497</v>
      </c>
      <c r="H29" s="2837"/>
      <c r="I29" s="2837"/>
      <c r="J29" s="2837"/>
      <c r="K29" s="2838"/>
    </row>
    <row r="30" spans="1:14" s="2121" customFormat="1" ht="13.5" customHeight="1">
      <c r="A30" s="1634" t="s">
        <v>1863</v>
      </c>
      <c r="B30" s="2886" t="s">
        <v>499</v>
      </c>
      <c r="C30" s="2881">
        <f ca="1">C31</f>
        <v>95085</v>
      </c>
      <c r="D30" s="477">
        <f ca="1">C32</f>
        <v>0.12909999999999999</v>
      </c>
      <c r="E30" s="469" t="s">
        <v>494</v>
      </c>
      <c r="F30" s="471"/>
      <c r="G30" s="2844" t="s">
        <v>2972</v>
      </c>
      <c r="H30" s="2837"/>
      <c r="I30" s="2837"/>
      <c r="J30" s="2837"/>
      <c r="K30" s="2838"/>
    </row>
    <row r="31" spans="1:14" s="2120" customFormat="1" ht="13.5" customHeight="1">
      <c r="A31" s="803" t="s">
        <v>1856</v>
      </c>
      <c r="B31" s="2882"/>
      <c r="C31" s="450">
        <f ca="1">C18+C19+C20+C23+C24+C26+C29</f>
        <v>95085</v>
      </c>
      <c r="D31" s="472"/>
      <c r="E31" s="473"/>
      <c r="F31" s="474"/>
      <c r="G31" s="261"/>
      <c r="H31" s="2839"/>
      <c r="I31" s="2839"/>
      <c r="J31" s="2839"/>
      <c r="K31" s="279"/>
    </row>
    <row r="32" spans="1:14" s="2120" customFormat="1" ht="13.5" customHeight="1">
      <c r="A32" s="803" t="s">
        <v>1857</v>
      </c>
      <c r="B32" s="2882"/>
      <c r="C32" s="53">
        <f ca="1">ROUND(C25+D26,4)</f>
        <v>0.12909999999999999</v>
      </c>
      <c r="D32" s="472"/>
      <c r="E32" s="473"/>
      <c r="F32" s="474"/>
      <c r="G32" s="261"/>
      <c r="H32" s="2839"/>
      <c r="I32" s="2839"/>
      <c r="J32" s="2839"/>
      <c r="K32" s="279"/>
    </row>
    <row r="33" spans="1:11" s="2122" customFormat="1" ht="13.5" customHeight="1">
      <c r="A33" s="3055" t="s">
        <v>2833</v>
      </c>
      <c r="B33" s="3053" t="s">
        <v>2831</v>
      </c>
      <c r="C33" s="478">
        <f ca="1">C35</f>
        <v>4699</v>
      </c>
      <c r="D33" s="467">
        <f ca="1">C34</f>
        <v>7.1999999999999995E-2</v>
      </c>
      <c r="E33" s="469" t="s">
        <v>494</v>
      </c>
      <c r="F33" s="479">
        <f ca="1">IF(B1="",'数据-取费表'!Q16,INDIRECT("'数据-取费表'!q"&amp;$K$1))</f>
        <v>7.0000000000000007E-2</v>
      </c>
      <c r="G33" s="2840"/>
      <c r="H33" s="2841"/>
      <c r="I33" s="2841"/>
      <c r="J33" s="2841"/>
      <c r="K33" s="2842"/>
    </row>
    <row r="34" spans="1:11" s="2123" customFormat="1" ht="13.5" customHeight="1">
      <c r="A34" s="375" t="s">
        <v>1856</v>
      </c>
      <c r="B34" s="2887" t="s">
        <v>500</v>
      </c>
      <c r="C34" s="472">
        <f ca="1">ROUND((1+C25)*F33,4)</f>
        <v>7.1999999999999995E-2</v>
      </c>
      <c r="D34" s="472"/>
      <c r="E34" s="473"/>
      <c r="F34" s="480"/>
      <c r="G34" s="261" t="s">
        <v>2290</v>
      </c>
      <c r="H34" s="2839"/>
      <c r="I34" s="2839"/>
      <c r="J34" s="2839"/>
      <c r="K34" s="279"/>
    </row>
    <row r="35" spans="1:11" s="2123" customFormat="1" ht="13.5" customHeight="1" thickBot="1">
      <c r="A35" s="1635" t="s">
        <v>1857</v>
      </c>
      <c r="B35" s="3054" t="s">
        <v>2839</v>
      </c>
      <c r="C35" s="1627">
        <f ca="1">ROUND((C18+C19+C20+C23+C24)*F33,0)</f>
        <v>4699</v>
      </c>
      <c r="D35" s="1628"/>
      <c r="E35" s="2888"/>
      <c r="F35" s="1629"/>
      <c r="G35" s="2846"/>
      <c r="H35" s="2847"/>
      <c r="I35" s="2847"/>
      <c r="J35" s="2847"/>
      <c r="K35" s="2848"/>
    </row>
    <row r="36" spans="1:11" s="2085" customFormat="1" ht="13.5" customHeight="1" thickBot="1">
      <c r="A36" s="284" t="s">
        <v>1844</v>
      </c>
      <c r="B36" s="2850"/>
      <c r="C36" s="2889">
        <f ca="1">ROUND((C6-C30-C33)/(1+D30+D33),0)</f>
        <v>303478</v>
      </c>
      <c r="D36" s="2850"/>
      <c r="E36" s="2850"/>
      <c r="F36" s="2850"/>
      <c r="G36" s="2849" t="s">
        <v>2840</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7" sqref="G37"/>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402" t="s">
        <v>521</v>
      </c>
      <c r="D6" s="3403"/>
      <c r="E6" s="3441" t="s">
        <v>522</v>
      </c>
      <c r="F6" s="3442"/>
      <c r="G6" s="3402" t="s">
        <v>523</v>
      </c>
      <c r="H6" s="3403"/>
      <c r="I6" s="3402" t="s">
        <v>524</v>
      </c>
      <c r="J6" s="3403"/>
      <c r="K6" s="514" t="s">
        <v>525</v>
      </c>
      <c r="L6" s="2133"/>
      <c r="M6" s="2134"/>
      <c r="N6" s="2134"/>
      <c r="O6" s="2134"/>
      <c r="P6" s="3404" t="s">
        <v>526</v>
      </c>
      <c r="Q6" s="3405"/>
      <c r="R6" s="3410" t="s">
        <v>522</v>
      </c>
      <c r="S6" s="3411"/>
      <c r="T6" s="3410" t="s">
        <v>523</v>
      </c>
      <c r="U6" s="3411"/>
      <c r="V6" s="3397" t="s">
        <v>524</v>
      </c>
      <c r="W6" s="3397"/>
      <c r="X6" s="1566"/>
      <c r="Y6" s="3410" t="s">
        <v>526</v>
      </c>
      <c r="Z6" s="3411"/>
      <c r="AA6" s="3399" t="s">
        <v>522</v>
      </c>
      <c r="AB6" s="3400" t="s">
        <v>523</v>
      </c>
      <c r="AC6" s="3399" t="s">
        <v>524</v>
      </c>
    </row>
    <row r="7" spans="1:29" ht="15">
      <c r="A7" s="515"/>
      <c r="B7" s="516"/>
      <c r="C7" s="3435" t="s">
        <v>2926</v>
      </c>
      <c r="D7" s="3436"/>
      <c r="E7" s="3443" t="s">
        <v>2927</v>
      </c>
      <c r="F7" s="3444"/>
      <c r="G7" s="3435" t="s">
        <v>2928</v>
      </c>
      <c r="H7" s="3436"/>
      <c r="I7" s="3435" t="s">
        <v>2929</v>
      </c>
      <c r="J7" s="3436"/>
      <c r="K7" s="514"/>
      <c r="L7" s="2133"/>
      <c r="M7" s="2134"/>
      <c r="N7" s="2134"/>
      <c r="O7" s="2134"/>
      <c r="P7" s="3406"/>
      <c r="Q7" s="3407"/>
      <c r="R7" s="3412"/>
      <c r="S7" s="3413"/>
      <c r="T7" s="3412"/>
      <c r="U7" s="3413"/>
      <c r="V7" s="3397"/>
      <c r="W7" s="3397"/>
      <c r="X7" s="1566"/>
      <c r="Y7" s="3412"/>
      <c r="Z7" s="3413"/>
      <c r="AA7" s="3400"/>
      <c r="AB7" s="3400"/>
      <c r="AC7" s="3400"/>
    </row>
    <row r="8" spans="1:29" ht="15.75" thickBot="1">
      <c r="A8" s="517"/>
      <c r="B8" s="518"/>
      <c r="C8" s="3437" t="s">
        <v>2930</v>
      </c>
      <c r="D8" s="3438"/>
      <c r="E8" s="3439" t="s">
        <v>2930</v>
      </c>
      <c r="F8" s="3440"/>
      <c r="G8" s="3437" t="s">
        <v>2930</v>
      </c>
      <c r="H8" s="3438"/>
      <c r="I8" s="3437" t="s">
        <v>2930</v>
      </c>
      <c r="J8" s="3438"/>
      <c r="K8" s="514" t="s">
        <v>527</v>
      </c>
      <c r="L8" s="2133"/>
      <c r="M8" s="2134"/>
      <c r="N8" s="2134"/>
      <c r="O8" s="2134"/>
      <c r="P8" s="3408"/>
      <c r="Q8" s="3409"/>
      <c r="R8" s="3412"/>
      <c r="S8" s="3413"/>
      <c r="T8" s="3414"/>
      <c r="U8" s="3415"/>
      <c r="V8" s="3397"/>
      <c r="W8" s="3397"/>
      <c r="X8" s="1566"/>
      <c r="Y8" s="3414"/>
      <c r="Z8" s="3415"/>
      <c r="AA8" s="3401"/>
      <c r="AB8" s="3401"/>
      <c r="AC8" s="3401"/>
    </row>
    <row r="9" spans="1:29" s="1220" customFormat="1" ht="15.75" thickBot="1">
      <c r="A9" s="2936"/>
      <c r="B9" s="2943" t="s">
        <v>528</v>
      </c>
      <c r="C9" s="519">
        <f>'数据-取费表'!B2</f>
        <v>43348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28" t="s">
        <v>529</v>
      </c>
      <c r="Q9" s="3430"/>
      <c r="R9" s="1567" t="s">
        <v>8</v>
      </c>
      <c r="S9" s="1568">
        <f t="shared" ref="S9:S17" si="0">F9</f>
        <v>0</v>
      </c>
      <c r="T9" s="1567" t="s">
        <v>8</v>
      </c>
      <c r="U9" s="1568">
        <f t="shared" ref="U9:U17" si="1">H9</f>
        <v>0</v>
      </c>
      <c r="V9" s="1567" t="s">
        <v>8</v>
      </c>
      <c r="W9" s="1568">
        <f t="shared" ref="W9:W17" si="2">J9</f>
        <v>0</v>
      </c>
      <c r="X9" s="1569"/>
      <c r="Y9" s="3428" t="s">
        <v>529</v>
      </c>
      <c r="Z9" s="3429"/>
      <c r="AA9" s="1570" t="e">
        <f>D9/F9</f>
        <v>#DIV/0!</v>
      </c>
      <c r="AB9" s="1570" t="e">
        <f>D9/H9</f>
        <v>#DIV/0!</v>
      </c>
      <c r="AC9" s="1570" t="e">
        <f>D9/J9</f>
        <v>#DIV/0!</v>
      </c>
    </row>
    <row r="10" spans="1:29" s="1220" customFormat="1" ht="15.75" thickBot="1">
      <c r="A10" s="2937"/>
      <c r="B10" s="294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28" t="s">
        <v>532</v>
      </c>
      <c r="Q10" s="3429"/>
      <c r="R10" s="1567" t="s">
        <v>8</v>
      </c>
      <c r="S10" s="1568">
        <f t="shared" si="0"/>
        <v>0</v>
      </c>
      <c r="T10" s="1567" t="s">
        <v>8</v>
      </c>
      <c r="U10" s="1568">
        <f t="shared" si="1"/>
        <v>0</v>
      </c>
      <c r="V10" s="1567" t="s">
        <v>8</v>
      </c>
      <c r="W10" s="1568">
        <f t="shared" si="2"/>
        <v>0</v>
      </c>
      <c r="X10" s="1569"/>
      <c r="Y10" s="3428" t="s">
        <v>532</v>
      </c>
      <c r="Z10" s="3429"/>
      <c r="AA10" s="1570" t="e">
        <f t="shared" ref="AA10:AA42" si="3">D10/F10</f>
        <v>#DIV/0!</v>
      </c>
      <c r="AB10" s="1570" t="e">
        <f t="shared" ref="AB10:AB42" si="4">D10/H10</f>
        <v>#DIV/0!</v>
      </c>
      <c r="AC10" s="1570" t="e">
        <f t="shared" ref="AC10:AC42" si="5">D10/J10</f>
        <v>#DIV/0!</v>
      </c>
    </row>
    <row r="11" spans="1:29" s="1220" customFormat="1" ht="15">
      <c r="A11" s="2938"/>
      <c r="B11" s="2945" t="s">
        <v>2756</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96" t="s">
        <v>534</v>
      </c>
      <c r="Q11" s="1151" t="str">
        <f t="shared" ref="Q11:Q17" si="6">B11</f>
        <v>用途</v>
      </c>
      <c r="R11" s="1567" t="s">
        <v>8</v>
      </c>
      <c r="S11" s="1568">
        <f t="shared" si="0"/>
        <v>100</v>
      </c>
      <c r="T11" s="1567" t="s">
        <v>8</v>
      </c>
      <c r="U11" s="1568">
        <f t="shared" si="1"/>
        <v>100</v>
      </c>
      <c r="V11" s="1567" t="s">
        <v>8</v>
      </c>
      <c r="W11" s="1568">
        <f t="shared" si="2"/>
        <v>100</v>
      </c>
      <c r="X11" s="1569"/>
      <c r="Y11" s="3342" t="s">
        <v>535</v>
      </c>
      <c r="Z11" s="1150" t="str">
        <f t="shared" ref="Z11:Z17" si="7">Q11</f>
        <v>用途</v>
      </c>
      <c r="AA11" s="1570">
        <f t="shared" si="3"/>
        <v>1</v>
      </c>
      <c r="AB11" s="1570">
        <f t="shared" si="4"/>
        <v>1</v>
      </c>
      <c r="AC11" s="1570">
        <f t="shared" si="5"/>
        <v>1</v>
      </c>
    </row>
    <row r="12" spans="1:29" s="1338" customFormat="1" ht="27">
      <c r="A12" s="2939"/>
      <c r="B12" s="2944" t="s">
        <v>2757</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96"/>
      <c r="Q12" s="1151" t="str">
        <f t="shared" si="6"/>
        <v>土地使用年限（年）</v>
      </c>
      <c r="R12" s="1567" t="s">
        <v>8</v>
      </c>
      <c r="S12" s="1568">
        <f t="shared" si="0"/>
        <v>100</v>
      </c>
      <c r="T12" s="1567" t="s">
        <v>8</v>
      </c>
      <c r="U12" s="1568">
        <f t="shared" si="1"/>
        <v>100</v>
      </c>
      <c r="V12" s="1567" t="s">
        <v>8</v>
      </c>
      <c r="W12" s="1568">
        <f t="shared" si="2"/>
        <v>100</v>
      </c>
      <c r="X12" s="1569"/>
      <c r="Y12" s="3342"/>
      <c r="Z12" s="1150" t="str">
        <f t="shared" si="7"/>
        <v>土地使用年限（年）</v>
      </c>
      <c r="AA12" s="1570">
        <f t="shared" si="3"/>
        <v>1</v>
      </c>
      <c r="AB12" s="1570">
        <f t="shared" si="4"/>
        <v>1</v>
      </c>
      <c r="AC12" s="1570">
        <f t="shared" si="5"/>
        <v>1</v>
      </c>
    </row>
    <row r="13" spans="1:29" ht="15">
      <c r="A13" s="2940"/>
      <c r="B13" s="294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96"/>
      <c r="Q13" s="1151" t="str">
        <f t="shared" si="6"/>
        <v>容积率</v>
      </c>
      <c r="R13" s="1567" t="s">
        <v>8</v>
      </c>
      <c r="S13" s="1568" t="e">
        <f t="shared" si="0"/>
        <v>#N/A</v>
      </c>
      <c r="T13" s="1567" t="s">
        <v>8</v>
      </c>
      <c r="U13" s="1568" t="e">
        <f t="shared" si="1"/>
        <v>#N/A</v>
      </c>
      <c r="V13" s="1567" t="s">
        <v>8</v>
      </c>
      <c r="W13" s="1568" t="e">
        <f t="shared" si="2"/>
        <v>#N/A</v>
      </c>
      <c r="X13" s="1569"/>
      <c r="Y13" s="3342"/>
      <c r="Z13" s="1150" t="str">
        <f t="shared" si="7"/>
        <v>容积率</v>
      </c>
      <c r="AA13" s="1570" t="e">
        <f t="shared" si="3"/>
        <v>#N/A</v>
      </c>
      <c r="AB13" s="1570" t="e">
        <f t="shared" si="4"/>
        <v>#N/A</v>
      </c>
      <c r="AC13" s="1570"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96"/>
      <c r="Q14" s="1151">
        <f t="shared" si="6"/>
        <v>111</v>
      </c>
      <c r="R14" s="1567" t="s">
        <v>8</v>
      </c>
      <c r="S14" s="1568">
        <f t="shared" si="0"/>
        <v>100</v>
      </c>
      <c r="T14" s="1567" t="s">
        <v>8</v>
      </c>
      <c r="U14" s="1568">
        <f t="shared" si="1"/>
        <v>100</v>
      </c>
      <c r="V14" s="1567" t="s">
        <v>8</v>
      </c>
      <c r="W14" s="1568">
        <f t="shared" si="2"/>
        <v>100</v>
      </c>
      <c r="X14" s="1569"/>
      <c r="Y14" s="3342"/>
      <c r="Z14" s="1150">
        <f t="shared" si="7"/>
        <v>111</v>
      </c>
      <c r="AA14" s="1570">
        <f>D14/F14</f>
        <v>1</v>
      </c>
      <c r="AB14" s="1570">
        <f>D14/H14</f>
        <v>1</v>
      </c>
      <c r="AC14" s="1570">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96"/>
      <c r="Q15" s="1151">
        <f t="shared" si="6"/>
        <v>111</v>
      </c>
      <c r="R15" s="1567" t="s">
        <v>8</v>
      </c>
      <c r="S15" s="1568">
        <f t="shared" si="0"/>
        <v>100</v>
      </c>
      <c r="T15" s="1567" t="s">
        <v>8</v>
      </c>
      <c r="U15" s="1568">
        <f t="shared" si="1"/>
        <v>100</v>
      </c>
      <c r="V15" s="1567" t="s">
        <v>8</v>
      </c>
      <c r="W15" s="1568">
        <f t="shared" si="2"/>
        <v>100</v>
      </c>
      <c r="X15" s="1569"/>
      <c r="Y15" s="3342"/>
      <c r="Z15" s="1150">
        <f t="shared" si="7"/>
        <v>111</v>
      </c>
      <c r="AA15" s="1570">
        <f t="shared" si="3"/>
        <v>1</v>
      </c>
      <c r="AB15" s="1570">
        <f t="shared" si="4"/>
        <v>1</v>
      </c>
      <c r="AC15" s="1570">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96"/>
      <c r="Q16" s="1151">
        <f t="shared" si="6"/>
        <v>111</v>
      </c>
      <c r="R16" s="1567" t="s">
        <v>8</v>
      </c>
      <c r="S16" s="1568">
        <f t="shared" si="0"/>
        <v>100</v>
      </c>
      <c r="T16" s="1567" t="s">
        <v>8</v>
      </c>
      <c r="U16" s="1568">
        <f t="shared" si="1"/>
        <v>100</v>
      </c>
      <c r="V16" s="1567" t="s">
        <v>8</v>
      </c>
      <c r="W16" s="1568">
        <f t="shared" si="2"/>
        <v>100</v>
      </c>
      <c r="X16" s="1569"/>
      <c r="Y16" s="3342"/>
      <c r="Z16" s="1150">
        <f t="shared" si="7"/>
        <v>111</v>
      </c>
      <c r="AA16" s="1570">
        <f t="shared" si="3"/>
        <v>1</v>
      </c>
      <c r="AB16" s="1570">
        <f t="shared" si="4"/>
        <v>1</v>
      </c>
      <c r="AC16" s="1570">
        <f t="shared" si="5"/>
        <v>1</v>
      </c>
    </row>
    <row r="17" spans="1:29" ht="57">
      <c r="A17" s="2934" t="s">
        <v>2754</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31" t="s">
        <v>539</v>
      </c>
      <c r="Q17" s="1571" t="str">
        <f t="shared" si="6"/>
        <v>产业集聚程度</v>
      </c>
      <c r="R17" s="1572" t="s">
        <v>8</v>
      </c>
      <c r="S17" s="1573">
        <f t="shared" si="0"/>
        <v>100</v>
      </c>
      <c r="T17" s="1572" t="s">
        <v>8</v>
      </c>
      <c r="U17" s="1573">
        <f t="shared" si="1"/>
        <v>100</v>
      </c>
      <c r="V17" s="1572" t="s">
        <v>8</v>
      </c>
      <c r="W17" s="1573">
        <f t="shared" si="2"/>
        <v>100</v>
      </c>
      <c r="X17" s="1566"/>
      <c r="Y17" s="3431"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32"/>
      <c r="Q18" s="1571"/>
      <c r="R18" s="1572"/>
      <c r="S18" s="1573"/>
      <c r="T18" s="1572"/>
      <c r="U18" s="1573"/>
      <c r="V18" s="1572"/>
      <c r="W18" s="1573"/>
      <c r="X18" s="1566"/>
      <c r="Y18" s="3432"/>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32"/>
      <c r="Q19" s="1571" t="str">
        <f>B19</f>
        <v>交通便捷度</v>
      </c>
      <c r="R19" s="1572" t="s">
        <v>8</v>
      </c>
      <c r="S19" s="1573">
        <f>F19</f>
        <v>100</v>
      </c>
      <c r="T19" s="1572" t="s">
        <v>8</v>
      </c>
      <c r="U19" s="1573">
        <f>H19</f>
        <v>100</v>
      </c>
      <c r="V19" s="1572" t="s">
        <v>8</v>
      </c>
      <c r="W19" s="1573">
        <f>J19</f>
        <v>100</v>
      </c>
      <c r="X19" s="1566"/>
      <c r="Y19" s="3432"/>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32"/>
      <c r="Q20" s="1571"/>
      <c r="R20" s="1572"/>
      <c r="S20" s="1573"/>
      <c r="T20" s="1572"/>
      <c r="U20" s="1573"/>
      <c r="V20" s="1572"/>
      <c r="W20" s="1573"/>
      <c r="X20" s="1566"/>
      <c r="Y20" s="3432"/>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32"/>
      <c r="Q21" s="1571" t="str">
        <f t="shared" ref="Q21:Q35" si="8">B21</f>
        <v>区域土地利用方向</v>
      </c>
      <c r="R21" s="1572" t="s">
        <v>8</v>
      </c>
      <c r="S21" s="1573">
        <f>F21</f>
        <v>100</v>
      </c>
      <c r="T21" s="1572" t="s">
        <v>8</v>
      </c>
      <c r="U21" s="1573">
        <f>H21</f>
        <v>100</v>
      </c>
      <c r="V21" s="1572" t="s">
        <v>8</v>
      </c>
      <c r="W21" s="1573">
        <f>J21</f>
        <v>100</v>
      </c>
      <c r="X21" s="1566"/>
      <c r="Y21" s="3432"/>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32"/>
      <c r="Q22" s="1571"/>
      <c r="R22" s="1572"/>
      <c r="S22" s="1573"/>
      <c r="T22" s="1572"/>
      <c r="U22" s="1573"/>
      <c r="V22" s="1572"/>
      <c r="W22" s="1573"/>
      <c r="X22" s="1566"/>
      <c r="Y22" s="3432"/>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32"/>
      <c r="Q23" s="1571" t="str">
        <f t="shared" si="8"/>
        <v>环境状况</v>
      </c>
      <c r="R23" s="1572" t="s">
        <v>8</v>
      </c>
      <c r="S23" s="1573">
        <f>F23</f>
        <v>100</v>
      </c>
      <c r="T23" s="1572" t="s">
        <v>8</v>
      </c>
      <c r="U23" s="1573">
        <f>H23</f>
        <v>100</v>
      </c>
      <c r="V23" s="1572" t="s">
        <v>8</v>
      </c>
      <c r="W23" s="1573">
        <f>J23</f>
        <v>100</v>
      </c>
      <c r="X23" s="1566"/>
      <c r="Y23" s="3432"/>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32"/>
      <c r="Q24" s="1571"/>
      <c r="R24" s="1572"/>
      <c r="S24" s="1573"/>
      <c r="T24" s="1572"/>
      <c r="U24" s="1573"/>
      <c r="V24" s="1572"/>
      <c r="W24" s="1573"/>
      <c r="X24" s="1566"/>
      <c r="Y24" s="3432"/>
      <c r="Z24" s="1574"/>
      <c r="AA24" s="1575">
        <v>1</v>
      </c>
      <c r="AB24" s="1575">
        <v>1</v>
      </c>
      <c r="AC24" s="1575">
        <v>1</v>
      </c>
    </row>
    <row r="25" spans="1:29" s="1220" customFormat="1" ht="42.75">
      <c r="A25" s="577"/>
      <c r="B25" s="2617"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32"/>
      <c r="Q25" s="1151" t="str">
        <f t="shared" si="8"/>
        <v>公共配套设施</v>
      </c>
      <c r="R25" s="1567" t="s">
        <v>8</v>
      </c>
      <c r="S25" s="1568">
        <f>F25</f>
        <v>100</v>
      </c>
      <c r="T25" s="1567" t="s">
        <v>8</v>
      </c>
      <c r="U25" s="1568">
        <f>H25</f>
        <v>100</v>
      </c>
      <c r="V25" s="1567" t="s">
        <v>8</v>
      </c>
      <c r="W25" s="1568">
        <f>J25</f>
        <v>100</v>
      </c>
      <c r="X25" s="1569"/>
      <c r="Y25" s="3432"/>
      <c r="Z25" s="1150" t="str">
        <f>Q25</f>
        <v>公共配套设施</v>
      </c>
      <c r="AA25" s="1575">
        <f>D25/F25</f>
        <v>1</v>
      </c>
      <c r="AB25" s="1575">
        <f>D25/H25</f>
        <v>1</v>
      </c>
      <c r="AC25" s="1575">
        <f>D25/J25</f>
        <v>1</v>
      </c>
    </row>
    <row r="26" spans="1:29" s="1220" customFormat="1" ht="15">
      <c r="A26" s="577"/>
      <c r="B26" s="595"/>
      <c r="C26" s="2616"/>
      <c r="D26" s="555"/>
      <c r="E26" s="554"/>
      <c r="F26" s="555"/>
      <c r="G26" s="554"/>
      <c r="H26" s="555"/>
      <c r="I26" s="576"/>
      <c r="J26" s="555"/>
      <c r="K26" s="531"/>
      <c r="L26" s="2135"/>
      <c r="M26" s="2136"/>
      <c r="N26" s="2136"/>
      <c r="O26" s="2137"/>
      <c r="P26" s="3432"/>
      <c r="Q26" s="1151"/>
      <c r="R26" s="1567"/>
      <c r="S26" s="1568"/>
      <c r="T26" s="1567"/>
      <c r="U26" s="1568"/>
      <c r="V26" s="1567"/>
      <c r="W26" s="1568"/>
      <c r="X26" s="1569"/>
      <c r="Y26" s="3432"/>
      <c r="Z26" s="1150"/>
      <c r="AA26" s="1570">
        <v>1</v>
      </c>
      <c r="AB26" s="1570">
        <v>1</v>
      </c>
      <c r="AC26" s="1570">
        <v>1</v>
      </c>
    </row>
    <row r="27" spans="1:29" s="1220" customFormat="1" ht="28.5">
      <c r="A27" s="577"/>
      <c r="B27" s="2617"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32"/>
      <c r="Q27" s="2602" t="str">
        <f t="shared" ref="Q27" si="9">B27</f>
        <v>基础设施水平</v>
      </c>
      <c r="R27" s="1567" t="s">
        <v>8</v>
      </c>
      <c r="S27" s="1568">
        <f>F27</f>
        <v>100</v>
      </c>
      <c r="T27" s="1567" t="s">
        <v>8</v>
      </c>
      <c r="U27" s="1568">
        <f>H27</f>
        <v>100</v>
      </c>
      <c r="V27" s="1567" t="s">
        <v>8</v>
      </c>
      <c r="W27" s="1568">
        <f>J27</f>
        <v>100</v>
      </c>
      <c r="X27" s="1569"/>
      <c r="Y27" s="3432"/>
      <c r="Z27" s="2599" t="str">
        <f>Q27</f>
        <v>基础设施水平</v>
      </c>
      <c r="AA27" s="1575">
        <f>D27/F27</f>
        <v>1</v>
      </c>
      <c r="AB27" s="1575">
        <f>D27/H27</f>
        <v>1</v>
      </c>
      <c r="AC27" s="1575">
        <f>D27/J27</f>
        <v>1</v>
      </c>
    </row>
    <row r="28" spans="1:29" s="1220" customFormat="1" ht="15">
      <c r="A28" s="577"/>
      <c r="B28" s="595"/>
      <c r="C28" s="2616"/>
      <c r="D28" s="555"/>
      <c r="E28" s="579"/>
      <c r="F28" s="555"/>
      <c r="G28" s="579"/>
      <c r="H28" s="555"/>
      <c r="I28" s="579"/>
      <c r="J28" s="555"/>
      <c r="K28" s="531"/>
      <c r="L28" s="2135"/>
      <c r="M28" s="2136"/>
      <c r="N28" s="2136"/>
      <c r="O28" s="2137"/>
      <c r="P28" s="3432"/>
      <c r="Q28" s="2602"/>
      <c r="R28" s="1567"/>
      <c r="S28" s="1568"/>
      <c r="T28" s="1567"/>
      <c r="U28" s="1568"/>
      <c r="V28" s="1567"/>
      <c r="W28" s="1568"/>
      <c r="X28" s="1569"/>
      <c r="Y28" s="3432"/>
      <c r="Z28" s="2599"/>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3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2"/>
      <c r="Z29" s="1574" t="str">
        <f t="shared" ref="Z29:Z42" si="13">Q29</f>
        <v>临街状况</v>
      </c>
      <c r="AA29" s="1575">
        <f t="shared" si="3"/>
        <v>1</v>
      </c>
      <c r="AB29" s="1575">
        <f t="shared" si="4"/>
        <v>1</v>
      </c>
      <c r="AC29" s="1575">
        <f t="shared" si="5"/>
        <v>1</v>
      </c>
    </row>
    <row r="30" spans="1:29" ht="27">
      <c r="A30" s="532"/>
      <c r="B30" s="922" t="s">
        <v>547</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32"/>
      <c r="Q30" s="1571" t="str">
        <f t="shared" si="8"/>
        <v>毗邻道路的类型与等级</v>
      </c>
      <c r="R30" s="1572" t="s">
        <v>8</v>
      </c>
      <c r="S30" s="1573">
        <f t="shared" si="10"/>
        <v>100</v>
      </c>
      <c r="T30" s="1572" t="s">
        <v>8</v>
      </c>
      <c r="U30" s="1573">
        <f t="shared" si="11"/>
        <v>100</v>
      </c>
      <c r="V30" s="1572" t="s">
        <v>8</v>
      </c>
      <c r="W30" s="1573">
        <f t="shared" si="12"/>
        <v>100</v>
      </c>
      <c r="X30" s="1566"/>
      <c r="Y30" s="3432"/>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32"/>
      <c r="Q31" s="1571"/>
      <c r="R31" s="1572"/>
      <c r="S31" s="1573"/>
      <c r="T31" s="1572"/>
      <c r="U31" s="1573"/>
      <c r="V31" s="1572"/>
      <c r="W31" s="1573"/>
      <c r="X31" s="1566"/>
      <c r="Y31" s="3432"/>
      <c r="Z31" s="1574"/>
      <c r="AA31" s="1575">
        <v>1</v>
      </c>
      <c r="AB31" s="1575">
        <v>1</v>
      </c>
      <c r="AC31" s="1575">
        <v>1</v>
      </c>
    </row>
    <row r="32" spans="1:29" ht="15">
      <c r="A32" s="532"/>
      <c r="B32" s="527" t="s">
        <v>548</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32"/>
      <c r="Q32" s="1571" t="str">
        <f t="shared" si="8"/>
        <v>土地级别</v>
      </c>
      <c r="R32" s="1572" t="s">
        <v>8</v>
      </c>
      <c r="S32" s="1573">
        <f t="shared" si="10"/>
        <v>100</v>
      </c>
      <c r="T32" s="1572" t="s">
        <v>8</v>
      </c>
      <c r="U32" s="1573">
        <f t="shared" si="11"/>
        <v>100</v>
      </c>
      <c r="V32" s="1572" t="s">
        <v>8</v>
      </c>
      <c r="W32" s="1573">
        <f t="shared" si="12"/>
        <v>100</v>
      </c>
      <c r="X32" s="1566"/>
      <c r="Y32" s="3432"/>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32"/>
      <c r="Q33" s="1571">
        <f t="shared" si="8"/>
        <v>111</v>
      </c>
      <c r="R33" s="1572" t="s">
        <v>8</v>
      </c>
      <c r="S33" s="1573">
        <f t="shared" si="10"/>
        <v>100</v>
      </c>
      <c r="T33" s="1572" t="s">
        <v>8</v>
      </c>
      <c r="U33" s="1573">
        <f t="shared" si="11"/>
        <v>100</v>
      </c>
      <c r="V33" s="1572" t="s">
        <v>8</v>
      </c>
      <c r="W33" s="1573">
        <f t="shared" si="12"/>
        <v>100</v>
      </c>
      <c r="X33" s="1566"/>
      <c r="Y33" s="3432"/>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33" t="s">
        <v>549</v>
      </c>
      <c r="Q34" s="1571">
        <f t="shared" si="8"/>
        <v>111</v>
      </c>
      <c r="R34" s="1572" t="s">
        <v>8</v>
      </c>
      <c r="S34" s="1573">
        <f t="shared" si="10"/>
        <v>100</v>
      </c>
      <c r="T34" s="1572" t="s">
        <v>8</v>
      </c>
      <c r="U34" s="1573">
        <f t="shared" si="11"/>
        <v>100</v>
      </c>
      <c r="V34" s="1572" t="s">
        <v>8</v>
      </c>
      <c r="W34" s="1573">
        <f t="shared" si="12"/>
        <v>100</v>
      </c>
      <c r="X34" s="1566"/>
      <c r="Y34" s="3434" t="s">
        <v>549</v>
      </c>
      <c r="Z34" s="1574">
        <f t="shared" si="13"/>
        <v>111</v>
      </c>
      <c r="AA34" s="1575">
        <f t="shared" si="3"/>
        <v>1</v>
      </c>
      <c r="AB34" s="1575">
        <f t="shared" si="4"/>
        <v>1</v>
      </c>
      <c r="AC34" s="1575">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34"/>
      <c r="Q35" s="1571">
        <f t="shared" si="8"/>
        <v>111</v>
      </c>
      <c r="R35" s="1576" t="s">
        <v>8</v>
      </c>
      <c r="S35" s="1577">
        <f t="shared" si="10"/>
        <v>100</v>
      </c>
      <c r="T35" s="1576" t="s">
        <v>8</v>
      </c>
      <c r="U35" s="1577">
        <f t="shared" si="11"/>
        <v>100</v>
      </c>
      <c r="V35" s="1576" t="s">
        <v>8</v>
      </c>
      <c r="W35" s="1577">
        <f t="shared" si="12"/>
        <v>100</v>
      </c>
      <c r="X35" s="1578"/>
      <c r="Y35" s="3434"/>
      <c r="Z35" s="1579">
        <f t="shared" si="13"/>
        <v>111</v>
      </c>
      <c r="AA35" s="1575">
        <f t="shared" si="3"/>
        <v>1</v>
      </c>
      <c r="AB35" s="1575">
        <f t="shared" si="4"/>
        <v>1</v>
      </c>
      <c r="AC35" s="1575">
        <f t="shared" si="5"/>
        <v>1</v>
      </c>
    </row>
    <row r="36" spans="1:29" ht="15">
      <c r="A36" s="2931"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34"/>
      <c r="Q36" s="1571" t="str">
        <f>B36</f>
        <v>宗地面积</v>
      </c>
      <c r="R36" s="1572" t="s">
        <v>8</v>
      </c>
      <c r="S36" s="1573" t="e">
        <f t="shared" si="10"/>
        <v>#N/A</v>
      </c>
      <c r="T36" s="1572" t="s">
        <v>8</v>
      </c>
      <c r="U36" s="1573" t="e">
        <f t="shared" si="11"/>
        <v>#N/A</v>
      </c>
      <c r="V36" s="1572" t="s">
        <v>8</v>
      </c>
      <c r="W36" s="1573" t="e">
        <f t="shared" si="12"/>
        <v>#N/A</v>
      </c>
      <c r="X36" s="1566"/>
      <c r="Y36" s="3434"/>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34"/>
      <c r="Q37" s="1571" t="str">
        <f t="shared" ref="Q37:Q42" si="14">B37</f>
        <v>宗地形状</v>
      </c>
      <c r="R37" s="1572" t="s">
        <v>8</v>
      </c>
      <c r="S37" s="1573">
        <f t="shared" si="10"/>
        <v>100</v>
      </c>
      <c r="T37" s="1572" t="s">
        <v>8</v>
      </c>
      <c r="U37" s="1573">
        <f t="shared" si="11"/>
        <v>100</v>
      </c>
      <c r="V37" s="1572" t="s">
        <v>8</v>
      </c>
      <c r="W37" s="1573">
        <f t="shared" si="12"/>
        <v>100</v>
      </c>
      <c r="X37" s="1566"/>
      <c r="Y37" s="3434"/>
      <c r="Z37" s="1574" t="str">
        <f t="shared" si="13"/>
        <v>宗地形状</v>
      </c>
      <c r="AA37" s="1575">
        <f t="shared" si="3"/>
        <v>1</v>
      </c>
      <c r="AB37" s="1575">
        <f t="shared" si="4"/>
        <v>1</v>
      </c>
      <c r="AC37" s="1575">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34"/>
      <c r="Q38" s="1571" t="str">
        <f t="shared" si="14"/>
        <v>宗地开发程度</v>
      </c>
      <c r="R38" s="1567" t="s">
        <v>8</v>
      </c>
      <c r="S38" s="1568">
        <f t="shared" si="10"/>
        <v>100</v>
      </c>
      <c r="T38" s="1567" t="s">
        <v>8</v>
      </c>
      <c r="U38" s="1568">
        <f t="shared" si="11"/>
        <v>100</v>
      </c>
      <c r="V38" s="1567" t="s">
        <v>8</v>
      </c>
      <c r="W38" s="1568">
        <f t="shared" si="12"/>
        <v>100</v>
      </c>
      <c r="X38" s="1569"/>
      <c r="Y38" s="3434"/>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34" t="s">
        <v>600</v>
      </c>
      <c r="Q39" s="1571" t="str">
        <f t="shared" si="14"/>
        <v>工程地质条件</v>
      </c>
      <c r="R39" s="1572" t="s">
        <v>8</v>
      </c>
      <c r="S39" s="1573">
        <f t="shared" si="10"/>
        <v>100</v>
      </c>
      <c r="T39" s="1572" t="s">
        <v>8</v>
      </c>
      <c r="U39" s="1573">
        <f t="shared" si="11"/>
        <v>100</v>
      </c>
      <c r="V39" s="1572" t="s">
        <v>8</v>
      </c>
      <c r="W39" s="1573">
        <f t="shared" si="12"/>
        <v>100</v>
      </c>
      <c r="X39" s="1566"/>
      <c r="Y39" s="3434"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34"/>
      <c r="Q40" s="1571">
        <f t="shared" si="14"/>
        <v>111</v>
      </c>
      <c r="R40" s="1572" t="s">
        <v>8</v>
      </c>
      <c r="S40" s="1573">
        <f t="shared" si="10"/>
        <v>100</v>
      </c>
      <c r="T40" s="1572" t="s">
        <v>8</v>
      </c>
      <c r="U40" s="1573">
        <f t="shared" si="11"/>
        <v>100</v>
      </c>
      <c r="V40" s="1572" t="s">
        <v>8</v>
      </c>
      <c r="W40" s="1573">
        <f t="shared" si="12"/>
        <v>100</v>
      </c>
      <c r="X40" s="1566"/>
      <c r="Y40" s="3434"/>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34"/>
      <c r="Q41" s="1571">
        <f t="shared" si="14"/>
        <v>111</v>
      </c>
      <c r="R41" s="1572" t="s">
        <v>8</v>
      </c>
      <c r="S41" s="1573">
        <f t="shared" si="10"/>
        <v>100</v>
      </c>
      <c r="T41" s="1572" t="s">
        <v>8</v>
      </c>
      <c r="U41" s="1573">
        <f t="shared" si="11"/>
        <v>100</v>
      </c>
      <c r="V41" s="1572" t="s">
        <v>8</v>
      </c>
      <c r="W41" s="1573">
        <f t="shared" si="12"/>
        <v>100</v>
      </c>
      <c r="X41" s="1566"/>
      <c r="Y41" s="3434"/>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34"/>
      <c r="Q42" s="1571">
        <f t="shared" si="14"/>
        <v>111</v>
      </c>
      <c r="R42" s="1576" t="s">
        <v>8</v>
      </c>
      <c r="S42" s="1577">
        <f t="shared" si="10"/>
        <v>100</v>
      </c>
      <c r="T42" s="1576" t="s">
        <v>8</v>
      </c>
      <c r="U42" s="1577">
        <f t="shared" si="11"/>
        <v>100</v>
      </c>
      <c r="V42" s="1576" t="s">
        <v>8</v>
      </c>
      <c r="W42" s="1577">
        <f t="shared" si="12"/>
        <v>100</v>
      </c>
      <c r="X42" s="1578"/>
      <c r="Y42" s="3434"/>
      <c r="Z42" s="1579">
        <f t="shared" si="13"/>
        <v>111</v>
      </c>
      <c r="AA42" s="1575">
        <f t="shared" si="3"/>
        <v>1</v>
      </c>
      <c r="AB42" s="1575">
        <f t="shared" si="4"/>
        <v>1</v>
      </c>
      <c r="AC42" s="1575">
        <f t="shared" si="5"/>
        <v>1</v>
      </c>
    </row>
    <row r="43" spans="1:29" ht="15">
      <c r="A43" s="607" t="s">
        <v>555</v>
      </c>
      <c r="B43" s="608" t="s">
        <v>2931</v>
      </c>
      <c r="C43" s="609" t="s">
        <v>1</v>
      </c>
      <c r="D43" s="610"/>
      <c r="E43" s="611"/>
      <c r="F43" s="612"/>
      <c r="G43" s="613"/>
      <c r="H43" s="614"/>
      <c r="I43" s="611"/>
      <c r="J43" s="614"/>
      <c r="K43" s="1340"/>
      <c r="L43" s="2144"/>
      <c r="M43" s="2134"/>
      <c r="N43" s="2134"/>
      <c r="O43" s="2145"/>
      <c r="P43" s="3396" t="str">
        <f>A43</f>
        <v>成交单价</v>
      </c>
      <c r="Q43" s="3396"/>
      <c r="R43" s="3397">
        <f>E43</f>
        <v>0</v>
      </c>
      <c r="S43" s="3397"/>
      <c r="T43" s="3397">
        <f>G43</f>
        <v>0</v>
      </c>
      <c r="U43" s="3397"/>
      <c r="V43" s="3397">
        <f>I43</f>
        <v>0</v>
      </c>
      <c r="W43" s="3397"/>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1"/>
      <c r="L44" s="2144"/>
      <c r="M44" s="2134"/>
      <c r="N44" s="2134"/>
      <c r="O44" s="2145"/>
      <c r="P44" s="3396" t="str">
        <f>A44</f>
        <v>比较价格（元/平方米）</v>
      </c>
      <c r="Q44" s="3396"/>
      <c r="R44" s="3398" t="e">
        <f>ROUND(PRODUCT(R43,AA9:AA42),0)</f>
        <v>#DIV/0!</v>
      </c>
      <c r="S44" s="3398"/>
      <c r="T44" s="3398" t="e">
        <f>ROUND(PRODUCT(T43,AB9:AB42),0)</f>
        <v>#DIV/0!</v>
      </c>
      <c r="U44" s="3398"/>
      <c r="V44" s="3398" t="e">
        <f>ROUND(PRODUCT(V43,AC9:AC42),0)</f>
        <v>#DIV/0!</v>
      </c>
      <c r="W44" s="3398"/>
      <c r="X44" s="1558"/>
      <c r="Y44" s="1558"/>
      <c r="Z44" s="1558"/>
      <c r="AA44" s="1558"/>
      <c r="AB44" s="1558"/>
      <c r="AC44" s="1558"/>
    </row>
    <row r="45" spans="1:29" ht="15.75" thickBot="1">
      <c r="A45" s="621" t="s">
        <v>2932</v>
      </c>
      <c r="B45" s="622"/>
      <c r="C45" s="623" t="e">
        <f>R45</f>
        <v>#DIV/0!</v>
      </c>
      <c r="D45" s="623"/>
      <c r="E45" s="623"/>
      <c r="F45" s="623"/>
      <c r="G45" s="623"/>
      <c r="H45" s="623"/>
      <c r="I45" s="623"/>
      <c r="J45" s="623"/>
      <c r="K45" s="1342"/>
      <c r="L45" s="2144"/>
      <c r="M45" s="2134"/>
      <c r="N45" s="2134"/>
      <c r="O45" s="2145"/>
      <c r="P45" s="3393" t="str">
        <f>A45</f>
        <v>估价对象XX用房的比较价格（楼面单价，元/平方米）</v>
      </c>
      <c r="Q45" s="3394"/>
      <c r="R45" s="3395" t="e">
        <f>ROUND(AVERAGE(R44:V44),0)</f>
        <v>#DIV/0!</v>
      </c>
      <c r="S45" s="3395"/>
      <c r="T45" s="3395"/>
      <c r="U45" s="3395"/>
      <c r="V45" s="3395"/>
      <c r="W45" s="3395"/>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2293</v>
      </c>
      <c r="E52" s="631" t="s">
        <v>561</v>
      </c>
      <c r="F52" s="1951" t="s">
        <v>562</v>
      </c>
      <c r="G52" s="3445" t="s">
        <v>2284</v>
      </c>
      <c r="H52" s="3446"/>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563</v>
      </c>
      <c r="B53" s="634" t="e">
        <f>C45</f>
        <v>#DIV/0!</v>
      </c>
      <c r="C53" s="635">
        <v>1</v>
      </c>
      <c r="D53" s="2228">
        <v>1</v>
      </c>
      <c r="E53" s="635">
        <f>'数据-汇总表'!E8+'数据-汇总表'!E9</f>
        <v>111874.03000000001</v>
      </c>
      <c r="F53" s="1950" t="e">
        <f t="shared" ref="F53:F62" si="15">ROUND(B53*E53/10000,0)</f>
        <v>#DIV/0!</v>
      </c>
      <c r="G53" s="3447"/>
      <c r="H53" s="344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564</v>
      </c>
      <c r="B54" s="638" t="e">
        <f>ROUND($C$45*C54*D54,0)</f>
        <v>#DIV/0!</v>
      </c>
      <c r="C54" s="378">
        <f t="shared" ref="C54:C62" si="16">IF($C$52="北京市系数",I54,J54)</f>
        <v>0.7</v>
      </c>
      <c r="D54" s="2229">
        <v>0.25</v>
      </c>
      <c r="E54" s="639"/>
      <c r="F54" s="1950" t="e">
        <f t="shared" si="15"/>
        <v>#DIV/0!</v>
      </c>
      <c r="G54" s="3449" t="s">
        <v>2285</v>
      </c>
      <c r="H54" s="1954" t="str">
        <f>项目基本情况!B43</f>
        <v>六级</v>
      </c>
      <c r="I54" s="1953">
        <f>SUMIF(修正!$A$45:$A$56,H54,修正!B45:B56)</f>
        <v>0.7</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565</v>
      </c>
      <c r="B55" s="638" t="e">
        <f t="shared" ref="B55:B62" si="17">ROUND($C$45*C55*D55,0)</f>
        <v>#DIV/0!</v>
      </c>
      <c r="C55" s="378">
        <f t="shared" si="16"/>
        <v>0.4</v>
      </c>
      <c r="D55" s="2229">
        <v>0.25</v>
      </c>
      <c r="E55" s="639"/>
      <c r="F55" s="1950" t="e">
        <f t="shared" si="15"/>
        <v>#DIV/0!</v>
      </c>
      <c r="G55" s="3449"/>
      <c r="H55" s="1955" t="str">
        <f>项目基本情况!B43</f>
        <v>六级</v>
      </c>
      <c r="I55" s="1953">
        <f>SUMIF(修正!$A$45:$A$56,H55,修正!C45:C56)</f>
        <v>0.4</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566</v>
      </c>
      <c r="B56" s="638" t="e">
        <f t="shared" si="17"/>
        <v>#DIV/0!</v>
      </c>
      <c r="C56" s="378">
        <f t="shared" si="16"/>
        <v>0.28000000000000003</v>
      </c>
      <c r="D56" s="2229">
        <v>0.25</v>
      </c>
      <c r="E56" s="639"/>
      <c r="F56" s="1950" t="e">
        <f t="shared" si="15"/>
        <v>#DIV/0!</v>
      </c>
      <c r="G56" s="3449"/>
      <c r="H56" s="1955" t="str">
        <f>项目基本情况!B43</f>
        <v>六级</v>
      </c>
      <c r="I56" s="1953">
        <f>SUMIF(修正!$A$45:$A$56,H56,修正!D45:D56)</f>
        <v>0.28000000000000003</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567</v>
      </c>
      <c r="B57" s="638" t="e">
        <f t="shared" si="17"/>
        <v>#DIV/0!</v>
      </c>
      <c r="C57" s="378">
        <f t="shared" si="16"/>
        <v>0.25</v>
      </c>
      <c r="D57" s="2229">
        <v>0.25</v>
      </c>
      <c r="E57" s="639"/>
      <c r="F57" s="1950" t="e">
        <f t="shared" si="15"/>
        <v>#DIV/0!</v>
      </c>
      <c r="G57" s="3449"/>
      <c r="H57" s="1955" t="str">
        <f>项目基本情况!B43</f>
        <v>六级</v>
      </c>
      <c r="I57" s="1953">
        <f>SUMIF(修正!$A$45:$A$56,H57,修正!E45:E56)</f>
        <v>0.25</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2328</v>
      </c>
      <c r="B58" s="638" t="e">
        <f t="shared" si="17"/>
        <v>#DIV/0!</v>
      </c>
      <c r="C58" s="378">
        <f t="shared" si="16"/>
        <v>0.25</v>
      </c>
      <c r="D58" s="2229">
        <v>0.25</v>
      </c>
      <c r="E58" s="641">
        <f>'数据-汇总表'!E11</f>
        <v>0</v>
      </c>
      <c r="F58" s="1950" t="e">
        <f t="shared" si="15"/>
        <v>#DIV/0!</v>
      </c>
      <c r="G58" s="1956" t="s">
        <v>2286</v>
      </c>
      <c r="H58" s="1955" t="str">
        <f>项目基本情况!C43</f>
        <v>六级</v>
      </c>
      <c r="I58" s="1953">
        <f>SUMIF(修正!$A$45:$A$56,H58,修正!F45:F56)</f>
        <v>0.25</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568</v>
      </c>
      <c r="B59" s="638" t="e">
        <f t="shared" si="17"/>
        <v>#DIV/0!</v>
      </c>
      <c r="C59" s="378">
        <f t="shared" si="16"/>
        <v>0.25</v>
      </c>
      <c r="D59" s="2229">
        <v>0.25</v>
      </c>
      <c r="E59" s="641">
        <f>'数据-汇总表'!E12</f>
        <v>0</v>
      </c>
      <c r="F59" s="1950" t="e">
        <f t="shared" si="15"/>
        <v>#DIV/0!</v>
      </c>
      <c r="G59" s="1946" t="s">
        <v>1677</v>
      </c>
      <c r="H59" s="1954" t="str">
        <f>IF(G59="商业",项目基本情况!B43,IF(G59="办公",项目基本情况!C43,IF(G59="住宅",项目基本情况!D43,项目基本情况!E43)))</f>
        <v>六级</v>
      </c>
      <c r="I59" s="1953">
        <f>SUMIF(修正!$A$45:$A$56,H59,修正!G45:G56)</f>
        <v>0.25</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569</v>
      </c>
      <c r="B60" s="638" t="e">
        <f t="shared" si="17"/>
        <v>#DIV/0!</v>
      </c>
      <c r="C60" s="378">
        <f t="shared" si="16"/>
        <v>0.2</v>
      </c>
      <c r="D60" s="2229">
        <v>0.25</v>
      </c>
      <c r="E60" s="641">
        <f>'数据-汇总表'!E13</f>
        <v>38883.97</v>
      </c>
      <c r="F60" s="1950" t="e">
        <f t="shared" si="15"/>
        <v>#DIV/0!</v>
      </c>
      <c r="G60" s="1946" t="s">
        <v>922</v>
      </c>
      <c r="H60" s="1954" t="str">
        <f>IF(G60="商业",项目基本情况!B43,IF(G60="办公",项目基本情况!C43,IF(G60="住宅",项目基本情况!D43,项目基本情况!E43)))</f>
        <v>六级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570</v>
      </c>
      <c r="B61" s="638" t="e">
        <f t="shared" si="17"/>
        <v>#DIV/0!</v>
      </c>
      <c r="C61" s="378">
        <f t="shared" si="16"/>
        <v>0.2</v>
      </c>
      <c r="D61" s="2229">
        <v>0.25</v>
      </c>
      <c r="E61" s="641">
        <f>'数据-汇总表'!E14</f>
        <v>0</v>
      </c>
      <c r="F61" s="1950" t="e">
        <f t="shared" si="15"/>
        <v>#DIV/0!</v>
      </c>
      <c r="G61" s="1956" t="s">
        <v>2285</v>
      </c>
      <c r="H61" s="1955" t="str">
        <f>项目基本情况!B43</f>
        <v>六级</v>
      </c>
      <c r="I61" s="1953">
        <f>SUMIF(修正!$A$45:$A$56,H61,修正!H45:H56)</f>
        <v>0.2</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571</v>
      </c>
      <c r="B62" s="638" t="e">
        <f t="shared" si="17"/>
        <v>#DIV/0!</v>
      </c>
      <c r="C62" s="378">
        <f t="shared" si="16"/>
        <v>0.2</v>
      </c>
      <c r="D62" s="2229">
        <v>0.25</v>
      </c>
      <c r="E62" s="641">
        <f>'数据-汇总表'!E15</f>
        <v>0</v>
      </c>
      <c r="F62" s="1950" t="e">
        <f t="shared" si="15"/>
        <v>#DIV/0!</v>
      </c>
      <c r="G62" s="1957" t="s">
        <v>2286</v>
      </c>
      <c r="H62" s="1958" t="str">
        <f>项目基本情况!C43</f>
        <v>六级</v>
      </c>
      <c r="I62" s="1953">
        <f>SUMIF(修正!$A$45:$A$56,H62,修正!H45:H56)</f>
        <v>0.2</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572</v>
      </c>
      <c r="B63" s="643" t="s">
        <v>17</v>
      </c>
      <c r="C63" s="643" t="s">
        <v>18</v>
      </c>
      <c r="D63" s="643" t="s">
        <v>2294</v>
      </c>
      <c r="E63" s="643">
        <f>IF(B43="楼面地价",SUM(E53:E62),'数据-汇总表'!D3)</f>
        <v>41849.370000000003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2018-9-1</v>
      </c>
      <c r="D65" s="2823">
        <f>EDATE(C65,-3)</f>
        <v>43252</v>
      </c>
      <c r="E65" s="2823">
        <f t="shared" ref="E65:N65" si="18">EDATE(D65,-3)</f>
        <v>43160</v>
      </c>
      <c r="F65" s="2823">
        <f t="shared" si="18"/>
        <v>43070</v>
      </c>
      <c r="G65" s="2823">
        <f t="shared" si="18"/>
        <v>42979</v>
      </c>
      <c r="H65" s="2823">
        <f t="shared" si="18"/>
        <v>42887</v>
      </c>
      <c r="I65" s="2823">
        <f t="shared" si="18"/>
        <v>42795</v>
      </c>
      <c r="J65" s="2823">
        <f t="shared" si="18"/>
        <v>42705</v>
      </c>
      <c r="K65" s="2823">
        <f t="shared" si="18"/>
        <v>42614</v>
      </c>
      <c r="L65" s="2823">
        <f t="shared" si="18"/>
        <v>42522</v>
      </c>
      <c r="M65" s="2823">
        <f t="shared" si="18"/>
        <v>42430</v>
      </c>
      <c r="N65" s="2823">
        <f t="shared" si="18"/>
        <v>42339</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5">
      <c r="A67" s="2592" t="s">
        <v>2534</v>
      </c>
      <c r="B67" s="646"/>
      <c r="C67" s="2818" t="str">
        <f>YEAR(C65)&amp;"-"&amp;ROUNDUP(MONTH(C65)/3,0)</f>
        <v>2018-3</v>
      </c>
      <c r="D67" s="2825" t="str">
        <f t="shared" ref="D67:N67" si="19">YEAR(D65)&amp;"-"&amp;ROUNDUP(MONTH(D65)/3,0)</f>
        <v>2018-2</v>
      </c>
      <c r="E67" s="2825" t="str">
        <f t="shared" si="19"/>
        <v>2018-1</v>
      </c>
      <c r="F67" s="2825" t="str">
        <f t="shared" si="19"/>
        <v>2017-4</v>
      </c>
      <c r="G67" s="2825" t="str">
        <f t="shared" si="19"/>
        <v>2017-3</v>
      </c>
      <c r="H67" s="2825" t="str">
        <f t="shared" si="19"/>
        <v>2017-2</v>
      </c>
      <c r="I67" s="2825" t="str">
        <f t="shared" si="19"/>
        <v>2017-1</v>
      </c>
      <c r="J67" s="2825" t="str">
        <f t="shared" si="19"/>
        <v>2016-4</v>
      </c>
      <c r="K67" s="2825" t="str">
        <f t="shared" si="19"/>
        <v>2016-3</v>
      </c>
      <c r="L67" s="2825" t="str">
        <f t="shared" si="19"/>
        <v>2016-2</v>
      </c>
      <c r="M67" s="2825" t="str">
        <f t="shared" si="19"/>
        <v>2016-1</v>
      </c>
      <c r="N67" s="2825" t="str">
        <f t="shared" si="19"/>
        <v>2015-4</v>
      </c>
      <c r="O67" s="2159"/>
      <c r="P67" s="2160"/>
      <c r="Q67" s="2161"/>
      <c r="R67" s="2161"/>
      <c r="S67" s="2161"/>
      <c r="T67" s="2161"/>
      <c r="U67" s="2161"/>
      <c r="V67" s="2161"/>
      <c r="W67" s="2161"/>
      <c r="X67" s="2161"/>
      <c r="Y67" s="2161"/>
      <c r="Z67" s="2161"/>
      <c r="AA67" s="2161"/>
      <c r="AB67" s="2161"/>
      <c r="AC67" s="2161"/>
    </row>
    <row r="68" spans="1:29" s="1220" customFormat="1" ht="27.75" customHeight="1">
      <c r="A68" s="2822" t="s">
        <v>2649</v>
      </c>
      <c r="B68" s="479" t="str">
        <f>"北京市平均增长率"&amp;TEXT(基准地价!P24,"0.00%")</f>
        <v>北京市平均增长率0.00%</v>
      </c>
      <c r="C68" s="894">
        <v>100</v>
      </c>
      <c r="D68" s="730"/>
      <c r="E68" s="730"/>
      <c r="F68" s="730"/>
      <c r="G68" s="730"/>
      <c r="H68" s="730"/>
      <c r="I68" s="730"/>
      <c r="J68" s="730"/>
      <c r="K68" s="730"/>
      <c r="L68" s="730"/>
      <c r="M68" s="2816"/>
      <c r="N68" s="2817"/>
      <c r="O68" s="2162"/>
      <c r="P68" s="2158"/>
      <c r="Q68" s="1993"/>
      <c r="R68" s="1993"/>
      <c r="S68" s="1993"/>
      <c r="T68" s="1993"/>
      <c r="U68" s="1993"/>
      <c r="V68" s="1993"/>
      <c r="W68" s="1993"/>
      <c r="X68" s="1993"/>
      <c r="Y68" s="1993"/>
      <c r="Z68" s="1993"/>
      <c r="AA68" s="1993"/>
      <c r="AB68" s="1993"/>
      <c r="AC68" s="1993"/>
    </row>
    <row r="69" spans="1:29" s="1220" customFormat="1" ht="15.75" thickBot="1">
      <c r="A69" s="653" t="s">
        <v>574</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20"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2551</v>
      </c>
      <c r="C95" s="2622" t="s">
        <v>2552</v>
      </c>
      <c r="D95" s="2622" t="s">
        <v>2553</v>
      </c>
      <c r="E95" s="2622" t="s">
        <v>2554</v>
      </c>
      <c r="F95" s="2622" t="s">
        <v>2555</v>
      </c>
      <c r="G95" s="2622"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3" t="str">
        <f t="shared" si="25"/>
        <v>(含)-</v>
      </c>
      <c r="L109" s="3114" t="str">
        <f t="shared" si="25"/>
        <v>(含)-</v>
      </c>
      <c r="M109" s="311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7" sqref="G37"/>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60" t="s">
        <v>2762</v>
      </c>
      <c r="S1" s="2960" t="s">
        <v>2763</v>
      </c>
      <c r="T1" s="2960" t="s">
        <v>2784</v>
      </c>
      <c r="U1" s="2960" t="s">
        <v>2785</v>
      </c>
      <c r="V1" s="2960" t="s">
        <v>2786</v>
      </c>
      <c r="W1" s="2189"/>
      <c r="X1" s="2189"/>
      <c r="Y1" s="2189"/>
      <c r="Z1" s="2189"/>
      <c r="AA1" s="2189"/>
      <c r="AB1" s="2189"/>
      <c r="AC1" s="2190"/>
    </row>
    <row r="2" spans="1:39" ht="15.75">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0" t="s">
        <v>1687</v>
      </c>
      <c r="B3" s="1038" t="e">
        <f>ROUND(B2*10000/D1,0)</f>
        <v>#DIV/0!</v>
      </c>
      <c r="C3" s="1406" t="s">
        <v>926</v>
      </c>
      <c r="D3" s="1407" t="s">
        <v>927</v>
      </c>
      <c r="E3" s="1411"/>
      <c r="F3" s="1412" t="s">
        <v>2933</v>
      </c>
      <c r="G3" s="1039">
        <f>IF(F3="宗地容积率",'数据-汇总表'!I4,IF(F3="估价对象容积率",'数据-汇总表'!I6,'数据-汇总表'!I7))</f>
        <v>2.2000000000000002</v>
      </c>
      <c r="H3" s="1413" t="s">
        <v>928</v>
      </c>
      <c r="I3" s="1040">
        <v>8</v>
      </c>
      <c r="J3" s="1409" t="s">
        <v>929</v>
      </c>
      <c r="K3" s="1400"/>
      <c r="L3" s="1885" t="s">
        <v>2240</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0" customFormat="1" ht="15.75" thickBot="1">
      <c r="A5" s="1637" t="s">
        <v>1823</v>
      </c>
      <c r="B5" s="1414" t="s">
        <v>930</v>
      </c>
      <c r="C5" s="1041" t="e">
        <f>ROUND(IF(E2="商业",IF(F16="增加",C6*C7+C16,C6*C7-C16),IF(E2="住宅",IF(F16="增加",C6*C12+C16,C6*C12-C16),IF(F16="增加",C6+C16,C6-C16))),0)</f>
        <v>#DIV/0!</v>
      </c>
      <c r="D5" s="3145">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2">
        <f>SUMIF(L1:L12,基准地价!G2,M1:M12)</f>
        <v>0</v>
      </c>
      <c r="D6" s="1422" t="s">
        <v>1695</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459" t="str">
        <f>IF(E2="商业",IF(C8="不临58条商业街","",2),"")</f>
        <v/>
      </c>
      <c r="B7" s="1426" t="s">
        <v>931</v>
      </c>
      <c r="C7" s="1043" t="e">
        <f>IF(C8="不临58条商业街",1,ROUND(1+(1.6*E8+1.2*E9+0.8*E10+0.4*E11)*C9,4))</f>
        <v>#DIV/0!</v>
      </c>
      <c r="D7" s="1427" t="s">
        <v>932</v>
      </c>
      <c r="E7" s="1044"/>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2765</v>
      </c>
      <c r="X7" s="2951">
        <f>G2</f>
        <v>0</v>
      </c>
      <c r="Y7" s="2951" t="s">
        <v>2766</v>
      </c>
      <c r="Z7" s="2952">
        <f>G3</f>
        <v>2.2000000000000002</v>
      </c>
      <c r="AA7" s="2192"/>
      <c r="AB7" s="2192"/>
      <c r="AC7" s="2193"/>
      <c r="AD7" s="2953"/>
      <c r="AE7" s="2953"/>
      <c r="AF7" s="2953"/>
      <c r="AG7" s="2953"/>
      <c r="AH7" s="2953"/>
      <c r="AI7" s="2953"/>
      <c r="AJ7" s="2954"/>
    </row>
    <row r="8" spans="1:39" ht="15">
      <c r="A8" s="3460"/>
      <c r="B8" s="1413" t="s">
        <v>933</v>
      </c>
      <c r="C8" s="1528"/>
      <c r="D8" s="1045" t="s">
        <v>934</v>
      </c>
      <c r="E8" s="1046" t="e">
        <f>ROUND(C11/E7,4)</f>
        <v>#DIV/0!</v>
      </c>
      <c r="F8" s="1431" t="s">
        <v>935</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51" t="s">
        <v>2783</v>
      </c>
      <c r="X8" s="3452"/>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60"/>
      <c r="B9" s="1413" t="s">
        <v>936</v>
      </c>
      <c r="C9" s="1047">
        <f>SUMIF(修正!C59:C119,C8,修正!E59:E119)</f>
        <v>0</v>
      </c>
      <c r="D9" s="1048" t="s">
        <v>937</v>
      </c>
      <c r="E9" s="1048" t="e">
        <f>ROUND(C11/E7,4)</f>
        <v>#DIV/0!</v>
      </c>
      <c r="F9" s="1431" t="s">
        <v>938</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50" t="s">
        <v>2779</v>
      </c>
      <c r="X9" s="2955" t="s">
        <v>2780</v>
      </c>
      <c r="Y9" s="3119"/>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60"/>
      <c r="B10" s="1413" t="s">
        <v>939</v>
      </c>
      <c r="C10" s="1048">
        <f>SUMIF(修正!C59:C119,C8,修正!F59:F119)</f>
        <v>0</v>
      </c>
      <c r="D10" s="1048" t="s">
        <v>940</v>
      </c>
      <c r="E10" s="1048" t="e">
        <f>ROUND(C11/E7,4)</f>
        <v>#DIV/0!</v>
      </c>
      <c r="F10" s="1431" t="s">
        <v>941</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50"/>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60"/>
      <c r="B11" s="1434" t="s">
        <v>942</v>
      </c>
      <c r="C11" s="1049">
        <f>C10/4</f>
        <v>0</v>
      </c>
      <c r="D11" s="1049" t="s">
        <v>943</v>
      </c>
      <c r="E11" s="1049" t="e">
        <f>ROUND(C11/E7,4)</f>
        <v>#DIV/0!</v>
      </c>
      <c r="F11" s="1435" t="s">
        <v>944</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50" t="s">
        <v>2781</v>
      </c>
      <c r="X11" s="1048" t="s">
        <v>2766</v>
      </c>
      <c r="Y11" s="1652">
        <f>$G$3</f>
        <v>2.2000000000000002</v>
      </c>
      <c r="Z11" s="1652">
        <f t="shared" ref="Z11:AJ11" si="3">$G$3</f>
        <v>2.2000000000000002</v>
      </c>
      <c r="AA11" s="1652">
        <f t="shared" si="3"/>
        <v>2.2000000000000002</v>
      </c>
      <c r="AB11" s="1652">
        <f t="shared" si="3"/>
        <v>2.2000000000000002</v>
      </c>
      <c r="AC11" s="1652">
        <f t="shared" si="3"/>
        <v>2.2000000000000002</v>
      </c>
      <c r="AD11" s="1652">
        <f t="shared" si="3"/>
        <v>2.2000000000000002</v>
      </c>
      <c r="AE11" s="1652">
        <f t="shared" si="3"/>
        <v>2.2000000000000002</v>
      </c>
      <c r="AF11" s="1652">
        <f t="shared" si="3"/>
        <v>2.2000000000000002</v>
      </c>
      <c r="AG11" s="1652">
        <f t="shared" si="3"/>
        <v>2.2000000000000002</v>
      </c>
      <c r="AH11" s="1652">
        <f t="shared" si="3"/>
        <v>2.2000000000000002</v>
      </c>
      <c r="AI11" s="1652">
        <f t="shared" si="3"/>
        <v>2.2000000000000002</v>
      </c>
      <c r="AJ11" s="1652">
        <f t="shared" si="3"/>
        <v>2.2000000000000002</v>
      </c>
    </row>
    <row r="12" spans="1:39" ht="25.5" thickBot="1">
      <c r="A12" s="3459" t="s">
        <v>1871</v>
      </c>
      <c r="B12" s="1438" t="s">
        <v>945</v>
      </c>
      <c r="C12" s="1043">
        <f>ROUND(C15*D15*E15*F15*G15*H15*I15*J15,4)</f>
        <v>1</v>
      </c>
      <c r="D12" s="1439" t="s">
        <v>946</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50"/>
      <c r="X12" s="2958" t="s">
        <v>2782</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61"/>
      <c r="B13" s="1443" t="s">
        <v>1696</v>
      </c>
      <c r="C13" s="1444" t="s">
        <v>1697</v>
      </c>
      <c r="D13" s="1089" t="s">
        <v>1698</v>
      </c>
      <c r="E13" s="1089" t="s">
        <v>1699</v>
      </c>
      <c r="F13" s="1445" t="s">
        <v>947</v>
      </c>
      <c r="G13" s="1446" t="s">
        <v>1642</v>
      </c>
      <c r="H13" s="1447" t="s">
        <v>1642</v>
      </c>
      <c r="I13" s="1448" t="s">
        <v>1642</v>
      </c>
      <c r="J13" s="1449" t="s">
        <v>1642</v>
      </c>
      <c r="K13" s="1400"/>
      <c r="L13" s="2189"/>
      <c r="M13" s="2189"/>
      <c r="N13" s="2189"/>
      <c r="O13" s="2189"/>
      <c r="P13" s="2189"/>
      <c r="Q13" s="2189"/>
      <c r="R13" s="2961">
        <v>12</v>
      </c>
      <c r="S13" s="2950"/>
      <c r="T13" s="2961" t="e">
        <f t="shared" si="0"/>
        <v>#DIV/0!</v>
      </c>
      <c r="U13" s="2950"/>
      <c r="V13" s="2961" t="e">
        <f t="shared" si="1"/>
        <v>#DIV/0!</v>
      </c>
      <c r="W13" s="3450"/>
      <c r="X13" s="2958"/>
      <c r="Y13" s="2957">
        <f>(-0.163*(Y12^2)-0.59*Y12+7617)*(10^(-4))/Y11</f>
        <v>0.34622727272727272</v>
      </c>
      <c r="Z13" s="2957">
        <f t="shared" ref="Z13:AJ13" si="5">(-0.163*(Z12^2)-0.59*Z12+7617)*(10^(-4))/Z11</f>
        <v>0.34622727272727272</v>
      </c>
      <c r="AA13" s="2957">
        <f t="shared" si="5"/>
        <v>0.34622727272727272</v>
      </c>
      <c r="AB13" s="2957">
        <f t="shared" si="5"/>
        <v>0.34622727272727272</v>
      </c>
      <c r="AC13" s="2957">
        <f t="shared" si="5"/>
        <v>0.34622727272727272</v>
      </c>
      <c r="AD13" s="2957">
        <f t="shared" si="5"/>
        <v>0.34622727272727272</v>
      </c>
      <c r="AE13" s="2957">
        <f t="shared" si="5"/>
        <v>0.34622727272727272</v>
      </c>
      <c r="AF13" s="2957">
        <f t="shared" si="5"/>
        <v>0.34622727272727272</v>
      </c>
      <c r="AG13" s="2957">
        <f t="shared" si="5"/>
        <v>0.34622727272727272</v>
      </c>
      <c r="AH13" s="2957">
        <f t="shared" si="5"/>
        <v>0.34622727272727272</v>
      </c>
      <c r="AI13" s="2957">
        <f t="shared" si="5"/>
        <v>0.34622727272727272</v>
      </c>
      <c r="AJ13" s="2957">
        <f t="shared" si="5"/>
        <v>0.34622727272727272</v>
      </c>
    </row>
    <row r="14" spans="1:39" ht="12.75" customHeight="1" thickBot="1">
      <c r="A14" s="3461"/>
      <c r="B14" s="1450"/>
      <c r="C14" s="1451"/>
      <c r="D14" s="1452"/>
      <c r="E14" s="1452"/>
      <c r="F14" s="1453"/>
      <c r="G14" s="1454" t="s">
        <v>948</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62"/>
      <c r="B15" s="1458" t="s">
        <v>1700</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61">
        <v>14</v>
      </c>
      <c r="S15" s="2950"/>
      <c r="T15" s="2961" t="e">
        <f t="shared" si="0"/>
        <v>#DIV/0!</v>
      </c>
      <c r="U15" s="2950"/>
      <c r="V15" s="2961" t="e">
        <f t="shared" si="1"/>
        <v>#DIV/0!</v>
      </c>
      <c r="W15" s="2189"/>
      <c r="X15" s="2189"/>
      <c r="Y15" s="2189"/>
      <c r="Z15" s="2189"/>
      <c r="AA15" s="2189"/>
      <c r="AB15" s="2189"/>
      <c r="AC15" s="2190"/>
    </row>
    <row r="16" spans="1:39" ht="24">
      <c r="A16" s="3459" t="s">
        <v>1838</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60"/>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6" t="s">
        <v>955</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7" t="e">
        <f>ROUND(IF(H19="按公示增长率计算",SUMPRODUCT((地价!A3:A22=YEAR(G19)&amp;"-"&amp;ROUNDUP(MONTH(G19)/3,0))*(地价!X2:AB2=E2)*(地价!X3:AB22)),IF(H19="地价指数",M20/M19,(1+I19)^O19)),4)</f>
        <v>#DIV/0!</v>
      </c>
      <c r="D19" s="1473" t="s">
        <v>957</v>
      </c>
      <c r="E19" s="1058">
        <v>41640</v>
      </c>
      <c r="F19" s="1473" t="s">
        <v>958</v>
      </c>
      <c r="G19" s="1059">
        <f>'数据-取费表'!B2</f>
        <v>43348</v>
      </c>
      <c r="H19" s="1474" t="s">
        <v>2934</v>
      </c>
      <c r="I19" s="2808" t="str">
        <f>IF(H19="季度增幅（自定义）",SUMIF(N21:N24,E2,O21:O24),"")</f>
        <v/>
      </c>
      <c r="J19" s="1470"/>
      <c r="K19" s="1480"/>
      <c r="L19" s="3061" t="s">
        <v>2841</v>
      </c>
      <c r="M19" s="3062">
        <f>ROUND(SUMIF(地价!B2:F2,E2,地价!B22:F22),0)</f>
        <v>0</v>
      </c>
      <c r="N19" s="2810" t="s">
        <v>1676</v>
      </c>
      <c r="O19" s="2809">
        <f>ROUNDDOWN(DATEDIF(E19,G19,"M")/3,0)</f>
        <v>18</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1836</v>
      </c>
      <c r="B20" s="2803" t="s">
        <v>971</v>
      </c>
      <c r="C20" s="2804" t="e">
        <f>ROUND(POWER(1+G20,J20-I20)*(POWER(1+G20,I20)-1)/(POWER(1+G20,J20)-1),4)</f>
        <v>#DIV/0!</v>
      </c>
      <c r="D20" s="2805" t="s">
        <v>972</v>
      </c>
      <c r="E20" s="3116">
        <f ca="1">存贷款利率!I4/100</f>
        <v>4.3499999999999997E-2</v>
      </c>
      <c r="F20" s="2805" t="s">
        <v>973</v>
      </c>
      <c r="G20" s="2806">
        <f>SUMIF(M15:P15,E2,M17:P17)</f>
        <v>0</v>
      </c>
      <c r="H20" s="2805" t="s">
        <v>974</v>
      </c>
      <c r="I20" s="2795" t="e">
        <f>SUMIF('数据-取费表'!C6:C15,E2,'数据-取费表'!F6:F15)/COUNTIF('数据-取费表'!C6:C15,E2)</f>
        <v>#DIV/0!</v>
      </c>
      <c r="J20" s="2807">
        <f>IF(E2="住宅",70,IF(E2="商业",40,50))</f>
        <v>50</v>
      </c>
      <c r="K20" s="1480"/>
      <c r="L20" s="3063" t="s">
        <v>2842</v>
      </c>
      <c r="M20" s="3064">
        <f>ROUND(SUMPRODUCT((地价!A4:A22=YEAR(G19)&amp;"-"&amp;ROUNDUP(MONTH(G19)/3,0))*(地价!B2:F2=E2)*(地价!B4:F22)),0)</f>
        <v>0</v>
      </c>
      <c r="N20" s="2813" t="s">
        <v>2646</v>
      </c>
      <c r="O20" s="2811" t="s">
        <v>2645</v>
      </c>
      <c r="P20" s="2812" t="s">
        <v>2650</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1837</v>
      </c>
      <c r="B21" s="1479" t="s">
        <v>2761</v>
      </c>
      <c r="C21" s="1158">
        <f>IF(B21="容积率修正",IF(G3&lt;=10,D22,J22),C23)</f>
        <v>0</v>
      </c>
      <c r="D21" s="1480"/>
      <c r="E21" s="1480"/>
      <c r="F21" s="1480"/>
      <c r="G21" s="1480"/>
      <c r="H21" s="1480"/>
      <c r="I21" s="1480"/>
      <c r="J21" s="1481"/>
      <c r="K21" s="1480"/>
      <c r="L21" s="1480"/>
      <c r="M21" s="1480"/>
      <c r="N21" s="1477" t="s">
        <v>975</v>
      </c>
      <c r="O21" s="1541"/>
      <c r="P21" s="2793">
        <f>SUMPRODUCT((地价!A3:A22=YEAR(G19)&amp;"-"&amp;ROUNDUP(MONTH(G19)/3,0))*(地价!AD2:AH2=N21)*(地价!AD3:AH22))</f>
        <v>0</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60" t="s">
        <v>1702</v>
      </c>
      <c r="D22" s="1060" t="b">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93">
        <f>SUMPRODUCT((地价!A3:A22=YEAR(G19)&amp;"-"&amp;ROUNDUP(MONTH(G19)/3,0))*(地价!AD2:AH2=N22)*(地价!AD3:AH22))</f>
        <v>0</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1871</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3">
        <f>SUMPRODUCT((地价!A3:A22=YEAR(G19)&amp;"-"&amp;ROUNDUP(MONTH(G19)/3,0))*(地价!AD2:AH2=N23)*(地价!AD3:AH22))</f>
        <v>0</v>
      </c>
      <c r="R23" s="2949"/>
      <c r="S23" s="2949"/>
      <c r="T23" s="2949"/>
      <c r="U23" s="2949"/>
      <c r="V23" s="2949"/>
      <c r="W23" s="2195"/>
      <c r="X23" s="2195"/>
      <c r="Y23" s="2195"/>
      <c r="Z23" s="2195"/>
      <c r="AA23" s="2195"/>
      <c r="AB23" s="2195"/>
      <c r="AC23" s="2195"/>
      <c r="AN23" s="1403"/>
    </row>
    <row r="24" spans="1:40" s="1420" customFormat="1" ht="15.75" thickBot="1">
      <c r="A24" s="1640" t="s">
        <v>1872</v>
      </c>
      <c r="B24" s="1414" t="s">
        <v>980</v>
      </c>
      <c r="C24" s="1062">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0</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1" t="s">
        <v>2648</v>
      </c>
      <c r="O25" s="2195"/>
      <c r="P25" s="1540">
        <f>SUMPRODUCT((地价!A3:A22=YEAR(G19)&amp;"-"&amp;ROUNDUP(MONTH(G19)/3,0))*(地价!AD2:AH2=N25)*(地价!AD3:AH22))</f>
        <v>0</v>
      </c>
      <c r="R25" s="2949"/>
      <c r="S25" s="2949"/>
      <c r="T25" s="2949"/>
      <c r="U25" s="2949"/>
      <c r="V25" s="2949"/>
      <c r="W25" s="2195"/>
      <c r="X25" s="2195"/>
      <c r="Y25" s="2195"/>
      <c r="Z25" s="2195"/>
      <c r="AA25" s="2195"/>
      <c r="AB25" s="2195"/>
      <c r="AC25" s="2195"/>
    </row>
    <row r="26" spans="1:40" ht="14.25">
      <c r="A26" s="1488"/>
      <c r="B26" s="1482" t="s">
        <v>986</v>
      </c>
      <c r="C26" s="1063"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1701</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65" t="s">
        <v>2961</v>
      </c>
      <c r="B33" s="1523" t="s">
        <v>999</v>
      </c>
      <c r="C33" s="1063" t="e">
        <f>ROUND(D5*C19*C20*C24*F33,0)</f>
        <v>#DIV/0!</v>
      </c>
      <c r="D33" s="1536"/>
      <c r="E33" s="1048" t="e">
        <f>ROUND(C33*D33/10000,0)</f>
        <v>#DIV/0!</v>
      </c>
      <c r="F33" s="1048">
        <f>SUMIF(修正!A45:A56,G2,修正!B45:B56)</f>
        <v>0</v>
      </c>
      <c r="G33" s="1048" t="e">
        <f t="shared" ref="G33:G39"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66"/>
      <c r="B34" s="1444" t="s">
        <v>1000</v>
      </c>
      <c r="C34" s="1063" t="e">
        <f>ROUND(D5*C19*C20*C24*F34,0)</f>
        <v>#DIV/0!</v>
      </c>
      <c r="D34" s="1536"/>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66"/>
      <c r="B35" s="1444" t="s">
        <v>1001</v>
      </c>
      <c r="C35" s="1063" t="e">
        <f>ROUND(D5*C19*C20*C24*F35,0)</f>
        <v>#DIV/0!</v>
      </c>
      <c r="D35" s="1536"/>
      <c r="E35" s="1048" t="e">
        <f t="shared" si="7"/>
        <v>#DIV/0!</v>
      </c>
      <c r="F35" s="1048">
        <f>SUMIF(修正!A45:A56,G2,修正!D45:D56)</f>
        <v>0</v>
      </c>
      <c r="G35" s="1048" t="e">
        <f t="shared" si="6"/>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7"/>
      <c r="B36" s="1444" t="s">
        <v>1002</v>
      </c>
      <c r="C36" s="1063" t="e">
        <f>ROUND(D5*C19*C20*C24*F36,0)</f>
        <v>#DIV/0!</v>
      </c>
      <c r="D36" s="1536"/>
      <c r="E36" s="1048" t="e">
        <f t="shared" si="7"/>
        <v>#DIV/0!</v>
      </c>
      <c r="F36" s="1048">
        <f>SUMIF(修正!A45:A56,G2,修正!E45:E56)</f>
        <v>0</v>
      </c>
      <c r="G36" s="1048" t="e">
        <f t="shared" si="6"/>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8" t="e">
        <f>ROUND(C5*C19*C20*C24*F37,0)</f>
        <v>#DIV/0!</v>
      </c>
      <c r="D37" s="1536"/>
      <c r="E37" s="1048" t="e">
        <f t="shared" si="7"/>
        <v>#DIV/0!</v>
      </c>
      <c r="F37" s="1063">
        <f>SUMIF(修正!A45:A56,G2,修正!F45:F56)</f>
        <v>0</v>
      </c>
      <c r="G37" s="1048" t="e">
        <f t="shared" si="6"/>
        <v>#DIV/0!</v>
      </c>
      <c r="H37" s="1048">
        <f t="shared" si="8"/>
        <v>0</v>
      </c>
      <c r="I37" s="1048"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8" t="e">
        <f>ROUND(C5*C19*C20*C24*F38,0)</f>
        <v>#DIV/0!</v>
      </c>
      <c r="D38" s="1536"/>
      <c r="E38" s="1048" t="e">
        <f t="shared" si="7"/>
        <v>#DIV/0!</v>
      </c>
      <c r="F38" s="1063">
        <f>SUMIF(修正!A45:A56,G2,修正!G45:G56)</f>
        <v>0</v>
      </c>
      <c r="G38" s="1048" t="e">
        <f t="shared" si="6"/>
        <v>#DIV/0!</v>
      </c>
      <c r="H38" s="1048">
        <f t="shared" si="8"/>
        <v>0</v>
      </c>
      <c r="I38" s="1048"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1" t="e">
        <f>ROUND(C5*C19*C20*C24*F39,0)</f>
        <v>#DIV/0!</v>
      </c>
      <c r="D39" s="1537"/>
      <c r="E39" s="1051" t="e">
        <f t="shared" si="7"/>
        <v>#DIV/0!</v>
      </c>
      <c r="F39" s="1065">
        <f>SUMIF(修正!A45:A56,G2,修正!H45:H56)</f>
        <v>0</v>
      </c>
      <c r="G39" s="1051" t="e">
        <f t="shared" si="6"/>
        <v>#DIV/0!</v>
      </c>
      <c r="H39" s="1051">
        <f t="shared" si="8"/>
        <v>0</v>
      </c>
      <c r="I39" s="1051"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32" t="s">
        <v>1009</v>
      </c>
      <c r="C46" s="2454" t="s">
        <v>1010</v>
      </c>
      <c r="D46" s="2455" t="s">
        <v>1011</v>
      </c>
      <c r="E46" s="2456" t="s">
        <v>1013</v>
      </c>
      <c r="F46" s="2457" t="s">
        <v>2250</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96">
      <c r="A48" s="1067" t="s">
        <v>1021</v>
      </c>
      <c r="B48" s="2432" t="str">
        <f>估价对象房地状况!C18</f>
        <v>周边路网密集，行车出入便捷，且项目及周边道路均设有停车场位，停车便捷。周边1公里范围内有438路、365路、449路、570路等多条公交线路及地铁16号线永丰站，公交便捷度较好。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32" t="str">
        <f>估价对象房地状况!C19</f>
        <v>有部分有其他用地，对本宗地略有影响</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7" t="s">
        <v>1023</v>
      </c>
      <c r="B50" s="3118" t="s">
        <v>2936</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7" t="s">
        <v>1025</v>
      </c>
      <c r="B52" s="3117" t="s">
        <v>2935</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84">
      <c r="A53" s="2464" t="s">
        <v>1026</v>
      </c>
      <c r="B53" s="2433" t="str">
        <f>估价对象房地状况!C21</f>
        <v>周边2公里内的公共服务配套设施齐备，有购物场所（华联超市）、医院（无）、银行（工商银行、北京农商银行）、学校（海淀科技园小学）、餐饮等公共服务配套设施。</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75" thickBot="1">
      <c r="A55" s="2465" t="s">
        <v>1028</v>
      </c>
      <c r="B55" s="2436" t="str">
        <f>估价对象房地状况!C20</f>
        <v>区域自然环境：无；人文环境有北京北大资源研修学院、；综合评价环境状况一般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32"/>
      <c r="C57" s="2454" t="s">
        <v>1010</v>
      </c>
      <c r="D57" s="2455" t="s">
        <v>1011</v>
      </c>
      <c r="E57" s="2456" t="s">
        <v>1013</v>
      </c>
      <c r="F57" s="2457" t="s">
        <v>2251</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7" t="s">
        <v>1030</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96">
      <c r="A59" s="1067" t="s">
        <v>1021</v>
      </c>
      <c r="B59" s="2432" t="str">
        <f>估价对象房地状况!C18</f>
        <v>周边路网密集，行车出入便捷，且项目及周边道路均设有停车场位，停车便捷。周边1公里范围内有438路、365路、449路、570路等多条公交线路及地铁16号线永丰站，公交便捷度较好。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32" t="str">
        <f>估价对象房地状况!C19</f>
        <v>有部分有其他用地，对本宗地略有影响</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7" t="s">
        <v>1023</v>
      </c>
      <c r="B61" s="3118" t="s">
        <v>2937</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7" t="s">
        <v>1025</v>
      </c>
      <c r="B63" s="3117" t="s">
        <v>2935</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84">
      <c r="A64" s="1067" t="s">
        <v>1026</v>
      </c>
      <c r="B64" s="2433" t="str">
        <f>估价对象房地状况!C21</f>
        <v>周边2公里内的公共服务配套设施齐备，有购物场所（华联超市）、医院（无）、银行（工商银行、北京农商银行）、学校（海淀科技园小学）、餐饮等公共服务配套设施。</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75" thickBot="1">
      <c r="A66" s="2465" t="s">
        <v>1028</v>
      </c>
      <c r="B66" s="2437" t="str">
        <f>估价对象房地状况!C20</f>
        <v>区域自然环境：无；人文环境有北京北大资源研修学院、；综合评价环境状况一般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32"/>
      <c r="C68" s="2454" t="s">
        <v>1010</v>
      </c>
      <c r="D68" s="2455" t="s">
        <v>1011</v>
      </c>
      <c r="E68" s="2456" t="s">
        <v>1013</v>
      </c>
      <c r="F68" s="2457" t="s">
        <v>2252</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7" t="s">
        <v>1032</v>
      </c>
      <c r="B69" s="2435" t="str">
        <f>估价对象房地状况!C15</f>
        <v>估价对象周边居住用地比例较少、有颐风庄园、大牛坊社区等居住项目，综合评价居住社区成熟度一般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96">
      <c r="A70" s="1067" t="s">
        <v>1033</v>
      </c>
      <c r="B70" s="2432" t="str">
        <f>估价对象房地状况!C18</f>
        <v>周边路网密集，行车出入便捷，且项目及周边道路均设有停车场位，停车便捷。周边1公里范围内有438路、365路、449路、570路等多条公交线路及地铁16号线永丰站，公交便捷度较好。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32" t="str">
        <f>估价对象房地状况!C19</f>
        <v>有部分有其他用地，对本宗地略有影响</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7" t="s">
        <v>1034</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84">
      <c r="A73" s="1067" t="s">
        <v>1026</v>
      </c>
      <c r="B73" s="2433" t="str">
        <f>估价对象房地状况!C21</f>
        <v>周边2公里内的公共服务配套设施齐备，有购物场所（华联超市）、医院（无）、银行（工商银行、北京农商银行）、学校（海淀科技园小学）、餐饮等公共服务配套设施。</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7" t="s">
        <v>1025</v>
      </c>
      <c r="B75" s="3117" t="s">
        <v>2935</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7" t="s">
        <v>1028</v>
      </c>
      <c r="B76" s="2435" t="str">
        <f>估价对象房地状况!C20</f>
        <v>区域自然环境：无；人文环境有北京北大资源研修学院、；综合评价环境状况一般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6"/>
      <c r="K78" s="1066"/>
      <c r="L78" s="1066"/>
      <c r="M78" s="1066"/>
      <c r="N78" s="1066"/>
      <c r="AC78" s="1404"/>
      <c r="AD78" s="1403"/>
      <c r="AJ78" s="1402"/>
      <c r="AN78" s="1403"/>
    </row>
    <row r="79" spans="1:40" ht="24">
      <c r="A79" s="1067" t="s">
        <v>1008</v>
      </c>
      <c r="B79" s="2432"/>
      <c r="C79" s="2454" t="s">
        <v>1010</v>
      </c>
      <c r="D79" s="2455" t="s">
        <v>1011</v>
      </c>
      <c r="E79" s="2456" t="s">
        <v>1013</v>
      </c>
      <c r="F79" s="2457" t="s">
        <v>2253</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7" t="s">
        <v>1037</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7" t="s">
        <v>1033</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7" t="s">
        <v>1022</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7" t="s">
        <v>1034</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7" t="s">
        <v>1026</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7" t="s">
        <v>1027</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7" t="s">
        <v>1025</v>
      </c>
      <c r="B86" s="3117" t="s">
        <v>2935</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63" t="s">
        <v>1633</v>
      </c>
      <c r="B90" s="3463"/>
      <c r="C90" s="3463"/>
      <c r="D90" s="3463"/>
      <c r="E90" s="3463"/>
      <c r="F90" s="3463"/>
      <c r="G90" s="3463"/>
      <c r="H90" s="3463"/>
      <c r="I90" s="3463"/>
      <c r="J90" s="3463"/>
      <c r="K90" s="2474"/>
      <c r="L90" s="2474"/>
      <c r="M90" s="2474"/>
      <c r="N90" s="2474"/>
    </row>
    <row r="91" spans="1:40">
      <c r="A91" s="3464" t="s">
        <v>1443</v>
      </c>
      <c r="B91" s="3464" t="s">
        <v>1634</v>
      </c>
      <c r="C91" s="1140" t="s">
        <v>1635</v>
      </c>
      <c r="D91" s="1141"/>
      <c r="E91" s="1141"/>
      <c r="F91" s="1141"/>
      <c r="G91" s="1141"/>
      <c r="H91" s="1141"/>
      <c r="I91" s="1141"/>
      <c r="J91" s="1142"/>
      <c r="K91" s="1134"/>
      <c r="L91" s="1134"/>
      <c r="M91" s="1134"/>
      <c r="N91" s="1134"/>
    </row>
    <row r="92" spans="1:40">
      <c r="A92" s="3464"/>
      <c r="B92" s="3464"/>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53"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4"/>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3" t="s">
        <v>1637</v>
      </c>
      <c r="B101" s="1147" t="s">
        <v>905</v>
      </c>
      <c r="C101" s="1148">
        <f>$G$3</f>
        <v>2.2000000000000002</v>
      </c>
      <c r="D101" s="1148">
        <f t="shared" ref="D101:N101" si="31">$G$3</f>
        <v>2.2000000000000002</v>
      </c>
      <c r="E101" s="1148">
        <f t="shared" si="31"/>
        <v>2.2000000000000002</v>
      </c>
      <c r="F101" s="1148">
        <f t="shared" si="31"/>
        <v>2.2000000000000002</v>
      </c>
      <c r="G101" s="1148">
        <f t="shared" si="31"/>
        <v>2.2000000000000002</v>
      </c>
      <c r="H101" s="1148">
        <f t="shared" si="31"/>
        <v>2.2000000000000002</v>
      </c>
      <c r="I101" s="1148">
        <f t="shared" si="31"/>
        <v>2.2000000000000002</v>
      </c>
      <c r="J101" s="1148">
        <f t="shared" si="31"/>
        <v>2.2000000000000002</v>
      </c>
      <c r="K101" s="1148">
        <f t="shared" si="31"/>
        <v>2.2000000000000002</v>
      </c>
      <c r="L101" s="1148">
        <f t="shared" si="31"/>
        <v>2.2000000000000002</v>
      </c>
      <c r="M101" s="1148">
        <f t="shared" si="31"/>
        <v>2.2000000000000002</v>
      </c>
      <c r="N101" s="1148">
        <f t="shared" si="31"/>
        <v>2.2000000000000002</v>
      </c>
    </row>
    <row r="102" spans="1:14">
      <c r="A102" s="3454"/>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54"/>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54"/>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54"/>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54"/>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54"/>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54"/>
      <c r="B108" s="3456"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5"/>
      <c r="B109" s="3457"/>
      <c r="C109" s="1146">
        <f>(-0.163*(C108^2)-0.59*C108+7617)*(10^(-4))/C101</f>
        <v>0.34553854545454543</v>
      </c>
      <c r="D109" s="1146">
        <f>(-0.163*(D108^2)-0.59*D108+7617)*(10^(-4))/D101</f>
        <v>0.34553854545454543</v>
      </c>
      <c r="E109" s="1146">
        <f>(-0.161*(E108^2)-7.509*E108+6533)*(10^(-4))/E101</f>
        <v>0.29375563636363633</v>
      </c>
      <c r="F109" s="1146">
        <f>(-0.161*(F108^2)-7.509*F108+6533)*(10^(-4))/F101</f>
        <v>0.29375563636363633</v>
      </c>
      <c r="G109" s="1146">
        <f>(-0.161*(G108^2)-7.509*G108+6533)*(10^(-4))/G101</f>
        <v>0.29375563636363633</v>
      </c>
      <c r="H109" s="1146">
        <f>(-0.161*(H108^2)-7.509*H108+6533)*(10^(-4))/H101</f>
        <v>0.29375563636363633</v>
      </c>
      <c r="I109" s="1146">
        <f>(-0.161*(I108^2)-7.509*I108+6533)*(10^(-4))/I101</f>
        <v>0.29375563636363633</v>
      </c>
      <c r="J109" s="1146">
        <f>(-0.214*(J108^2)-21.991*J108+4665)*(10^(-4))/J101</f>
        <v>0.20342618181818181</v>
      </c>
      <c r="K109" s="1146">
        <f>(-0.214*(K108^2)-21.991*K108+4665)*(10^(-4))/K101</f>
        <v>0.20342618181818181</v>
      </c>
      <c r="L109" s="1146">
        <f>(-0.214*(L108^2)-21.991*L108+4665)*(10^(-4))/L101</f>
        <v>0.20342618181818181</v>
      </c>
      <c r="M109" s="1146">
        <f>(-0.214*(M108^2)-21.991*M108+4665)*(10^(-4))/M101</f>
        <v>0.20342618181818181</v>
      </c>
      <c r="N109" s="1146">
        <f>(-0.214*(N108^2)-21.991*N108+4665)*(10^(-4))/N101</f>
        <v>0.20342618181818181</v>
      </c>
    </row>
    <row r="110" spans="1:14">
      <c r="A110" s="3458" t="s">
        <v>1639</v>
      </c>
      <c r="B110" s="3458"/>
      <c r="C110" s="3458"/>
      <c r="D110" s="3458"/>
      <c r="E110" s="3458"/>
      <c r="F110" s="3458"/>
      <c r="G110" s="3458"/>
      <c r="H110" s="3458"/>
      <c r="I110" s="3458"/>
      <c r="J110" s="3458"/>
      <c r="K110" s="2472"/>
      <c r="L110" s="2472"/>
      <c r="M110" s="2472"/>
      <c r="N110" s="2472"/>
    </row>
    <row r="112" spans="1:14" ht="12.75" thickBot="1"/>
    <row r="113" spans="1:13" ht="25.5" thickBot="1">
      <c r="A113" s="1016" t="s">
        <v>895</v>
      </c>
      <c r="B113" s="2475">
        <f>G3</f>
        <v>2.2000000000000002</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2.75">
      <c r="A116" s="1029" t="s">
        <v>900</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2.75">
      <c r="A117" s="1032" t="s">
        <v>901</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5" thickBot="1">
      <c r="A118" s="1033" t="s">
        <v>902</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464" t="s">
        <v>1007</v>
      </c>
      <c r="B18" s="1154" t="s">
        <v>1446</v>
      </c>
      <c r="C18" s="1131" t="s">
        <v>1447</v>
      </c>
      <c r="D18" s="1132"/>
      <c r="E18" s="1154">
        <v>1</v>
      </c>
      <c r="F18" s="1133" t="s">
        <v>1448</v>
      </c>
      <c r="G18" s="1134"/>
      <c r="H18" s="1105"/>
      <c r="I18" s="1105"/>
    </row>
    <row r="19" spans="1:9" s="1598" customFormat="1" ht="19.5" customHeight="1">
      <c r="A19" s="3464"/>
      <c r="B19" s="3464" t="s">
        <v>1449</v>
      </c>
      <c r="C19" s="1131" t="s">
        <v>1450</v>
      </c>
      <c r="D19" s="1132"/>
      <c r="E19" s="1154">
        <v>0.9</v>
      </c>
      <c r="F19" s="1133" t="s">
        <v>1451</v>
      </c>
      <c r="G19" s="1134"/>
      <c r="H19" s="1105"/>
      <c r="I19" s="1105"/>
    </row>
    <row r="20" spans="1:9" s="1598" customFormat="1" ht="19.5" customHeight="1">
      <c r="A20" s="3464"/>
      <c r="B20" s="3464"/>
      <c r="C20" s="1131" t="s">
        <v>1452</v>
      </c>
      <c r="D20" s="1132"/>
      <c r="E20" s="1154">
        <v>1.1000000000000001</v>
      </c>
      <c r="F20" s="1133" t="s">
        <v>1453</v>
      </c>
      <c r="G20" s="1134"/>
      <c r="H20" s="1105"/>
      <c r="I20" s="1105"/>
    </row>
    <row r="21" spans="1:9" s="1598" customFormat="1" ht="19.5" customHeight="1">
      <c r="A21" s="3464"/>
      <c r="B21" s="3464"/>
      <c r="C21" s="1131" t="s">
        <v>1454</v>
      </c>
      <c r="D21" s="1132"/>
      <c r="E21" s="1154">
        <v>0.8</v>
      </c>
      <c r="F21" s="1133" t="s">
        <v>1455</v>
      </c>
      <c r="G21" s="1134"/>
      <c r="H21" s="1105"/>
      <c r="I21" s="1105"/>
    </row>
    <row r="22" spans="1:9" s="1598" customFormat="1" ht="19.5" customHeight="1">
      <c r="A22" s="3464"/>
      <c r="B22" s="3464"/>
      <c r="C22" s="1131" t="s">
        <v>1456</v>
      </c>
      <c r="D22" s="1132"/>
      <c r="E22" s="1154">
        <v>0.5</v>
      </c>
      <c r="F22" s="1133"/>
      <c r="G22" s="1134"/>
      <c r="H22" s="1105"/>
      <c r="I22" s="1105"/>
    </row>
    <row r="23" spans="1:9" s="1598" customFormat="1" ht="19.5" customHeight="1">
      <c r="A23" s="3464" t="s">
        <v>1029</v>
      </c>
      <c r="B23" s="1154" t="s">
        <v>1446</v>
      </c>
      <c r="C23" s="1131" t="s">
        <v>1457</v>
      </c>
      <c r="D23" s="1132"/>
      <c r="E23" s="1154">
        <v>1</v>
      </c>
      <c r="F23" s="1133" t="s">
        <v>1458</v>
      </c>
      <c r="G23" s="1134"/>
      <c r="H23" s="1105"/>
      <c r="I23" s="1105"/>
    </row>
    <row r="24" spans="1:9" s="1598" customFormat="1" ht="19.5" customHeight="1">
      <c r="A24" s="3464"/>
      <c r="B24" s="3464" t="s">
        <v>1449</v>
      </c>
      <c r="C24" s="1131" t="s">
        <v>1459</v>
      </c>
      <c r="D24" s="1132"/>
      <c r="E24" s="1154">
        <v>0.5</v>
      </c>
      <c r="F24" s="1133"/>
      <c r="G24" s="1134"/>
      <c r="H24" s="1105"/>
      <c r="I24" s="1105"/>
    </row>
    <row r="25" spans="1:9" s="1598" customFormat="1" ht="19.5" customHeight="1">
      <c r="A25" s="3464"/>
      <c r="B25" s="3464"/>
      <c r="C25" s="1131" t="s">
        <v>1460</v>
      </c>
      <c r="D25" s="1132"/>
      <c r="E25" s="1154">
        <v>1.1000000000000001</v>
      </c>
      <c r="F25" s="1133"/>
      <c r="G25" s="1134"/>
      <c r="H25" s="1105"/>
      <c r="I25" s="1105"/>
    </row>
    <row r="26" spans="1:9" s="1598" customFormat="1" ht="19.5" customHeight="1">
      <c r="A26" s="3464"/>
      <c r="B26" s="3464"/>
      <c r="C26" s="1131" t="s">
        <v>1461</v>
      </c>
      <c r="D26" s="1132"/>
      <c r="E26" s="1154">
        <v>1.1000000000000001</v>
      </c>
      <c r="F26" s="1133"/>
      <c r="G26" s="1134"/>
      <c r="H26" s="1105"/>
      <c r="I26" s="1105"/>
    </row>
    <row r="27" spans="1:9" s="1598" customFormat="1" ht="19.5" customHeight="1">
      <c r="A27" s="3464"/>
      <c r="B27" s="3464"/>
      <c r="C27" s="1131" t="s">
        <v>1462</v>
      </c>
      <c r="D27" s="1132"/>
      <c r="E27" s="1154">
        <v>0.9</v>
      </c>
      <c r="F27" s="1133" t="s">
        <v>1463</v>
      </c>
      <c r="G27" s="1134"/>
      <c r="H27" s="1105"/>
      <c r="I27" s="1105"/>
    </row>
    <row r="28" spans="1:9" s="1598" customFormat="1" ht="19.5" customHeight="1">
      <c r="A28" s="3464"/>
      <c r="B28" s="3464"/>
      <c r="C28" s="1131" t="s">
        <v>1464</v>
      </c>
      <c r="D28" s="1132"/>
      <c r="E28" s="1154">
        <v>0.9</v>
      </c>
      <c r="F28" s="1133" t="s">
        <v>1465</v>
      </c>
      <c r="G28" s="1134"/>
      <c r="H28" s="1105"/>
      <c r="I28" s="1105"/>
    </row>
    <row r="29" spans="1:9" s="1598" customFormat="1" ht="19.5" customHeight="1">
      <c r="A29" s="3464"/>
      <c r="B29" s="3464"/>
      <c r="C29" s="1131" t="s">
        <v>1466</v>
      </c>
      <c r="D29" s="1132"/>
      <c r="E29" s="1154">
        <v>0.9</v>
      </c>
      <c r="F29" s="1133" t="s">
        <v>1467</v>
      </c>
      <c r="G29" s="1134"/>
      <c r="H29" s="1105"/>
      <c r="I29" s="1105"/>
    </row>
    <row r="30" spans="1:9" s="1598" customFormat="1" ht="19.5" customHeight="1">
      <c r="A30" s="3464"/>
      <c r="B30" s="3464"/>
      <c r="C30" s="1131" t="s">
        <v>1468</v>
      </c>
      <c r="D30" s="1132"/>
      <c r="E30" s="1154">
        <v>0.9</v>
      </c>
      <c r="F30" s="1133" t="s">
        <v>1469</v>
      </c>
      <c r="G30" s="1134"/>
      <c r="H30" s="1105"/>
      <c r="I30" s="1105"/>
    </row>
    <row r="31" spans="1:9" s="1598" customFormat="1" ht="19.5" customHeight="1">
      <c r="A31" s="3464"/>
      <c r="B31" s="3464"/>
      <c r="C31" s="1131" t="s">
        <v>1470</v>
      </c>
      <c r="D31" s="1132"/>
      <c r="E31" s="1154">
        <v>0.8</v>
      </c>
      <c r="F31" s="1133" t="s">
        <v>1471</v>
      </c>
      <c r="G31" s="1134"/>
      <c r="H31" s="1105"/>
      <c r="I31" s="1105"/>
    </row>
    <row r="32" spans="1:9" s="1598" customFormat="1" ht="19.5" customHeight="1">
      <c r="A32" s="3464"/>
      <c r="B32" s="3464"/>
      <c r="C32" s="1131" t="s">
        <v>1472</v>
      </c>
      <c r="D32" s="1132"/>
      <c r="E32" s="1154">
        <v>0.8</v>
      </c>
      <c r="F32" s="1133" t="s">
        <v>1473</v>
      </c>
      <c r="G32" s="1134"/>
      <c r="H32" s="1105"/>
      <c r="I32" s="1105"/>
    </row>
    <row r="33" spans="1:9" s="1598" customFormat="1" ht="19.5" customHeight="1">
      <c r="A33" s="3464" t="s">
        <v>1474</v>
      </c>
      <c r="B33" s="1154" t="s">
        <v>1446</v>
      </c>
      <c r="C33" s="1131" t="s">
        <v>1475</v>
      </c>
      <c r="D33" s="1132"/>
      <c r="E33" s="1154">
        <v>1</v>
      </c>
      <c r="F33" s="1133" t="s">
        <v>1476</v>
      </c>
      <c r="G33" s="1134"/>
      <c r="H33" s="1105"/>
      <c r="I33" s="1105"/>
    </row>
    <row r="34" spans="1:9" s="1598" customFormat="1" ht="19.5" customHeight="1">
      <c r="A34" s="3464"/>
      <c r="B34" s="1154" t="s">
        <v>1449</v>
      </c>
      <c r="C34" s="1131" t="s">
        <v>1477</v>
      </c>
      <c r="D34" s="1132"/>
      <c r="E34" s="1154">
        <v>1.5</v>
      </c>
      <c r="F34" s="1133" t="s">
        <v>1478</v>
      </c>
      <c r="G34" s="1134"/>
      <c r="H34" s="1105"/>
      <c r="I34" s="1105"/>
    </row>
    <row r="35" spans="1:9" s="1598" customFormat="1" ht="19.5" customHeight="1">
      <c r="A35" s="3464" t="s">
        <v>1432</v>
      </c>
      <c r="B35" s="1154" t="s">
        <v>1446</v>
      </c>
      <c r="C35" s="1131" t="s">
        <v>1479</v>
      </c>
      <c r="D35" s="1132"/>
      <c r="E35" s="1154">
        <v>1</v>
      </c>
      <c r="F35" s="1133" t="s">
        <v>1480</v>
      </c>
      <c r="G35" s="1134"/>
      <c r="H35" s="1105"/>
      <c r="I35" s="1105"/>
    </row>
    <row r="36" spans="1:9" s="1598" customFormat="1" ht="19.5" customHeight="1">
      <c r="A36" s="3464"/>
      <c r="B36" s="3464" t="s">
        <v>1449</v>
      </c>
      <c r="C36" s="1131" t="s">
        <v>1481</v>
      </c>
      <c r="D36" s="1132"/>
      <c r="E36" s="1154">
        <v>1</v>
      </c>
      <c r="F36" s="1133" t="s">
        <v>1482</v>
      </c>
      <c r="G36" s="1134"/>
      <c r="H36" s="1105"/>
      <c r="I36" s="1105"/>
    </row>
    <row r="37" spans="1:9" s="1598" customFormat="1" ht="19.5" customHeight="1">
      <c r="A37" s="3464"/>
      <c r="B37" s="3464"/>
      <c r="C37" s="1131" t="s">
        <v>1483</v>
      </c>
      <c r="D37" s="1132"/>
      <c r="E37" s="1154">
        <v>1.5</v>
      </c>
      <c r="F37" s="1133" t="s">
        <v>1484</v>
      </c>
      <c r="G37" s="1134"/>
      <c r="H37" s="1105"/>
      <c r="I37" s="1105"/>
    </row>
    <row r="38" spans="1:9" s="1598" customFormat="1" ht="19.5" customHeight="1">
      <c r="A38" s="3464"/>
      <c r="B38" s="3464"/>
      <c r="C38" s="1131" t="s">
        <v>1485</v>
      </c>
      <c r="D38" s="1132"/>
      <c r="E38" s="1154">
        <v>1</v>
      </c>
      <c r="F38" s="1133" t="s">
        <v>1486</v>
      </c>
      <c r="G38" s="1134"/>
      <c r="H38" s="1105"/>
      <c r="I38" s="1105"/>
    </row>
    <row r="39" spans="1:9" s="1598" customFormat="1" ht="19.5" customHeight="1">
      <c r="A39" s="3464"/>
      <c r="B39" s="3464"/>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64" t="s">
        <v>1501</v>
      </c>
      <c r="C61" s="1068" t="s">
        <v>1502</v>
      </c>
      <c r="D61" s="1068" t="s">
        <v>1503</v>
      </c>
      <c r="E61" s="1139">
        <v>0.5</v>
      </c>
      <c r="F61" s="1154">
        <v>80</v>
      </c>
      <c r="H61" s="1105">
        <f>SUMIF(C59:C119,基准地价!C8,E59:E119)</f>
        <v>0</v>
      </c>
    </row>
    <row r="62" spans="1:8" s="1105" customFormat="1" ht="24">
      <c r="A62" s="1154">
        <v>2</v>
      </c>
      <c r="B62" s="3464"/>
      <c r="C62" s="1068" t="s">
        <v>1504</v>
      </c>
      <c r="D62" s="1068" t="s">
        <v>1505</v>
      </c>
      <c r="E62" s="1139">
        <v>0.5</v>
      </c>
      <c r="F62" s="1154">
        <v>80</v>
      </c>
    </row>
    <row r="63" spans="1:8" s="1105" customFormat="1" ht="36">
      <c r="A63" s="1154">
        <v>3</v>
      </c>
      <c r="B63" s="3464"/>
      <c r="C63" s="1068" t="s">
        <v>1506</v>
      </c>
      <c r="D63" s="1068" t="s">
        <v>1507</v>
      </c>
      <c r="E63" s="1139">
        <v>0.5</v>
      </c>
      <c r="F63" s="1154">
        <v>80</v>
      </c>
    </row>
    <row r="64" spans="1:8" s="1105" customFormat="1" ht="36">
      <c r="A64" s="1154">
        <v>4</v>
      </c>
      <c r="B64" s="3464"/>
      <c r="C64" s="1068" t="s">
        <v>1508</v>
      </c>
      <c r="D64" s="1068" t="s">
        <v>1509</v>
      </c>
      <c r="E64" s="1139">
        <v>0.4</v>
      </c>
      <c r="F64" s="1154">
        <v>60</v>
      </c>
    </row>
    <row r="65" spans="1:6" s="1105" customFormat="1" ht="36">
      <c r="A65" s="1154">
        <v>5</v>
      </c>
      <c r="B65" s="3464"/>
      <c r="C65" s="1068" t="s">
        <v>1510</v>
      </c>
      <c r="D65" s="1068" t="s">
        <v>1511</v>
      </c>
      <c r="E65" s="1139">
        <v>0.2</v>
      </c>
      <c r="F65" s="1154">
        <v>30</v>
      </c>
    </row>
    <row r="66" spans="1:6" s="1105" customFormat="1" ht="36">
      <c r="A66" s="1154">
        <v>6</v>
      </c>
      <c r="B66" s="3464"/>
      <c r="C66" s="1068" t="s">
        <v>1512</v>
      </c>
      <c r="D66" s="1068" t="s">
        <v>1513</v>
      </c>
      <c r="E66" s="1139">
        <v>0.3</v>
      </c>
      <c r="F66" s="1154">
        <v>50</v>
      </c>
    </row>
    <row r="67" spans="1:6" s="1105" customFormat="1" ht="36">
      <c r="A67" s="1154">
        <v>7</v>
      </c>
      <c r="B67" s="3464"/>
      <c r="C67" s="1068" t="s">
        <v>1514</v>
      </c>
      <c r="D67" s="1068" t="s">
        <v>1515</v>
      </c>
      <c r="E67" s="1139">
        <v>0.2</v>
      </c>
      <c r="F67" s="1154">
        <v>30</v>
      </c>
    </row>
    <row r="68" spans="1:6" s="1105" customFormat="1" ht="36">
      <c r="A68" s="1154">
        <v>8</v>
      </c>
      <c r="B68" s="3464"/>
      <c r="C68" s="1068" t="s">
        <v>1516</v>
      </c>
      <c r="D68" s="1068" t="s">
        <v>1517</v>
      </c>
      <c r="E68" s="1139">
        <v>0.2</v>
      </c>
      <c r="F68" s="1154">
        <v>30</v>
      </c>
    </row>
    <row r="69" spans="1:6" s="1105" customFormat="1" ht="36">
      <c r="A69" s="1154">
        <v>9</v>
      </c>
      <c r="B69" s="3464"/>
      <c r="C69" s="1068" t="s">
        <v>1518</v>
      </c>
      <c r="D69" s="1068" t="s">
        <v>1519</v>
      </c>
      <c r="E69" s="1139">
        <v>0.2</v>
      </c>
      <c r="F69" s="1154">
        <v>30</v>
      </c>
    </row>
    <row r="70" spans="1:6" s="1105" customFormat="1" ht="48">
      <c r="A70" s="1154">
        <v>10</v>
      </c>
      <c r="B70" s="3464"/>
      <c r="C70" s="1068" t="s">
        <v>1520</v>
      </c>
      <c r="D70" s="1068" t="s">
        <v>1521</v>
      </c>
      <c r="E70" s="1139">
        <v>0.2</v>
      </c>
      <c r="F70" s="1154">
        <v>30</v>
      </c>
    </row>
    <row r="71" spans="1:6" s="1105" customFormat="1" ht="48">
      <c r="A71" s="1154">
        <v>11</v>
      </c>
      <c r="B71" s="3464"/>
      <c r="C71" s="1068" t="s">
        <v>1522</v>
      </c>
      <c r="D71" s="1068" t="s">
        <v>1523</v>
      </c>
      <c r="E71" s="1139">
        <v>0.2</v>
      </c>
      <c r="F71" s="1154">
        <v>30</v>
      </c>
    </row>
    <row r="72" spans="1:6" s="1105" customFormat="1" ht="36">
      <c r="A72" s="1154">
        <v>12</v>
      </c>
      <c r="B72" s="3464"/>
      <c r="C72" s="1068" t="s">
        <v>1524</v>
      </c>
      <c r="D72" s="1068" t="s">
        <v>1525</v>
      </c>
      <c r="E72" s="1139">
        <v>0.5</v>
      </c>
      <c r="F72" s="1154">
        <v>80</v>
      </c>
    </row>
    <row r="73" spans="1:6" s="1105" customFormat="1" ht="24">
      <c r="A73" s="1154">
        <v>13</v>
      </c>
      <c r="B73" s="3464"/>
      <c r="C73" s="1068" t="s">
        <v>1526</v>
      </c>
      <c r="D73" s="1068" t="s">
        <v>1527</v>
      </c>
      <c r="E73" s="1139">
        <v>0.4</v>
      </c>
      <c r="F73" s="1154">
        <v>60</v>
      </c>
    </row>
    <row r="74" spans="1:6" s="1105" customFormat="1" ht="24">
      <c r="A74" s="1154">
        <v>14</v>
      </c>
      <c r="B74" s="3464"/>
      <c r="C74" s="1068" t="s">
        <v>1528</v>
      </c>
      <c r="D74" s="1068" t="s">
        <v>1529</v>
      </c>
      <c r="E74" s="1139">
        <v>0.2</v>
      </c>
      <c r="F74" s="1154">
        <v>30</v>
      </c>
    </row>
    <row r="75" spans="1:6" s="1105" customFormat="1" ht="24">
      <c r="A75" s="1154">
        <v>15</v>
      </c>
      <c r="B75" s="3464"/>
      <c r="C75" s="1068" t="s">
        <v>1530</v>
      </c>
      <c r="D75" s="1068" t="s">
        <v>1531</v>
      </c>
      <c r="E75" s="1139">
        <v>0.2</v>
      </c>
      <c r="F75" s="1154">
        <v>30</v>
      </c>
    </row>
    <row r="76" spans="1:6" s="1105" customFormat="1" ht="24">
      <c r="A76" s="1154">
        <v>16</v>
      </c>
      <c r="B76" s="3464" t="s">
        <v>1532</v>
      </c>
      <c r="C76" s="1068" t="s">
        <v>1533</v>
      </c>
      <c r="D76" s="1068" t="s">
        <v>1534</v>
      </c>
      <c r="E76" s="1139">
        <v>0.5</v>
      </c>
      <c r="F76" s="1154">
        <v>80</v>
      </c>
    </row>
    <row r="77" spans="1:6" s="1105" customFormat="1" ht="24">
      <c r="A77" s="1154">
        <v>17</v>
      </c>
      <c r="B77" s="3464"/>
      <c r="C77" s="1068" t="s">
        <v>1535</v>
      </c>
      <c r="D77" s="1068" t="s">
        <v>1536</v>
      </c>
      <c r="E77" s="1139">
        <v>0.5</v>
      </c>
      <c r="F77" s="1154">
        <v>80</v>
      </c>
    </row>
    <row r="78" spans="1:6" s="1105" customFormat="1" ht="24">
      <c r="A78" s="1154">
        <v>18</v>
      </c>
      <c r="B78" s="3464"/>
      <c r="C78" s="1068" t="s">
        <v>1537</v>
      </c>
      <c r="D78" s="1068" t="s">
        <v>1538</v>
      </c>
      <c r="E78" s="1139">
        <v>0.2</v>
      </c>
      <c r="F78" s="1154">
        <v>30</v>
      </c>
    </row>
    <row r="79" spans="1:6" s="1105" customFormat="1" ht="24">
      <c r="A79" s="1154">
        <v>19</v>
      </c>
      <c r="B79" s="3464"/>
      <c r="C79" s="1068" t="s">
        <v>1539</v>
      </c>
      <c r="D79" s="1068" t="s">
        <v>1540</v>
      </c>
      <c r="E79" s="1139">
        <v>0.5</v>
      </c>
      <c r="F79" s="1154">
        <v>80</v>
      </c>
    </row>
    <row r="80" spans="1:6" s="1105" customFormat="1" ht="36">
      <c r="A80" s="1154">
        <v>20</v>
      </c>
      <c r="B80" s="3464"/>
      <c r="C80" s="1068" t="s">
        <v>1541</v>
      </c>
      <c r="D80" s="1068" t="s">
        <v>1542</v>
      </c>
      <c r="E80" s="1139">
        <v>0.2</v>
      </c>
      <c r="F80" s="1154">
        <v>30</v>
      </c>
    </row>
    <row r="81" spans="1:6" s="1105" customFormat="1" ht="36">
      <c r="A81" s="1154">
        <v>21</v>
      </c>
      <c r="B81" s="3464"/>
      <c r="C81" s="1068" t="s">
        <v>1543</v>
      </c>
      <c r="D81" s="1068" t="s">
        <v>1544</v>
      </c>
      <c r="E81" s="1139">
        <v>0.2</v>
      </c>
      <c r="F81" s="1154">
        <v>30</v>
      </c>
    </row>
    <row r="82" spans="1:6" s="1105" customFormat="1" ht="48">
      <c r="A82" s="1154">
        <v>22</v>
      </c>
      <c r="B82" s="3464"/>
      <c r="C82" s="1068" t="s">
        <v>1545</v>
      </c>
      <c r="D82" s="1068" t="s">
        <v>1546</v>
      </c>
      <c r="E82" s="1139">
        <v>0.2</v>
      </c>
      <c r="F82" s="1154">
        <v>30</v>
      </c>
    </row>
    <row r="83" spans="1:6" s="1105" customFormat="1" ht="48">
      <c r="A83" s="1154">
        <v>23</v>
      </c>
      <c r="B83" s="3464"/>
      <c r="C83" s="1068" t="s">
        <v>1547</v>
      </c>
      <c r="D83" s="1068" t="s">
        <v>1548</v>
      </c>
      <c r="E83" s="1139">
        <v>0.2</v>
      </c>
      <c r="F83" s="1154">
        <v>30</v>
      </c>
    </row>
    <row r="84" spans="1:6" s="1105" customFormat="1" ht="36">
      <c r="A84" s="1154">
        <v>24</v>
      </c>
      <c r="B84" s="3464"/>
      <c r="C84" s="1068" t="s">
        <v>1549</v>
      </c>
      <c r="D84" s="1068" t="s">
        <v>1550</v>
      </c>
      <c r="E84" s="1139">
        <v>0.2</v>
      </c>
      <c r="F84" s="1154">
        <v>30</v>
      </c>
    </row>
    <row r="85" spans="1:6" s="1105" customFormat="1" ht="36">
      <c r="A85" s="1154">
        <v>25</v>
      </c>
      <c r="B85" s="3464"/>
      <c r="C85" s="1068" t="s">
        <v>1551</v>
      </c>
      <c r="D85" s="1068" t="s">
        <v>1552</v>
      </c>
      <c r="E85" s="1139">
        <v>0.5</v>
      </c>
      <c r="F85" s="1154">
        <v>80</v>
      </c>
    </row>
    <row r="86" spans="1:6" s="1105" customFormat="1" ht="36">
      <c r="A86" s="1154">
        <v>26</v>
      </c>
      <c r="B86" s="3464"/>
      <c r="C86" s="1068" t="s">
        <v>1553</v>
      </c>
      <c r="D86" s="1068" t="s">
        <v>1554</v>
      </c>
      <c r="E86" s="1139">
        <v>0.2</v>
      </c>
      <c r="F86" s="1154">
        <v>30</v>
      </c>
    </row>
    <row r="87" spans="1:6" s="1105" customFormat="1" ht="36">
      <c r="A87" s="1154">
        <v>27</v>
      </c>
      <c r="B87" s="3464"/>
      <c r="C87" s="1068" t="s">
        <v>1555</v>
      </c>
      <c r="D87" s="1068" t="s">
        <v>1556</v>
      </c>
      <c r="E87" s="1139">
        <v>0.2</v>
      </c>
      <c r="F87" s="1154">
        <v>30</v>
      </c>
    </row>
    <row r="88" spans="1:6" s="1105" customFormat="1" ht="36">
      <c r="A88" s="1154">
        <v>28</v>
      </c>
      <c r="B88" s="3464"/>
      <c r="C88" s="1068" t="s">
        <v>1557</v>
      </c>
      <c r="D88" s="1068" t="s">
        <v>1558</v>
      </c>
      <c r="E88" s="1139">
        <v>0.2</v>
      </c>
      <c r="F88" s="1154">
        <v>30</v>
      </c>
    </row>
    <row r="89" spans="1:6" s="1105" customFormat="1" ht="24">
      <c r="A89" s="1154">
        <v>29</v>
      </c>
      <c r="B89" s="3464"/>
      <c r="C89" s="1068" t="s">
        <v>1559</v>
      </c>
      <c r="D89" s="1068" t="s">
        <v>1560</v>
      </c>
      <c r="E89" s="1139">
        <v>0.2</v>
      </c>
      <c r="F89" s="1154">
        <v>30</v>
      </c>
    </row>
    <row r="90" spans="1:6" s="1105" customFormat="1" ht="24">
      <c r="A90" s="1154">
        <v>30</v>
      </c>
      <c r="B90" s="3464"/>
      <c r="C90" s="1068" t="s">
        <v>1561</v>
      </c>
      <c r="D90" s="1068" t="s">
        <v>1562</v>
      </c>
      <c r="E90" s="1139">
        <v>0.2</v>
      </c>
      <c r="F90" s="1154">
        <v>30</v>
      </c>
    </row>
    <row r="91" spans="1:6" s="1105" customFormat="1" ht="36">
      <c r="A91" s="1154">
        <v>31</v>
      </c>
      <c r="B91" s="3464"/>
      <c r="C91" s="1068" t="s">
        <v>1563</v>
      </c>
      <c r="D91" s="1068" t="s">
        <v>1564</v>
      </c>
      <c r="E91" s="1139">
        <v>0.2</v>
      </c>
      <c r="F91" s="1154">
        <v>30</v>
      </c>
    </row>
    <row r="92" spans="1:6" s="1105" customFormat="1" ht="24">
      <c r="A92" s="1154">
        <v>32</v>
      </c>
      <c r="B92" s="3464" t="s">
        <v>1565</v>
      </c>
      <c r="C92" s="1154" t="s">
        <v>1566</v>
      </c>
      <c r="D92" s="1068" t="s">
        <v>1567</v>
      </c>
      <c r="E92" s="1139">
        <v>0.2</v>
      </c>
      <c r="F92" s="1154">
        <v>30</v>
      </c>
    </row>
    <row r="93" spans="1:6" s="1105" customFormat="1" ht="36">
      <c r="A93" s="1154">
        <v>33</v>
      </c>
      <c r="B93" s="3464"/>
      <c r="C93" s="1154" t="s">
        <v>1568</v>
      </c>
      <c r="D93" s="1068" t="s">
        <v>1569</v>
      </c>
      <c r="E93" s="1139">
        <v>0.2</v>
      </c>
      <c r="F93" s="1154">
        <v>30</v>
      </c>
    </row>
    <row r="94" spans="1:6" s="1105" customFormat="1" ht="48">
      <c r="A94" s="1154">
        <v>34</v>
      </c>
      <c r="B94" s="3464"/>
      <c r="C94" s="1154" t="s">
        <v>1570</v>
      </c>
      <c r="D94" s="1068" t="s">
        <v>1571</v>
      </c>
      <c r="E94" s="1139">
        <v>0.2</v>
      </c>
      <c r="F94" s="1154">
        <v>30</v>
      </c>
    </row>
    <row r="95" spans="1:6" s="1105" customFormat="1" ht="36">
      <c r="A95" s="1154">
        <v>35</v>
      </c>
      <c r="B95" s="3464"/>
      <c r="C95" s="1154" t="s">
        <v>1572</v>
      </c>
      <c r="D95" s="1068" t="s">
        <v>1573</v>
      </c>
      <c r="E95" s="1139">
        <v>0.2</v>
      </c>
      <c r="F95" s="1154">
        <v>30</v>
      </c>
    </row>
    <row r="96" spans="1:6" s="1105" customFormat="1" ht="48">
      <c r="A96" s="1154">
        <v>36</v>
      </c>
      <c r="B96" s="3464"/>
      <c r="C96" s="1068" t="s">
        <v>1574</v>
      </c>
      <c r="D96" s="1068" t="s">
        <v>1575</v>
      </c>
      <c r="E96" s="1139">
        <v>0.2</v>
      </c>
      <c r="F96" s="1154">
        <v>30</v>
      </c>
    </row>
    <row r="97" spans="1:6" s="1105" customFormat="1" ht="36">
      <c r="A97" s="1154">
        <v>37</v>
      </c>
      <c r="B97" s="3464"/>
      <c r="C97" s="1154" t="s">
        <v>1576</v>
      </c>
      <c r="D97" s="1068" t="s">
        <v>1577</v>
      </c>
      <c r="E97" s="1139">
        <v>0.2</v>
      </c>
      <c r="F97" s="1154">
        <v>30</v>
      </c>
    </row>
    <row r="98" spans="1:6" s="1105" customFormat="1" ht="36">
      <c r="A98" s="1154">
        <v>38</v>
      </c>
      <c r="B98" s="3464"/>
      <c r="C98" s="1154" t="s">
        <v>1578</v>
      </c>
      <c r="D98" s="1068" t="s">
        <v>1579</v>
      </c>
      <c r="E98" s="1139">
        <v>0.2</v>
      </c>
      <c r="F98" s="1154">
        <v>30</v>
      </c>
    </row>
    <row r="99" spans="1:6" s="1105" customFormat="1" ht="36">
      <c r="A99" s="1154">
        <v>39</v>
      </c>
      <c r="B99" s="3464" t="s">
        <v>1580</v>
      </c>
      <c r="C99" s="1154" t="s">
        <v>1581</v>
      </c>
      <c r="D99" s="1068" t="s">
        <v>1582</v>
      </c>
      <c r="E99" s="1139">
        <v>0.3</v>
      </c>
      <c r="F99" s="1154">
        <v>50</v>
      </c>
    </row>
    <row r="100" spans="1:6" s="1105" customFormat="1" ht="24">
      <c r="A100" s="1154">
        <v>40</v>
      </c>
      <c r="B100" s="3464"/>
      <c r="C100" s="1154" t="s">
        <v>1583</v>
      </c>
      <c r="D100" s="1068" t="s">
        <v>1584</v>
      </c>
      <c r="E100" s="1139">
        <v>0.2</v>
      </c>
      <c r="F100" s="1154">
        <v>30</v>
      </c>
    </row>
    <row r="101" spans="1:6" s="1105" customFormat="1" ht="36">
      <c r="A101" s="1154">
        <v>41</v>
      </c>
      <c r="B101" s="3464"/>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64" t="s">
        <v>1595</v>
      </c>
      <c r="C105" s="1154" t="s">
        <v>1596</v>
      </c>
      <c r="D105" s="1068" t="s">
        <v>1597</v>
      </c>
      <c r="E105" s="1139">
        <v>0.2</v>
      </c>
      <c r="F105" s="1154">
        <v>30</v>
      </c>
    </row>
    <row r="106" spans="1:6" s="1105" customFormat="1" ht="36">
      <c r="A106" s="1154">
        <v>46</v>
      </c>
      <c r="B106" s="3464"/>
      <c r="C106" s="1154" t="s">
        <v>1598</v>
      </c>
      <c r="D106" s="1068" t="s">
        <v>1599</v>
      </c>
      <c r="E106" s="1139">
        <v>0.2</v>
      </c>
      <c r="F106" s="1154">
        <v>30</v>
      </c>
    </row>
    <row r="107" spans="1:6" s="1105" customFormat="1" ht="36">
      <c r="A107" s="1154">
        <v>47</v>
      </c>
      <c r="B107" s="3464" t="s">
        <v>1600</v>
      </c>
      <c r="C107" s="1154" t="s">
        <v>1601</v>
      </c>
      <c r="D107" s="1068" t="s">
        <v>1602</v>
      </c>
      <c r="E107" s="1139">
        <v>0.3</v>
      </c>
      <c r="F107" s="1154">
        <v>50</v>
      </c>
    </row>
    <row r="108" spans="1:6" s="1105" customFormat="1" ht="36">
      <c r="A108" s="1154">
        <v>48</v>
      </c>
      <c r="B108" s="3464"/>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64" t="s">
        <v>1611</v>
      </c>
      <c r="C111" s="1154" t="s">
        <v>1612</v>
      </c>
      <c r="D111" s="1068" t="s">
        <v>1613</v>
      </c>
      <c r="E111" s="1139">
        <v>0.2</v>
      </c>
      <c r="F111" s="1154">
        <v>30</v>
      </c>
    </row>
    <row r="112" spans="1:6" s="1105" customFormat="1" ht="24">
      <c r="A112" s="1154">
        <v>52</v>
      </c>
      <c r="B112" s="3464"/>
      <c r="C112" s="1154" t="s">
        <v>1614</v>
      </c>
      <c r="D112" s="1068" t="s">
        <v>1615</v>
      </c>
      <c r="E112" s="1139">
        <v>0.2</v>
      </c>
      <c r="F112" s="1154">
        <v>30</v>
      </c>
    </row>
    <row r="113" spans="1:14" s="1105" customFormat="1" ht="24">
      <c r="A113" s="1154">
        <v>53</v>
      </c>
      <c r="B113" s="3464"/>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64" t="s">
        <v>1624</v>
      </c>
      <c r="C116" s="1154" t="s">
        <v>1625</v>
      </c>
      <c r="D116" s="1068" t="s">
        <v>1626</v>
      </c>
      <c r="E116" s="1139">
        <v>0.2</v>
      </c>
      <c r="F116" s="1154">
        <v>30</v>
      </c>
    </row>
    <row r="117" spans="1:14" ht="36">
      <c r="A117" s="1154">
        <v>57</v>
      </c>
      <c r="B117" s="3464"/>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63" t="s">
        <v>1633</v>
      </c>
      <c r="B121" s="3463"/>
      <c r="C121" s="3463"/>
      <c r="D121" s="3463"/>
      <c r="E121" s="3463"/>
      <c r="F121" s="3463"/>
      <c r="G121" s="3463"/>
      <c r="H121" s="3463"/>
      <c r="I121" s="3463"/>
      <c r="J121" s="346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8" t="s">
        <v>1039</v>
      </c>
      <c r="B1" s="3468"/>
      <c r="C1" s="3468"/>
      <c r="D1" s="3468"/>
      <c r="E1" s="3468"/>
      <c r="F1" s="3468"/>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69" t="s">
        <v>1052</v>
      </c>
      <c r="B2" s="3469"/>
      <c r="C2" s="3469"/>
      <c r="D2" s="3469"/>
      <c r="E2" s="3469"/>
      <c r="F2" s="3469"/>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70"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71"/>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2423</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2424</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72" t="s">
        <v>2079</v>
      </c>
      <c r="B1" s="3472"/>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1096</v>
      </c>
      <c r="B6" s="1859" t="s">
        <v>2088</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2089</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2090</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2091</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2092</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2093</v>
      </c>
      <c r="C72" s="1869"/>
      <c r="D72" s="1869"/>
      <c r="E72" s="1869"/>
      <c r="F72" s="1861">
        <v>0.05</v>
      </c>
    </row>
    <row r="73" spans="1:6" ht="14.25" thickBot="1">
      <c r="A73" s="1855" t="s">
        <v>924</v>
      </c>
      <c r="B73" s="1859" t="s">
        <v>2094</v>
      </c>
      <c r="C73" s="1869"/>
      <c r="D73" s="1869"/>
      <c r="E73" s="1869"/>
      <c r="F73" s="1861">
        <v>0.05</v>
      </c>
    </row>
    <row r="74" spans="1:6" ht="14.25" thickBot="1">
      <c r="A74" s="1855" t="s">
        <v>924</v>
      </c>
      <c r="B74" s="1859" t="s">
        <v>2095</v>
      </c>
      <c r="C74" s="1869"/>
      <c r="D74" s="1869"/>
      <c r="E74" s="1869"/>
      <c r="F74" s="1861">
        <v>0.05</v>
      </c>
    </row>
    <row r="75" spans="1:6" ht="14.25" thickBot="1">
      <c r="A75" s="1863" t="s">
        <v>924</v>
      </c>
      <c r="B75" s="1870" t="s">
        <v>2096</v>
      </c>
      <c r="C75" s="1866"/>
      <c r="D75" s="1866"/>
      <c r="E75" s="1866"/>
      <c r="F75" s="1871">
        <v>0.05</v>
      </c>
    </row>
    <row r="76" spans="1:6" ht="14.25" thickBot="1">
      <c r="A76" s="1855" t="s">
        <v>1407</v>
      </c>
      <c r="B76" s="1856" t="s">
        <v>2097</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2098</v>
      </c>
      <c r="C102" s="1869"/>
      <c r="D102" s="1869"/>
      <c r="E102" s="1869"/>
      <c r="F102" s="1861">
        <v>0.05</v>
      </c>
    </row>
    <row r="103" spans="1:6" ht="24.75" thickBot="1">
      <c r="A103" s="1855" t="s">
        <v>1407</v>
      </c>
      <c r="B103" s="1859" t="s">
        <v>2099</v>
      </c>
      <c r="C103" s="1869"/>
      <c r="D103" s="1869"/>
      <c r="E103" s="1869"/>
      <c r="F103" s="1861">
        <v>0.05</v>
      </c>
    </row>
    <row r="104" spans="1:6" ht="14.25" thickBot="1">
      <c r="A104" s="1855" t="s">
        <v>1407</v>
      </c>
      <c r="B104" s="1859" t="s">
        <v>2100</v>
      </c>
      <c r="C104" s="1869"/>
      <c r="D104" s="1869"/>
      <c r="E104" s="1869"/>
      <c r="F104" s="1861">
        <v>0.05</v>
      </c>
    </row>
    <row r="105" spans="1:6" ht="14.25" thickBot="1">
      <c r="A105" s="1855" t="s">
        <v>1407</v>
      </c>
      <c r="B105" s="1859" t="s">
        <v>2101</v>
      </c>
      <c r="C105" s="1869"/>
      <c r="D105" s="1869"/>
      <c r="E105" s="1869"/>
      <c r="F105" s="1861">
        <v>0.05</v>
      </c>
    </row>
    <row r="106" spans="1:6" ht="14.25" thickBot="1">
      <c r="A106" s="1855" t="s">
        <v>1407</v>
      </c>
      <c r="B106" s="1859" t="s">
        <v>2102</v>
      </c>
      <c r="C106" s="1869"/>
      <c r="D106" s="1869"/>
      <c r="E106" s="1869"/>
      <c r="F106" s="1861">
        <v>0.05</v>
      </c>
    </row>
    <row r="107" spans="1:6" ht="24.75" thickBot="1">
      <c r="A107" s="1855" t="s">
        <v>1407</v>
      </c>
      <c r="B107" s="1859" t="s">
        <v>2103</v>
      </c>
      <c r="C107" s="1869"/>
      <c r="D107" s="1869"/>
      <c r="E107" s="1869"/>
      <c r="F107" s="1861">
        <v>0.05</v>
      </c>
    </row>
    <row r="108" spans="1:6" ht="24.75" thickBot="1">
      <c r="A108" s="1855" t="s">
        <v>1407</v>
      </c>
      <c r="B108" s="1859" t="s">
        <v>2104</v>
      </c>
      <c r="C108" s="1869"/>
      <c r="D108" s="1869"/>
      <c r="E108" s="1869"/>
      <c r="F108" s="1861">
        <v>0.05</v>
      </c>
    </row>
    <row r="109" spans="1:6" ht="24.75" thickBot="1">
      <c r="A109" s="1863" t="s">
        <v>1407</v>
      </c>
      <c r="B109" s="1870" t="s">
        <v>2105</v>
      </c>
      <c r="C109" s="1866"/>
      <c r="D109" s="1866"/>
      <c r="E109" s="1866"/>
      <c r="F109" s="1871">
        <v>0.05</v>
      </c>
    </row>
    <row r="110" spans="1:6" ht="14.25" thickBot="1">
      <c r="A110" s="1855" t="s">
        <v>1409</v>
      </c>
      <c r="B110" s="1856" t="s">
        <v>2106</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2107</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2108</v>
      </c>
      <c r="C138" s="1860">
        <v>0.105</v>
      </c>
      <c r="D138" s="1860">
        <v>0.125</v>
      </c>
      <c r="E138" s="1860">
        <v>0.112</v>
      </c>
      <c r="F138" s="1868"/>
    </row>
    <row r="139" spans="1:6" ht="14.25" thickBot="1">
      <c r="A139" s="1855" t="s">
        <v>1409</v>
      </c>
      <c r="B139" s="1859" t="s">
        <v>2109</v>
      </c>
      <c r="C139" s="1860">
        <v>0.127</v>
      </c>
      <c r="D139" s="1860">
        <v>0.127</v>
      </c>
      <c r="E139" s="1860">
        <v>0.122</v>
      </c>
      <c r="F139" s="1861">
        <v>0.13</v>
      </c>
    </row>
    <row r="140" spans="1:6" ht="14.25" thickBot="1">
      <c r="A140" s="1855" t="s">
        <v>1409</v>
      </c>
      <c r="B140" s="1859" t="s">
        <v>2110</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2111</v>
      </c>
      <c r="C144" s="1873">
        <v>0.126</v>
      </c>
      <c r="D144" s="1873">
        <v>0.126</v>
      </c>
      <c r="E144" s="1873">
        <v>0.121</v>
      </c>
      <c r="F144" s="1868"/>
    </row>
    <row r="145" spans="1:6" ht="14.25" thickBot="1">
      <c r="A145" s="1863" t="s">
        <v>1409</v>
      </c>
      <c r="B145" s="1874" t="s">
        <v>2112</v>
      </c>
      <c r="C145" s="1875"/>
      <c r="D145" s="1875"/>
      <c r="E145" s="1875"/>
      <c r="F145" s="1876">
        <v>0.05</v>
      </c>
    </row>
    <row r="146" spans="1:6" ht="24.75" thickBot="1">
      <c r="A146" s="1877" t="s">
        <v>1409</v>
      </c>
      <c r="B146" s="1862" t="s">
        <v>2113</v>
      </c>
      <c r="C146" s="1869"/>
      <c r="D146" s="1869"/>
      <c r="E146" s="1869"/>
      <c r="F146" s="1878">
        <v>0.05</v>
      </c>
    </row>
    <row r="147" spans="1:6" ht="24.75" thickBot="1">
      <c r="A147" s="1855" t="s">
        <v>1409</v>
      </c>
      <c r="B147" s="1859" t="s">
        <v>2114</v>
      </c>
      <c r="C147" s="1869"/>
      <c r="D147" s="1869"/>
      <c r="E147" s="1869"/>
      <c r="F147" s="1861">
        <v>0.05</v>
      </c>
    </row>
    <row r="148" spans="1:6" ht="24.75" thickBot="1">
      <c r="A148" s="1855" t="s">
        <v>1409</v>
      </c>
      <c r="B148" s="1859" t="s">
        <v>2115</v>
      </c>
      <c r="C148" s="1869"/>
      <c r="D148" s="1869"/>
      <c r="E148" s="1869"/>
      <c r="F148" s="1861">
        <v>0.05</v>
      </c>
    </row>
    <row r="149" spans="1:6" ht="24.75" thickBot="1">
      <c r="A149" s="1855" t="s">
        <v>1409</v>
      </c>
      <c r="B149" s="1859" t="s">
        <v>2116</v>
      </c>
      <c r="C149" s="1869"/>
      <c r="D149" s="1869"/>
      <c r="E149" s="1869"/>
      <c r="F149" s="1861">
        <v>0.05</v>
      </c>
    </row>
    <row r="150" spans="1:6" ht="24.75" thickBot="1">
      <c r="A150" s="1855" t="s">
        <v>1409</v>
      </c>
      <c r="B150" s="1859" t="s">
        <v>2117</v>
      </c>
      <c r="C150" s="1869"/>
      <c r="D150" s="1869"/>
      <c r="E150" s="1869"/>
      <c r="F150" s="1861">
        <v>0.05</v>
      </c>
    </row>
    <row r="151" spans="1:6" ht="24.75" thickBot="1">
      <c r="A151" s="1855" t="s">
        <v>1409</v>
      </c>
      <c r="B151" s="1859" t="s">
        <v>2118</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2119</v>
      </c>
      <c r="C153" s="1869"/>
      <c r="D153" s="1869"/>
      <c r="E153" s="1869"/>
      <c r="F153" s="1861">
        <v>0.05</v>
      </c>
    </row>
    <row r="154" spans="1:6" ht="14.25" thickBot="1">
      <c r="A154" s="1855" t="s">
        <v>1409</v>
      </c>
      <c r="B154" s="1859" t="s">
        <v>2120</v>
      </c>
      <c r="C154" s="1869"/>
      <c r="D154" s="1869"/>
      <c r="E154" s="1869"/>
      <c r="F154" s="1861">
        <v>0.05</v>
      </c>
    </row>
    <row r="155" spans="1:6" ht="24.75" thickBot="1">
      <c r="A155" s="1855" t="s">
        <v>1409</v>
      </c>
      <c r="B155" s="1859" t="s">
        <v>2121</v>
      </c>
      <c r="C155" s="1869"/>
      <c r="D155" s="1869"/>
      <c r="E155" s="1869"/>
      <c r="F155" s="1861">
        <v>0.05</v>
      </c>
    </row>
    <row r="156" spans="1:6" ht="24.75" thickBot="1">
      <c r="A156" s="1855" t="s">
        <v>1409</v>
      </c>
      <c r="B156" s="1859" t="s">
        <v>2122</v>
      </c>
      <c r="C156" s="1869"/>
      <c r="D156" s="1869"/>
      <c r="E156" s="1869"/>
      <c r="F156" s="1861">
        <v>0.05</v>
      </c>
    </row>
    <row r="157" spans="1:6" ht="14.25" thickBot="1">
      <c r="A157" s="1863" t="s">
        <v>1409</v>
      </c>
      <c r="B157" s="1870" t="s">
        <v>2123</v>
      </c>
      <c r="C157" s="1866"/>
      <c r="D157" s="1866"/>
      <c r="E157" s="1866"/>
      <c r="F157" s="1871">
        <v>0.05</v>
      </c>
    </row>
    <row r="158" spans="1:6" ht="14.25" thickBot="1">
      <c r="A158" s="1855" t="s">
        <v>1411</v>
      </c>
      <c r="B158" s="1856" t="s">
        <v>2124</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2125</v>
      </c>
      <c r="C171" s="1860">
        <v>0.127</v>
      </c>
      <c r="D171" s="1860">
        <v>0.126</v>
      </c>
      <c r="E171" s="1860">
        <v>0.126</v>
      </c>
      <c r="F171" s="1861">
        <v>0.11799999999999999</v>
      </c>
    </row>
    <row r="172" spans="1:6" ht="14.25" thickBot="1">
      <c r="A172" s="1855" t="s">
        <v>1411</v>
      </c>
      <c r="B172" s="1859" t="s">
        <v>2126</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2127</v>
      </c>
      <c r="C174" s="1860">
        <v>0.13</v>
      </c>
      <c r="D174" s="1860">
        <v>0.13</v>
      </c>
      <c r="E174" s="1860">
        <v>0.13</v>
      </c>
      <c r="F174" s="1861">
        <v>0.13</v>
      </c>
    </row>
    <row r="175" spans="1:6" ht="14.25" thickBot="1">
      <c r="A175" s="1855" t="s">
        <v>1411</v>
      </c>
      <c r="B175" s="1859" t="s">
        <v>2128</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2129</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2130</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2131</v>
      </c>
      <c r="C185" s="1860">
        <v>0.127</v>
      </c>
      <c r="D185" s="1860">
        <v>0.127</v>
      </c>
      <c r="E185" s="1860">
        <v>0.128</v>
      </c>
      <c r="F185" s="1861">
        <v>0.13</v>
      </c>
    </row>
    <row r="186" spans="1:6" ht="24.75" thickBot="1">
      <c r="A186" s="1855" t="s">
        <v>1411</v>
      </c>
      <c r="B186" s="1859" t="s">
        <v>2132</v>
      </c>
      <c r="C186" s="1869"/>
      <c r="D186" s="1869"/>
      <c r="E186" s="1869"/>
      <c r="F186" s="1861">
        <v>0.05</v>
      </c>
    </row>
    <row r="187" spans="1:6" ht="14.25" thickBot="1">
      <c r="A187" s="1855" t="s">
        <v>1411</v>
      </c>
      <c r="B187" s="1859" t="s">
        <v>2133</v>
      </c>
      <c r="C187" s="1869"/>
      <c r="D187" s="1869"/>
      <c r="E187" s="1869"/>
      <c r="F187" s="1861">
        <v>0.05</v>
      </c>
    </row>
    <row r="188" spans="1:6" ht="14.25" thickBot="1">
      <c r="A188" s="1855" t="s">
        <v>1411</v>
      </c>
      <c r="B188" s="1859" t="s">
        <v>2134</v>
      </c>
      <c r="C188" s="1869"/>
      <c r="D188" s="1869"/>
      <c r="E188" s="1869"/>
      <c r="F188" s="1861">
        <v>0.05</v>
      </c>
    </row>
    <row r="189" spans="1:6" ht="24.75" thickBot="1">
      <c r="A189" s="1855" t="s">
        <v>1411</v>
      </c>
      <c r="B189" s="1859" t="s">
        <v>2135</v>
      </c>
      <c r="C189" s="1869"/>
      <c r="D189" s="1869"/>
      <c r="E189" s="1869"/>
      <c r="F189" s="1861">
        <v>0.05</v>
      </c>
    </row>
    <row r="190" spans="1:6" ht="24.75" thickBot="1">
      <c r="A190" s="1855" t="s">
        <v>1411</v>
      </c>
      <c r="B190" s="1859" t="s">
        <v>2136</v>
      </c>
      <c r="C190" s="1869"/>
      <c r="D190" s="1869"/>
      <c r="E190" s="1869"/>
      <c r="F190" s="1861">
        <v>0.05</v>
      </c>
    </row>
    <row r="191" spans="1:6" ht="24.75" thickBot="1">
      <c r="A191" s="1855" t="s">
        <v>1411</v>
      </c>
      <c r="B191" s="1859" t="s">
        <v>2137</v>
      </c>
      <c r="C191" s="1869"/>
      <c r="D191" s="1869"/>
      <c r="E191" s="1869"/>
      <c r="F191" s="1861">
        <v>0.05</v>
      </c>
    </row>
    <row r="192" spans="1:6" ht="24.75" thickBot="1">
      <c r="A192" s="1855" t="s">
        <v>1411</v>
      </c>
      <c r="B192" s="1859" t="s">
        <v>2138</v>
      </c>
      <c r="C192" s="1869"/>
      <c r="D192" s="1869"/>
      <c r="E192" s="1869"/>
      <c r="F192" s="1861">
        <v>0.05</v>
      </c>
    </row>
    <row r="193" spans="1:6" ht="24.75" thickBot="1">
      <c r="A193" s="1855" t="s">
        <v>1411</v>
      </c>
      <c r="B193" s="1859" t="s">
        <v>2139</v>
      </c>
      <c r="C193" s="1869"/>
      <c r="D193" s="1869"/>
      <c r="E193" s="1869"/>
      <c r="F193" s="1861">
        <v>0.05</v>
      </c>
    </row>
    <row r="194" spans="1:6" ht="24.75" thickBot="1">
      <c r="A194" s="1855" t="s">
        <v>1411</v>
      </c>
      <c r="B194" s="1859" t="s">
        <v>2140</v>
      </c>
      <c r="C194" s="1869"/>
      <c r="D194" s="1869"/>
      <c r="E194" s="1869"/>
      <c r="F194" s="1861">
        <v>0.05</v>
      </c>
    </row>
    <row r="195" spans="1:6" ht="14.25" thickBot="1">
      <c r="A195" s="1855" t="s">
        <v>1411</v>
      </c>
      <c r="B195" s="1859" t="s">
        <v>2141</v>
      </c>
      <c r="C195" s="1869"/>
      <c r="D195" s="1869"/>
      <c r="E195" s="1869"/>
      <c r="F195" s="1861">
        <v>0.05</v>
      </c>
    </row>
    <row r="196" spans="1:6" ht="24.75" thickBot="1">
      <c r="A196" s="1855" t="s">
        <v>1411</v>
      </c>
      <c r="B196" s="1859" t="s">
        <v>2142</v>
      </c>
      <c r="C196" s="1869"/>
      <c r="D196" s="1869"/>
      <c r="E196" s="1869"/>
      <c r="F196" s="1861">
        <v>0.05</v>
      </c>
    </row>
    <row r="197" spans="1:6" ht="24.75" thickBot="1">
      <c r="A197" s="1855" t="s">
        <v>1411</v>
      </c>
      <c r="B197" s="1859" t="s">
        <v>2143</v>
      </c>
      <c r="C197" s="1869"/>
      <c r="D197" s="1869"/>
      <c r="E197" s="1869"/>
      <c r="F197" s="1861">
        <v>0.05</v>
      </c>
    </row>
    <row r="198" spans="1:6" ht="24.75" thickBot="1">
      <c r="A198" s="1855" t="s">
        <v>1411</v>
      </c>
      <c r="B198" s="1859" t="s">
        <v>2144</v>
      </c>
      <c r="C198" s="1869"/>
      <c r="D198" s="1869"/>
      <c r="E198" s="1869"/>
      <c r="F198" s="1861">
        <v>0.05</v>
      </c>
    </row>
    <row r="199" spans="1:6" ht="24.75" thickBot="1">
      <c r="A199" s="1855" t="s">
        <v>1411</v>
      </c>
      <c r="B199" s="1859" t="s">
        <v>2145</v>
      </c>
      <c r="C199" s="1869"/>
      <c r="D199" s="1869"/>
      <c r="E199" s="1869"/>
      <c r="F199" s="1861">
        <v>0.05</v>
      </c>
    </row>
    <row r="200" spans="1:6" ht="24.75" thickBot="1">
      <c r="A200" s="1855" t="s">
        <v>1411</v>
      </c>
      <c r="B200" s="1859" t="s">
        <v>2146</v>
      </c>
      <c r="C200" s="1869"/>
      <c r="D200" s="1869"/>
      <c r="E200" s="1869"/>
      <c r="F200" s="1861">
        <v>0.05</v>
      </c>
    </row>
    <row r="201" spans="1:6" ht="24.75" thickBot="1">
      <c r="A201" s="1855" t="s">
        <v>1411</v>
      </c>
      <c r="B201" s="1859" t="s">
        <v>2147</v>
      </c>
      <c r="C201" s="1869"/>
      <c r="D201" s="1869"/>
      <c r="E201" s="1869"/>
      <c r="F201" s="1861">
        <v>0.05</v>
      </c>
    </row>
    <row r="202" spans="1:6" ht="24.75" thickBot="1">
      <c r="A202" s="1855" t="s">
        <v>1411</v>
      </c>
      <c r="B202" s="1859" t="s">
        <v>2148</v>
      </c>
      <c r="C202" s="1869"/>
      <c r="D202" s="1869"/>
      <c r="E202" s="1869"/>
      <c r="F202" s="1861">
        <v>0.05</v>
      </c>
    </row>
    <row r="203" spans="1:6" ht="24.75" thickBot="1">
      <c r="A203" s="1855" t="s">
        <v>1411</v>
      </c>
      <c r="B203" s="1859" t="s">
        <v>2149</v>
      </c>
      <c r="C203" s="1869"/>
      <c r="D203" s="1869"/>
      <c r="E203" s="1869"/>
      <c r="F203" s="1861">
        <v>0.05</v>
      </c>
    </row>
    <row r="204" spans="1:6" ht="14.25" thickBot="1">
      <c r="A204" s="1855" t="s">
        <v>1411</v>
      </c>
      <c r="B204" s="1859" t="s">
        <v>2150</v>
      </c>
      <c r="C204" s="1869"/>
      <c r="D204" s="1869"/>
      <c r="E204" s="1869"/>
      <c r="F204" s="1861">
        <v>0.05</v>
      </c>
    </row>
    <row r="205" spans="1:6" ht="14.25" thickBot="1">
      <c r="A205" s="1863" t="s">
        <v>1411</v>
      </c>
      <c r="B205" s="1870" t="s">
        <v>2151</v>
      </c>
      <c r="C205" s="1866"/>
      <c r="D205" s="1866"/>
      <c r="E205" s="1866"/>
      <c r="F205" s="1871">
        <v>0.05</v>
      </c>
    </row>
    <row r="206" spans="1:6" ht="14.25" thickBot="1">
      <c r="A206" s="1855" t="s">
        <v>1413</v>
      </c>
      <c r="B206" s="1856" t="s">
        <v>2152</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2153</v>
      </c>
      <c r="C210" s="1860">
        <v>0.15</v>
      </c>
      <c r="D210" s="1860">
        <v>0.15</v>
      </c>
      <c r="E210" s="1860">
        <v>0.15</v>
      </c>
      <c r="F210" s="1861">
        <v>0.13800000000000001</v>
      </c>
    </row>
    <row r="211" spans="1:6" ht="14.25" thickBot="1">
      <c r="A211" s="1855" t="s">
        <v>1413</v>
      </c>
      <c r="B211" s="1859" t="s">
        <v>2154</v>
      </c>
      <c r="C211" s="1860">
        <v>0.13700000000000001</v>
      </c>
      <c r="D211" s="1860">
        <v>0.13500000000000001</v>
      </c>
      <c r="E211" s="1860">
        <v>0.13600000000000001</v>
      </c>
      <c r="F211" s="1861">
        <v>0.1</v>
      </c>
    </row>
    <row r="212" spans="1:6" ht="14.25" thickBot="1">
      <c r="A212" s="1855" t="s">
        <v>1413</v>
      </c>
      <c r="B212" s="1859" t="s">
        <v>2155</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2156</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2157</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2158</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2159</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2160</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2161</v>
      </c>
      <c r="C231" s="1860">
        <v>0.128</v>
      </c>
      <c r="D231" s="1860">
        <v>0.125</v>
      </c>
      <c r="E231" s="1860">
        <v>0.13200000000000001</v>
      </c>
      <c r="F231" s="1868"/>
    </row>
    <row r="232" spans="1:6" ht="14.25" thickBot="1">
      <c r="A232" s="1855" t="s">
        <v>1413</v>
      </c>
      <c r="B232" s="1859" t="s">
        <v>2162</v>
      </c>
      <c r="C232" s="1860">
        <v>0.14499999999999999</v>
      </c>
      <c r="D232" s="1860">
        <v>0.14399999999999999</v>
      </c>
      <c r="E232" s="1860">
        <v>0.14599999999999999</v>
      </c>
      <c r="F232" s="1861">
        <v>0.13800000000000001</v>
      </c>
    </row>
    <row r="233" spans="1:6" ht="14.25" thickBot="1">
      <c r="A233" s="1855" t="s">
        <v>1413</v>
      </c>
      <c r="B233" s="1859" t="s">
        <v>2163</v>
      </c>
      <c r="C233" s="1860">
        <v>0.14499999999999999</v>
      </c>
      <c r="D233" s="1860">
        <v>0.14299999999999999</v>
      </c>
      <c r="E233" s="1860">
        <v>0.14199999999999999</v>
      </c>
      <c r="F233" s="1868"/>
    </row>
    <row r="234" spans="1:6" ht="14.25" thickBot="1">
      <c r="A234" s="1855" t="s">
        <v>1413</v>
      </c>
      <c r="B234" s="1859" t="s">
        <v>2164</v>
      </c>
      <c r="C234" s="1860">
        <v>0.14000000000000001</v>
      </c>
      <c r="D234" s="1860">
        <v>0.14000000000000001</v>
      </c>
      <c r="E234" s="1860">
        <v>0.14399999999999999</v>
      </c>
      <c r="F234" s="1868"/>
    </row>
    <row r="235" spans="1:6" ht="14.25" thickBot="1">
      <c r="A235" s="1855" t="s">
        <v>1413</v>
      </c>
      <c r="B235" s="1859" t="s">
        <v>2165</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2166</v>
      </c>
      <c r="C237" s="1869"/>
      <c r="D237" s="1869"/>
      <c r="E237" s="1869"/>
      <c r="F237" s="1861">
        <v>0.05</v>
      </c>
    </row>
    <row r="238" spans="1:6" ht="24.75" thickBot="1">
      <c r="A238" s="1855" t="s">
        <v>1413</v>
      </c>
      <c r="B238" s="1859" t="s">
        <v>2167</v>
      </c>
      <c r="C238" s="1869"/>
      <c r="D238" s="1869"/>
      <c r="E238" s="1869"/>
      <c r="F238" s="1861">
        <v>0.05</v>
      </c>
    </row>
    <row r="239" spans="1:6" ht="24.75" thickBot="1">
      <c r="A239" s="1855" t="s">
        <v>1413</v>
      </c>
      <c r="B239" s="1859" t="s">
        <v>2168</v>
      </c>
      <c r="C239" s="1869"/>
      <c r="D239" s="1869"/>
      <c r="E239" s="1869"/>
      <c r="F239" s="1861">
        <v>0.05</v>
      </c>
    </row>
    <row r="240" spans="1:6" ht="24.75" thickBot="1">
      <c r="A240" s="1855" t="s">
        <v>1413</v>
      </c>
      <c r="B240" s="1859" t="s">
        <v>2169</v>
      </c>
      <c r="C240" s="1869"/>
      <c r="D240" s="1869"/>
      <c r="E240" s="1869"/>
      <c r="F240" s="1861">
        <v>0.05</v>
      </c>
    </row>
    <row r="241" spans="1:6" ht="24.75" thickBot="1">
      <c r="A241" s="1855" t="s">
        <v>1413</v>
      </c>
      <c r="B241" s="1859" t="s">
        <v>2170</v>
      </c>
      <c r="C241" s="1869"/>
      <c r="D241" s="1869"/>
      <c r="E241" s="1869"/>
      <c r="F241" s="1861">
        <v>0.05</v>
      </c>
    </row>
    <row r="242" spans="1:6" ht="24.75" thickBot="1">
      <c r="A242" s="1855" t="s">
        <v>1413</v>
      </c>
      <c r="B242" s="1859" t="s">
        <v>2171</v>
      </c>
      <c r="C242" s="1869"/>
      <c r="D242" s="1869"/>
      <c r="E242" s="1869"/>
      <c r="F242" s="1861">
        <v>0.05</v>
      </c>
    </row>
    <row r="243" spans="1:6" ht="24.75" thickBot="1">
      <c r="A243" s="1855" t="s">
        <v>1413</v>
      </c>
      <c r="B243" s="1859" t="s">
        <v>2172</v>
      </c>
      <c r="C243" s="1869"/>
      <c r="D243" s="1869"/>
      <c r="E243" s="1869"/>
      <c r="F243" s="1861">
        <v>0.05</v>
      </c>
    </row>
    <row r="244" spans="1:6" ht="24.75" thickBot="1">
      <c r="A244" s="1863" t="s">
        <v>1413</v>
      </c>
      <c r="B244" s="1870" t="s">
        <v>2173</v>
      </c>
      <c r="C244" s="1866"/>
      <c r="D244" s="1866"/>
      <c r="E244" s="1866"/>
      <c r="F244" s="1871">
        <v>0.05</v>
      </c>
    </row>
    <row r="245" spans="1:6" ht="14.25" thickBot="1">
      <c r="A245" s="1855" t="s">
        <v>1415</v>
      </c>
      <c r="B245" s="1856" t="s">
        <v>2174</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2175</v>
      </c>
      <c r="C247" s="1860">
        <v>0.15</v>
      </c>
      <c r="D247" s="1860">
        <v>0.15</v>
      </c>
      <c r="E247" s="1860">
        <v>0.15</v>
      </c>
      <c r="F247" s="1861">
        <v>0.15</v>
      </c>
    </row>
    <row r="248" spans="1:6" ht="14.25" thickBot="1">
      <c r="A248" s="1855" t="s">
        <v>1415</v>
      </c>
      <c r="B248" s="1859" t="s">
        <v>2176</v>
      </c>
      <c r="C248" s="1860">
        <v>0.15</v>
      </c>
      <c r="D248" s="1860">
        <v>0.15</v>
      </c>
      <c r="E248" s="1860">
        <v>0.15</v>
      </c>
      <c r="F248" s="1861">
        <v>0.14000000000000001</v>
      </c>
    </row>
    <row r="249" spans="1:6" ht="14.25" thickBot="1">
      <c r="A249" s="1855" t="s">
        <v>1415</v>
      </c>
      <c r="B249" s="1859" t="s">
        <v>2177</v>
      </c>
      <c r="C249" s="1860">
        <v>0.15</v>
      </c>
      <c r="D249" s="1860">
        <v>0.14899999999999999</v>
      </c>
      <c r="E249" s="1860">
        <v>0.15</v>
      </c>
      <c r="F249" s="1861">
        <v>0.1</v>
      </c>
    </row>
    <row r="250" spans="1:6" ht="14.25" thickBot="1">
      <c r="A250" s="1855" t="s">
        <v>1415</v>
      </c>
      <c r="B250" s="1859" t="s">
        <v>2178</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2179</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2180</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2181</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2182</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2183</v>
      </c>
      <c r="C273" s="1860">
        <v>0.14199999999999999</v>
      </c>
      <c r="D273" s="1860">
        <v>0.14299999999999999</v>
      </c>
      <c r="E273" s="1860">
        <v>0.15</v>
      </c>
      <c r="F273" s="1861">
        <v>0.1</v>
      </c>
    </row>
    <row r="274" spans="1:6" ht="14.25" thickBot="1">
      <c r="A274" s="1855" t="s">
        <v>1415</v>
      </c>
      <c r="B274" s="1859" t="s">
        <v>2184</v>
      </c>
      <c r="C274" s="1860">
        <v>0.14799999999999999</v>
      </c>
      <c r="D274" s="1860">
        <v>0.14799999999999999</v>
      </c>
      <c r="E274" s="1860">
        <v>0.15</v>
      </c>
      <c r="F274" s="1861">
        <v>6.7000000000000004E-2</v>
      </c>
    </row>
    <row r="275" spans="1:6" ht="14.25" thickBot="1">
      <c r="A275" s="1855" t="s">
        <v>1415</v>
      </c>
      <c r="B275" s="1859" t="s">
        <v>2185</v>
      </c>
      <c r="C275" s="1860">
        <v>0.15</v>
      </c>
      <c r="D275" s="1860">
        <v>0.15</v>
      </c>
      <c r="E275" s="1860">
        <v>0.15</v>
      </c>
      <c r="F275" s="1861">
        <v>0.15</v>
      </c>
    </row>
    <row r="276" spans="1:6" ht="14.25" thickBot="1">
      <c r="A276" s="1855" t="s">
        <v>1415</v>
      </c>
      <c r="B276" s="1859" t="s">
        <v>2186</v>
      </c>
      <c r="C276" s="1860">
        <v>0.14499999999999999</v>
      </c>
      <c r="D276" s="1860">
        <v>0.14299999999999999</v>
      </c>
      <c r="E276" s="1860">
        <v>0.15</v>
      </c>
      <c r="F276" s="1861">
        <v>5.8999999999999997E-2</v>
      </c>
    </row>
    <row r="277" spans="1:6" ht="14.25" thickBot="1">
      <c r="A277" s="1855" t="s">
        <v>1415</v>
      </c>
      <c r="B277" s="1859" t="s">
        <v>2187</v>
      </c>
      <c r="C277" s="1860">
        <v>0.15</v>
      </c>
      <c r="D277" s="1860">
        <v>0.15</v>
      </c>
      <c r="E277" s="1860">
        <v>0.15</v>
      </c>
      <c r="F277" s="1861">
        <v>0.121</v>
      </c>
    </row>
    <row r="278" spans="1:6" ht="14.25" thickBot="1">
      <c r="A278" s="1855" t="s">
        <v>1415</v>
      </c>
      <c r="B278" s="1859" t="s">
        <v>2188</v>
      </c>
      <c r="C278" s="1860">
        <v>0.15</v>
      </c>
      <c r="D278" s="1860">
        <v>0.15</v>
      </c>
      <c r="E278" s="1860">
        <v>0.15</v>
      </c>
      <c r="F278" s="1861">
        <v>0.13800000000000001</v>
      </c>
    </row>
    <row r="279" spans="1:6" ht="24.75" thickBot="1">
      <c r="A279" s="1855" t="s">
        <v>1415</v>
      </c>
      <c r="B279" s="1859" t="s">
        <v>2189</v>
      </c>
      <c r="C279" s="1869"/>
      <c r="D279" s="1869"/>
      <c r="E279" s="1869"/>
      <c r="F279" s="1861">
        <v>0.05</v>
      </c>
    </row>
    <row r="280" spans="1:6" ht="24.75" thickBot="1">
      <c r="A280" s="1855" t="s">
        <v>1415</v>
      </c>
      <c r="B280" s="1859" t="s">
        <v>2190</v>
      </c>
      <c r="C280" s="1869"/>
      <c r="D280" s="1869"/>
      <c r="E280" s="1869"/>
      <c r="F280" s="1861">
        <v>0.05</v>
      </c>
    </row>
    <row r="281" spans="1:6" ht="24.75" thickBot="1">
      <c r="A281" s="1855" t="s">
        <v>1415</v>
      </c>
      <c r="B281" s="1859" t="s">
        <v>2191</v>
      </c>
      <c r="C281" s="1869"/>
      <c r="D281" s="1869"/>
      <c r="E281" s="1869"/>
      <c r="F281" s="1861">
        <v>0.05</v>
      </c>
    </row>
    <row r="282" spans="1:6" ht="24.75" thickBot="1">
      <c r="A282" s="1855" t="s">
        <v>1415</v>
      </c>
      <c r="B282" s="1859" t="s">
        <v>2192</v>
      </c>
      <c r="C282" s="1869"/>
      <c r="D282" s="1869"/>
      <c r="E282" s="1869"/>
      <c r="F282" s="1861">
        <v>0.05</v>
      </c>
    </row>
    <row r="283" spans="1:6" ht="24.75" thickBot="1">
      <c r="A283" s="1855" t="s">
        <v>1415</v>
      </c>
      <c r="B283" s="1859" t="s">
        <v>2193</v>
      </c>
      <c r="C283" s="1869"/>
      <c r="D283" s="1869"/>
      <c r="E283" s="1869"/>
      <c r="F283" s="1861">
        <v>0.05</v>
      </c>
    </row>
    <row r="284" spans="1:6" ht="24.75" thickBot="1">
      <c r="A284" s="1855" t="s">
        <v>1415</v>
      </c>
      <c r="B284" s="1859" t="s">
        <v>2194</v>
      </c>
      <c r="C284" s="1869"/>
      <c r="D284" s="1869"/>
      <c r="E284" s="1869"/>
      <c r="F284" s="1861">
        <v>0.05</v>
      </c>
    </row>
    <row r="285" spans="1:6" ht="24.75" thickBot="1">
      <c r="A285" s="1855" t="s">
        <v>1415</v>
      </c>
      <c r="B285" s="1859" t="s">
        <v>2195</v>
      </c>
      <c r="C285" s="1869"/>
      <c r="D285" s="1869"/>
      <c r="E285" s="1869"/>
      <c r="F285" s="1861">
        <v>0.05</v>
      </c>
    </row>
    <row r="286" spans="1:6" ht="24.75" thickBot="1">
      <c r="A286" s="1855" t="s">
        <v>1415</v>
      </c>
      <c r="B286" s="1859" t="s">
        <v>2196</v>
      </c>
      <c r="C286" s="1869"/>
      <c r="D286" s="1869"/>
      <c r="E286" s="1869"/>
      <c r="F286" s="1861">
        <v>0.05</v>
      </c>
    </row>
    <row r="287" spans="1:6" ht="24.75" thickBot="1">
      <c r="A287" s="1855" t="s">
        <v>1415</v>
      </c>
      <c r="B287" s="1859" t="s">
        <v>2197</v>
      </c>
      <c r="C287" s="1869"/>
      <c r="D287" s="1869"/>
      <c r="E287" s="1869"/>
      <c r="F287" s="1861">
        <v>0.05</v>
      </c>
    </row>
    <row r="288" spans="1:6" ht="24.75" thickBot="1">
      <c r="A288" s="1855" t="s">
        <v>1415</v>
      </c>
      <c r="B288" s="1859" t="s">
        <v>2198</v>
      </c>
      <c r="C288" s="1869"/>
      <c r="D288" s="1869"/>
      <c r="E288" s="1869"/>
      <c r="F288" s="1861">
        <v>0.05</v>
      </c>
    </row>
    <row r="289" spans="1:6" ht="24.75" thickBot="1">
      <c r="A289" s="1863" t="s">
        <v>1415</v>
      </c>
      <c r="B289" s="1870" t="s">
        <v>2199</v>
      </c>
      <c r="C289" s="1866"/>
      <c r="D289" s="1866"/>
      <c r="E289" s="1866"/>
      <c r="F289" s="1871">
        <v>0.05</v>
      </c>
    </row>
    <row r="290" spans="1:6" ht="14.25" thickBot="1">
      <c r="A290" s="1855" t="s">
        <v>1419</v>
      </c>
      <c r="B290" s="1856" t="s">
        <v>2200</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2201</v>
      </c>
      <c r="C292" s="1860">
        <v>0.15</v>
      </c>
      <c r="D292" s="1860">
        <v>0.15</v>
      </c>
      <c r="E292" s="1860">
        <v>0.15</v>
      </c>
      <c r="F292" s="1861">
        <v>0.14699999999999999</v>
      </c>
    </row>
    <row r="293" spans="1:6" ht="14.25" thickBot="1">
      <c r="A293" s="1855" t="s">
        <v>1419</v>
      </c>
      <c r="B293" s="1859" t="s">
        <v>2202</v>
      </c>
      <c r="C293" s="1869"/>
      <c r="D293" s="1869"/>
      <c r="E293" s="1869"/>
      <c r="F293" s="1861">
        <v>0.1</v>
      </c>
    </row>
    <row r="294" spans="1:6" ht="14.25" thickBot="1">
      <c r="A294" s="1855" t="s">
        <v>1419</v>
      </c>
      <c r="B294" s="1859" t="s">
        <v>2203</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2204</v>
      </c>
      <c r="C296" s="1860">
        <v>0.15</v>
      </c>
      <c r="D296" s="1860">
        <v>0.15</v>
      </c>
      <c r="E296" s="1860">
        <v>0.15</v>
      </c>
      <c r="F296" s="1861">
        <v>0.15</v>
      </c>
    </row>
    <row r="297" spans="1:6" ht="14.25" thickBot="1">
      <c r="A297" s="1855" t="s">
        <v>1419</v>
      </c>
      <c r="B297" s="1859" t="s">
        <v>2205</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2206</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2207</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2208</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2209</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2210</v>
      </c>
      <c r="C310" s="1860">
        <v>0.15</v>
      </c>
      <c r="D310" s="1860">
        <v>0.15</v>
      </c>
      <c r="E310" s="1860">
        <v>0.15</v>
      </c>
      <c r="F310" s="1861">
        <v>0.13700000000000001</v>
      </c>
    </row>
    <row r="311" spans="1:6" ht="14.25" thickBot="1">
      <c r="A311" s="1855" t="s">
        <v>1419</v>
      </c>
      <c r="B311" s="1859" t="s">
        <v>2211</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2212</v>
      </c>
      <c r="C313" s="1860">
        <v>0.15</v>
      </c>
      <c r="D313" s="1860">
        <v>0.15</v>
      </c>
      <c r="E313" s="1860">
        <v>0.15</v>
      </c>
      <c r="F313" s="1861">
        <v>0.15</v>
      </c>
    </row>
    <row r="314" spans="1:6" ht="24.75" thickBot="1">
      <c r="A314" s="1855" t="s">
        <v>1419</v>
      </c>
      <c r="B314" s="1859" t="s">
        <v>2213</v>
      </c>
      <c r="C314" s="1869"/>
      <c r="D314" s="1869"/>
      <c r="E314" s="1869"/>
      <c r="F314" s="1861">
        <v>0.05</v>
      </c>
    </row>
    <row r="315" spans="1:6" ht="24.75" thickBot="1">
      <c r="A315" s="1855" t="s">
        <v>1419</v>
      </c>
      <c r="B315" s="1859" t="s">
        <v>2214</v>
      </c>
      <c r="C315" s="1869"/>
      <c r="D315" s="1869"/>
      <c r="E315" s="1869"/>
      <c r="F315" s="1861">
        <v>0.05</v>
      </c>
    </row>
    <row r="316" spans="1:6" ht="24.75" thickBot="1">
      <c r="A316" s="1863" t="s">
        <v>1419</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1107</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1176</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1196</v>
      </c>
      <c r="C328" s="1860">
        <v>0.15</v>
      </c>
      <c r="D328" s="1860">
        <v>0.15</v>
      </c>
      <c r="E328" s="1860">
        <v>0.15</v>
      </c>
      <c r="F328" s="1861">
        <v>0.14099999999999999</v>
      </c>
    </row>
    <row r="329" spans="1:6" ht="14.25" thickBot="1">
      <c r="A329" s="1855" t="s">
        <v>2216</v>
      </c>
      <c r="B329" s="1859" t="s">
        <v>1206</v>
      </c>
      <c r="C329" s="1860">
        <v>0.15</v>
      </c>
      <c r="D329" s="1860">
        <v>0.15</v>
      </c>
      <c r="E329" s="1860">
        <v>0.15</v>
      </c>
      <c r="F329" s="1861">
        <v>0.15</v>
      </c>
    </row>
    <row r="330" spans="1:6" ht="14.25" thickBot="1">
      <c r="A330" s="1855" t="s">
        <v>2216</v>
      </c>
      <c r="B330" s="1859" t="s">
        <v>1216</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1236</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1256</v>
      </c>
      <c r="C334" s="1860">
        <v>0.15</v>
      </c>
      <c r="D334" s="1860">
        <v>0.15</v>
      </c>
      <c r="E334" s="1860">
        <v>0.15</v>
      </c>
      <c r="F334" s="1861">
        <v>0.15</v>
      </c>
    </row>
    <row r="335" spans="1:6" ht="14.25" thickBot="1">
      <c r="A335" s="1855" t="s">
        <v>2216</v>
      </c>
      <c r="B335" s="1859" t="s">
        <v>1266</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1284</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2949</v>
      </c>
      <c r="B1" s="3130"/>
      <c r="C1" s="3130"/>
      <c r="D1" s="3130"/>
      <c r="E1" s="3130"/>
      <c r="F1" s="3130"/>
    </row>
    <row r="2" spans="1:6" ht="14.25">
      <c r="A2" s="3131" t="s">
        <v>2943</v>
      </c>
      <c r="B2" s="3132" t="e">
        <f ca="1">SUMIF(B7:B14,"&lt;&gt;#ref!",B7:B14)</f>
        <v>#DIV/0!</v>
      </c>
      <c r="C2" s="3131" t="s">
        <v>2944</v>
      </c>
      <c r="D2" s="3130"/>
      <c r="E2" s="3130"/>
      <c r="F2" s="3130"/>
    </row>
    <row r="3" spans="1:6" ht="14.25">
      <c r="A3" s="3131" t="s">
        <v>2946</v>
      </c>
      <c r="B3" s="3132" t="e">
        <f ca="1">ROUND(B2*10000/E3,0)</f>
        <v>#DIV/0!</v>
      </c>
      <c r="C3" s="3131" t="s">
        <v>2078</v>
      </c>
      <c r="D3" s="3131" t="s">
        <v>2945</v>
      </c>
      <c r="E3" s="3132" t="e">
        <f ca="1">SUM(E7:E14)</f>
        <v>#REF!</v>
      </c>
      <c r="F3" s="3130"/>
    </row>
    <row r="4" spans="1:6" ht="14.25">
      <c r="A4" s="3131" t="s">
        <v>2953</v>
      </c>
      <c r="B4" s="3132" t="e">
        <f ca="1">ROUND(B2*10000/E4,0)</f>
        <v>#DIV/0!</v>
      </c>
      <c r="C4" s="3131" t="s">
        <v>2078</v>
      </c>
      <c r="D4" s="3131" t="s">
        <v>2954</v>
      </c>
      <c r="E4" s="3132" t="e">
        <f ca="1">SUM(F7:F14)</f>
        <v>#REF!</v>
      </c>
      <c r="F4" s="3130"/>
    </row>
    <row r="5" spans="1:6" ht="14.25">
      <c r="A5" s="3133"/>
      <c r="B5" s="1881"/>
      <c r="C5" s="1881"/>
      <c r="D5" s="1881"/>
      <c r="E5" s="1881"/>
      <c r="F5" s="3130"/>
    </row>
    <row r="6" spans="1:6" ht="28.5">
      <c r="A6" s="3134" t="s">
        <v>2950</v>
      </c>
      <c r="B6" s="3131" t="s">
        <v>2947</v>
      </c>
      <c r="C6" s="3132"/>
      <c r="D6" s="1881"/>
      <c r="E6" s="3131" t="s">
        <v>2948</v>
      </c>
      <c r="F6" s="3131" t="s">
        <v>2952</v>
      </c>
    </row>
    <row r="7" spans="1:6" ht="14.25">
      <c r="A7" s="260" t="s">
        <v>2951</v>
      </c>
      <c r="B7" s="3135" t="e">
        <f ca="1">SUMIF(INDIRECT("'"&amp;A7&amp;"'"&amp;"!A:A"),"总价",INDIRECT("'"&amp;A7&amp;"'"&amp;"!B:B"))</f>
        <v>#DIV/0!</v>
      </c>
      <c r="C7" s="3131" t="s">
        <v>2944</v>
      </c>
      <c r="D7" s="1881"/>
      <c r="E7" s="3136">
        <f ca="1">SUMIF(INDIRECT("'"&amp;A7&amp;"'"&amp;"!C:C"),"建筑面积",INDIRECT("'"&amp;A7&amp;"'"&amp;"!D:D"))</f>
        <v>0</v>
      </c>
      <c r="F7" s="3136">
        <f ca="1">SUMIF(INDIRECT("'"&amp;A7&amp;"'"&amp;"!E:E"),"土地面积",INDIRECT("'"&amp;A7&amp;"'"&amp;"!F:F"))</f>
        <v>0</v>
      </c>
    </row>
    <row r="8" spans="1:6" ht="14.25">
      <c r="A8" s="260"/>
      <c r="B8" s="3135" t="e">
        <f t="shared" ref="B8:B14" ca="1" si="0">SUMIF(INDIRECT("'"&amp;A8&amp;"'"&amp;"!A:A"),"总价",INDIRECT("'"&amp;A8&amp;"'"&amp;"!B:B"))</f>
        <v>#REF!</v>
      </c>
      <c r="C8" s="3131" t="s">
        <v>2944</v>
      </c>
      <c r="D8" s="1881"/>
      <c r="E8" s="3136" t="e">
        <f t="shared" ref="E8:E14" ca="1" si="1">SUMIF(INDIRECT("'"&amp;A8&amp;"'"&amp;"!C:C"),"建筑面积",INDIRECT("'"&amp;A8&amp;"'"&amp;"!D:D"))</f>
        <v>#REF!</v>
      </c>
      <c r="F8" s="3136" t="e">
        <f t="shared" ref="F8:F14" ca="1" si="2">SUMIF(INDIRECT("'"&amp;A8&amp;"'"&amp;"!E:E"),"土地面积",INDIRECT("'"&amp;A8&amp;"'"&amp;"!F:F"))</f>
        <v>#REF!</v>
      </c>
    </row>
    <row r="9" spans="1:6" ht="14.25">
      <c r="A9" s="260"/>
      <c r="B9" s="3135" t="e">
        <f t="shared" ca="1" si="0"/>
        <v>#REF!</v>
      </c>
      <c r="C9" s="3131" t="s">
        <v>2944</v>
      </c>
      <c r="D9" s="1881"/>
      <c r="E9" s="3136" t="e">
        <f t="shared" ca="1" si="1"/>
        <v>#REF!</v>
      </c>
      <c r="F9" s="3136" t="e">
        <f t="shared" ca="1" si="2"/>
        <v>#REF!</v>
      </c>
    </row>
    <row r="10" spans="1:6" ht="14.25">
      <c r="A10" s="260"/>
      <c r="B10" s="3135" t="e">
        <f t="shared" ca="1" si="0"/>
        <v>#REF!</v>
      </c>
      <c r="C10" s="3131" t="s">
        <v>2944</v>
      </c>
      <c r="D10" s="1881"/>
      <c r="E10" s="3136" t="e">
        <f t="shared" ca="1" si="1"/>
        <v>#REF!</v>
      </c>
      <c r="F10" s="3136" t="e">
        <f t="shared" ca="1" si="2"/>
        <v>#REF!</v>
      </c>
    </row>
    <row r="11" spans="1:6" ht="14.25">
      <c r="A11" s="260"/>
      <c r="B11" s="3135" t="e">
        <f t="shared" ca="1" si="0"/>
        <v>#REF!</v>
      </c>
      <c r="C11" s="3131" t="s">
        <v>2944</v>
      </c>
      <c r="D11" s="1881"/>
      <c r="E11" s="3136" t="e">
        <f t="shared" ca="1" si="1"/>
        <v>#REF!</v>
      </c>
      <c r="F11" s="3136" t="e">
        <f t="shared" ca="1" si="2"/>
        <v>#REF!</v>
      </c>
    </row>
    <row r="12" spans="1:6" ht="14.25">
      <c r="A12" s="260"/>
      <c r="B12" s="3135" t="e">
        <f t="shared" ca="1" si="0"/>
        <v>#REF!</v>
      </c>
      <c r="C12" s="3131" t="s">
        <v>2944</v>
      </c>
      <c r="D12" s="1881"/>
      <c r="E12" s="3136" t="e">
        <f t="shared" ca="1" si="1"/>
        <v>#REF!</v>
      </c>
      <c r="F12" s="3136" t="e">
        <f t="shared" ca="1" si="2"/>
        <v>#REF!</v>
      </c>
    </row>
    <row r="13" spans="1:6" ht="14.25">
      <c r="A13" s="260"/>
      <c r="B13" s="3135" t="e">
        <f t="shared" ca="1" si="0"/>
        <v>#REF!</v>
      </c>
      <c r="C13" s="3131" t="s">
        <v>2944</v>
      </c>
      <c r="D13" s="1881"/>
      <c r="E13" s="3136" t="e">
        <f t="shared" ca="1" si="1"/>
        <v>#REF!</v>
      </c>
      <c r="F13" s="3136" t="e">
        <f t="shared" ca="1" si="2"/>
        <v>#REF!</v>
      </c>
    </row>
    <row r="14" spans="1:6" ht="14.25">
      <c r="A14" s="3129"/>
      <c r="B14" s="3135" t="e">
        <f t="shared" ca="1" si="0"/>
        <v>#REF!</v>
      </c>
      <c r="C14" s="3131" t="s">
        <v>2944</v>
      </c>
      <c r="D14" s="1881"/>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411" t="s">
        <v>2375</v>
      </c>
      <c r="F1" s="2412">
        <f ca="1">J54</f>
        <v>0</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1686</v>
      </c>
      <c r="B3" s="1390">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2459</v>
      </c>
      <c r="C7" s="53">
        <f ca="1">C8+C12+C14</f>
        <v>0</v>
      </c>
      <c r="D7" s="2520" t="s">
        <v>2462</v>
      </c>
      <c r="E7" s="2514"/>
      <c r="F7" s="2515"/>
      <c r="G7" s="1591"/>
      <c r="H7" s="781">
        <v>1</v>
      </c>
      <c r="I7" s="782" t="s">
        <v>2459</v>
      </c>
      <c r="J7" s="53">
        <f ca="1">J8+J12+J14</f>
        <v>0</v>
      </c>
      <c r="K7" s="2520" t="s">
        <v>2462</v>
      </c>
      <c r="L7" s="2514"/>
      <c r="M7" s="2515"/>
    </row>
    <row r="8" spans="1:25" ht="18" customHeight="1">
      <c r="A8" s="1830" t="s">
        <v>1824</v>
      </c>
      <c r="B8" s="3474" t="s">
        <v>2464</v>
      </c>
      <c r="C8" s="1825">
        <f ca="1">ROUND(F8*F10*F9*(1-F11)/10000,0)</f>
        <v>0</v>
      </c>
      <c r="D8" s="1822" t="s">
        <v>2535</v>
      </c>
      <c r="E8" s="61" t="s">
        <v>636</v>
      </c>
      <c r="F8" s="785">
        <f ca="1">INDIRECT("'数据-取费表'!u"&amp;$G$1)</f>
        <v>0</v>
      </c>
      <c r="G8" s="1591"/>
      <c r="H8" s="2528" t="s">
        <v>1824</v>
      </c>
      <c r="I8" s="3474" t="s">
        <v>2464</v>
      </c>
      <c r="J8" s="783">
        <f ca="1">ROUND(M8*M10*M9*(1-M11)/10000,0)</f>
        <v>0</v>
      </c>
      <c r="K8" s="341" t="s">
        <v>2535</v>
      </c>
      <c r="L8" s="784" t="s">
        <v>1738</v>
      </c>
      <c r="M8" s="785">
        <f ca="1">INDIRECT("'数据-取费表'!z"&amp;$G$1)</f>
        <v>0</v>
      </c>
    </row>
    <row r="9" spans="1:25" ht="18" customHeight="1">
      <c r="A9" s="2524"/>
      <c r="B9" s="3475"/>
      <c r="C9" s="1826"/>
      <c r="D9" s="1823"/>
      <c r="E9" s="61" t="s">
        <v>637</v>
      </c>
      <c r="F9" s="785">
        <f ca="1">IF(INDIRECT("'数据-取费表'!ah"&amp;$G$1)="",INDIRECT("'数据-取费表'!k"&amp;$G$1),INDIRECT("'数据-取费表'!ah"&amp;$G$1))</f>
        <v>0</v>
      </c>
      <c r="G9" s="1591"/>
      <c r="H9" s="2513"/>
      <c r="I9" s="3475"/>
      <c r="J9" s="788"/>
      <c r="K9" s="789"/>
      <c r="L9" s="784" t="s">
        <v>1739</v>
      </c>
      <c r="M9" s="785">
        <f ca="1">F9</f>
        <v>0</v>
      </c>
    </row>
    <row r="10" spans="1:25" ht="18" customHeight="1">
      <c r="A10" s="2517"/>
      <c r="B10" s="3476"/>
      <c r="C10" s="1826"/>
      <c r="D10" s="1823"/>
      <c r="E10" s="61" t="s">
        <v>638</v>
      </c>
      <c r="F10" s="785">
        <f ca="1">INDIRECT("'数据-取费表'!ai"&amp;$G$1)</f>
        <v>0</v>
      </c>
      <c r="G10" s="1591"/>
      <c r="H10" s="2513"/>
      <c r="I10" s="3476"/>
      <c r="J10" s="788"/>
      <c r="K10" s="789"/>
      <c r="L10" s="784" t="s">
        <v>1740</v>
      </c>
      <c r="M10" s="785">
        <f ca="1">INDIRECT("'数据-取费表'!ai"&amp;$G$1)</f>
        <v>0</v>
      </c>
    </row>
    <row r="11" spans="1:25" ht="18" customHeight="1">
      <c r="A11" s="786"/>
      <c r="B11" s="3477"/>
      <c r="C11" s="1826"/>
      <c r="D11" s="1823"/>
      <c r="E11" s="61" t="s">
        <v>639</v>
      </c>
      <c r="F11" s="794">
        <f ca="1">INDIRECT("'数据-取费表'!w"&amp;$G$1)</f>
        <v>0</v>
      </c>
      <c r="G11" s="1591"/>
      <c r="H11" s="2529"/>
      <c r="I11" s="3476"/>
      <c r="J11" s="788"/>
      <c r="K11" s="789"/>
      <c r="L11" s="795" t="s">
        <v>1741</v>
      </c>
      <c r="M11" s="796">
        <f ca="1">INDIRECT("'数据-取费表'!ab"&amp;$G$1)</f>
        <v>0</v>
      </c>
    </row>
    <row r="12" spans="1:25" ht="18" customHeight="1">
      <c r="A12" s="1830" t="s">
        <v>1825</v>
      </c>
      <c r="B12" s="2518" t="s">
        <v>2460</v>
      </c>
      <c r="C12" s="799">
        <f ca="1">ROUND(IF(F12="押一",C8/12*F13,IF(F12="押二",C8/12*2*F13,IF(F12="押三",C8/12*3*F13,C13*F13)))/10000,0)</f>
        <v>0</v>
      </c>
      <c r="D12" s="2525" t="s">
        <v>2974</v>
      </c>
      <c r="E12" s="2522" t="s">
        <v>2465</v>
      </c>
      <c r="F12" s="2645"/>
      <c r="G12" s="1591"/>
      <c r="H12" s="2585" t="s">
        <v>1825</v>
      </c>
      <c r="I12" s="2590" t="s">
        <v>2460</v>
      </c>
      <c r="J12" s="783">
        <f ca="1">ROUND(IF(M12="押一",J8/12*M13,IF(M12="押二",J8/12*2*M13,IF(M12="押三",J8/12*3*M13,J13*M13)))/10000,0)</f>
        <v>0</v>
      </c>
      <c r="K12" s="2525" t="s">
        <v>2974</v>
      </c>
      <c r="L12" s="2522" t="s">
        <v>2465</v>
      </c>
      <c r="M12" s="2645"/>
    </row>
    <row r="13" spans="1:25" ht="18" customHeight="1">
      <c r="A13" s="790"/>
      <c r="B13" s="2519" t="s">
        <v>2574</v>
      </c>
      <c r="C13" s="2523"/>
      <c r="D13" s="789"/>
      <c r="E13" s="2522" t="s">
        <v>2457</v>
      </c>
      <c r="F13" s="796">
        <f ca="1">'数据-取费表'!B39</f>
        <v>1.4999999999999999E-2</v>
      </c>
      <c r="G13" s="1591"/>
      <c r="H13" s="2586"/>
      <c r="I13" s="2519" t="s">
        <v>2574</v>
      </c>
      <c r="J13" s="2523"/>
      <c r="K13" s="2587"/>
      <c r="L13" s="2522" t="s">
        <v>2457</v>
      </c>
      <c r="M13" s="2516">
        <f ca="1">'数据-取费表'!B39</f>
        <v>1.4999999999999999E-2</v>
      </c>
    </row>
    <row r="14" spans="1:25" ht="18" customHeight="1" thickBot="1">
      <c r="A14" s="2561" t="s">
        <v>2468</v>
      </c>
      <c r="B14" s="2562" t="s">
        <v>2461</v>
      </c>
      <c r="C14" s="2563"/>
      <c r="D14" s="2564"/>
      <c r="E14" s="2565"/>
      <c r="F14" s="2566"/>
      <c r="G14" s="1591"/>
      <c r="H14" s="2575" t="s">
        <v>2468</v>
      </c>
      <c r="I14" s="2588" t="s">
        <v>2461</v>
      </c>
      <c r="J14" s="2589"/>
      <c r="K14" s="2564"/>
      <c r="L14" s="2565"/>
      <c r="M14" s="2578"/>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2069</v>
      </c>
      <c r="I16" s="2231" t="s">
        <v>2825</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2"/>
      <c r="H17" s="803" t="s">
        <v>2070</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2069</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3</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0.02</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96" t="str">
        <f>IF(F25&lt;=1,"单利计息。","复利计息。")&amp;"建造成本、管理费用、销售费用产生的利息。"</f>
        <v>复利计息。建造成本、管理费用、销售费用产生的利息。</v>
      </c>
      <c r="E24" s="1982"/>
      <c r="F24" s="56"/>
      <c r="G24" s="1591"/>
      <c r="H24" s="1831" t="s">
        <v>2070</v>
      </c>
      <c r="I24" s="784" t="s">
        <v>675</v>
      </c>
      <c r="J24" s="53">
        <f ca="1">ROUND(J16*M24,0)</f>
        <v>0</v>
      </c>
      <c r="K24" s="1977" t="s">
        <v>676</v>
      </c>
      <c r="L24" s="784" t="s">
        <v>648</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677</v>
      </c>
      <c r="F25" s="640">
        <f>'数据-取费表'!B20</f>
        <v>2</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1E-3</v>
      </c>
      <c r="D26" s="2595"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35" t="s">
        <v>2822</v>
      </c>
      <c r="J27" s="799">
        <f ca="1">J7-J18</f>
        <v>0</v>
      </c>
      <c r="K27" s="1979" t="s">
        <v>699</v>
      </c>
      <c r="L27" s="1981"/>
      <c r="M27" s="820"/>
    </row>
    <row r="28" spans="1:25" ht="18" customHeight="1">
      <c r="A28" s="803" t="s">
        <v>1875</v>
      </c>
      <c r="B28" s="784" t="s">
        <v>2439</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2823</v>
      </c>
      <c r="C31" s="2568">
        <f ca="1">ROUND((C21+C22+C25+C28)/(1-F23-C26-C29-C30),0)</f>
        <v>0</v>
      </c>
      <c r="D31" s="2569"/>
      <c r="E31" s="2570"/>
      <c r="F31" s="2571"/>
      <c r="G31" s="1592"/>
      <c r="H31" s="823" t="s">
        <v>1872</v>
      </c>
      <c r="I31" s="3036" t="s">
        <v>2824</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511"/>
      <c r="F32" s="2515"/>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5.6000000000000001E-2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3</v>
      </c>
      <c r="G36" s="2062"/>
      <c r="H36" s="2065"/>
      <c r="I36" s="3473"/>
      <c r="J36" s="2079"/>
      <c r="K36" s="2080"/>
      <c r="L36" s="2079"/>
      <c r="M36" s="2079"/>
    </row>
    <row r="37" spans="1:18" ht="18" customHeight="1">
      <c r="A37" s="815"/>
      <c r="B37" s="793"/>
      <c r="C37" s="69"/>
      <c r="D37" s="816"/>
      <c r="E37" s="784" t="s">
        <v>673</v>
      </c>
      <c r="F37" s="785">
        <f ca="1">INDIRECT("'数据-取费表'!r"&amp;$G$1)</f>
        <v>0</v>
      </c>
      <c r="G37" s="2062"/>
      <c r="H37" s="2065"/>
      <c r="I37" s="3473"/>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84" t="s">
        <v>1879</v>
      </c>
      <c r="B40" s="2570" t="s">
        <v>665</v>
      </c>
      <c r="C40" s="2568">
        <f ca="1">ROUND(C7*F40,1)</f>
        <v>0</v>
      </c>
      <c r="D40" s="2569" t="s">
        <v>682</v>
      </c>
      <c r="E40" s="2570" t="s">
        <v>648</v>
      </c>
      <c r="F40" s="2566">
        <f ca="1">INDIRECT("'数据-取费表'!Am"&amp;$G$1)</f>
        <v>0</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6" t="s">
        <v>711</v>
      </c>
      <c r="E43" s="3149" t="s">
        <v>2962</v>
      </c>
      <c r="F43" s="3150">
        <f ca="1">INDIRECT("'数据-取费表'!j"&amp;$G$1)</f>
        <v>0</v>
      </c>
      <c r="G43" s="2062"/>
      <c r="H43" s="2062"/>
      <c r="I43" s="2062"/>
      <c r="J43" s="2062"/>
      <c r="K43" s="2083"/>
      <c r="L43" s="2062"/>
      <c r="M43" s="2062"/>
    </row>
    <row r="44" spans="1:18" ht="18" customHeight="1">
      <c r="A44" s="803" t="s">
        <v>1878</v>
      </c>
      <c r="B44" s="835" t="s">
        <v>712</v>
      </c>
      <c r="C44" s="1357">
        <f ca="1">C42-C43</f>
        <v>0</v>
      </c>
      <c r="D44" s="463" t="s">
        <v>713</v>
      </c>
      <c r="E44" s="464"/>
      <c r="F44" s="465"/>
      <c r="G44" s="2062"/>
      <c r="H44" s="2062"/>
      <c r="I44" s="2062"/>
      <c r="J44" s="2062"/>
      <c r="K44" s="2083"/>
      <c r="L44" s="2062"/>
      <c r="M44" s="2062"/>
    </row>
    <row r="45" spans="1:18" ht="18" customHeight="1">
      <c r="A45" s="803" t="s">
        <v>1879</v>
      </c>
      <c r="B45" s="1356" t="s">
        <v>714</v>
      </c>
      <c r="C45" s="3059">
        <f ca="1">ROUND(-PV(F45,F46,C44,0),0)</f>
        <v>0</v>
      </c>
      <c r="D45" s="1358" t="s">
        <v>715</v>
      </c>
      <c r="E45" s="806" t="s">
        <v>716</v>
      </c>
      <c r="F45" s="830">
        <f ca="1">INDIRECT("'数据-取费表'!h"&amp;$G$1)</f>
        <v>0</v>
      </c>
      <c r="G45" s="2062"/>
      <c r="H45" s="2062"/>
      <c r="I45" s="2062"/>
      <c r="J45" s="2062"/>
      <c r="K45" s="2083"/>
      <c r="L45" s="2062"/>
      <c r="M45" s="2062"/>
    </row>
    <row r="46" spans="1:18" ht="18" customHeight="1" thickBot="1">
      <c r="A46" s="831"/>
      <c r="B46" s="1359"/>
      <c r="C46" s="1360"/>
      <c r="D46" s="1361"/>
      <c r="E46" s="3151"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6"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78"/>
      <c r="L54" s="3479"/>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3" t="s">
        <v>2356</v>
      </c>
      <c r="J56" s="3147"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6"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48"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5" t="s">
        <v>2941</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6">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27">
        <v>0</v>
      </c>
      <c r="O65" s="2428" t="s">
        <v>2416</v>
      </c>
      <c r="P65" s="1591"/>
      <c r="Q65" s="1603"/>
      <c r="R65" s="1591"/>
    </row>
    <row r="66" spans="1:18" s="2059" customFormat="1" ht="15.75" thickBot="1">
      <c r="A66" s="2096"/>
      <c r="B66" s="2097"/>
      <c r="C66" s="2097"/>
      <c r="I66" s="2409" t="s">
        <v>2373</v>
      </c>
      <c r="J66" s="2410">
        <v>40</v>
      </c>
      <c r="K66" s="2410">
        <v>30</v>
      </c>
      <c r="L66" s="2410">
        <v>50</v>
      </c>
      <c r="M66" s="3126">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北京建邦中铁房地产开发有限公司：</v>
      </c>
    </row>
    <row r="4" spans="1:4" ht="56.25">
      <c r="A4" s="1791" t="str">
        <f>"受贵公司委托，我公司对"&amp;项目基本情况!K2&amp;项目基本情况!B9&amp;"进行了预评估。"</f>
        <v>受贵公司委托，我公司对北京市海淀区“海淀北部地区整体开发”西北旺镇亮甲店村HD00-0404-6006地块R2二类居住用地出让国有建设用地使用权抵押价格进行了预评估。</v>
      </c>
    </row>
    <row r="5" spans="1:4" ht="18.75">
      <c r="A5" s="1794" t="s">
        <v>1905</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建邦中铁房地产开发有限公司使用的、位于北京市海淀区“海淀北部地区整体开发”西北旺镇亮甲店村HD00-0404-6006地块R2二类居住用地出让国有建设用地使用权。根据《国有土地使用证》[]，估价对象（分摊）出让国有建设用地使用权面积为41849.37平方米。根据《建设工程规划许可证》[]、《出让合同》[]，估价对象规划建筑面积为152440.46平方米。</v>
      </c>
    </row>
    <row r="7" spans="1:4" ht="56.25">
      <c r="A7" s="1795" t="s">
        <v>2747</v>
      </c>
    </row>
    <row r="8" spans="1:4" ht="18.75">
      <c r="A8" s="1794" t="s">
        <v>1906</v>
      </c>
    </row>
    <row r="9" spans="1:4" ht="56.25">
      <c r="A9" s="1796"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2018年9月5日（评估专业人员勘察现场之日）</v>
      </c>
    </row>
    <row r="12" spans="1:4" ht="18.75">
      <c r="A12" s="1797" t="s">
        <v>2025</v>
      </c>
    </row>
    <row r="13" spans="1:4" ht="18.75">
      <c r="A13" s="1791" t="s">
        <v>2940</v>
      </c>
    </row>
    <row r="14" spans="1:4" ht="37.5">
      <c r="A14" s="1791" t="str">
        <f>"根据"&amp;项目基本情况!F12&amp;"，本次评估估价对象证载（地类）用途为"&amp;项目基本情况!B12&amp;"。"</f>
        <v>根据《不动产权证书》[京（2017）海不动产权第号]，本次评估估价对象证载（地类）用途为R2二类居住用地。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2073</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根据《国有土地使用证》[]，估价对象（分摊）出让国有建设用地使用权面积为41849.37平方米。根据《建设工程规划许可证》[]、《出让合同》[]，估价对象规划建筑面积为152440.46平方米。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号]证载土地终止日期为住宅2087年12月17日、商业2057年12月17日地下车库2067年12月17日、地下仓储2067年12月17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9月5日，在规划利用条件下、设定土地开发程度为红线外“七通”、宗地内场地平整，设定用途为住宅，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47" sqref="I47"/>
    </sheetView>
  </sheetViews>
  <sheetFormatPr defaultColWidth="9"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86" t="s">
        <v>2577</v>
      </c>
      <c r="C1" s="3486"/>
      <c r="D1" s="3486"/>
      <c r="E1" s="3486"/>
      <c r="F1" s="3486"/>
      <c r="G1" s="3485" t="s">
        <v>2578</v>
      </c>
      <c r="H1" s="3485"/>
      <c r="I1" s="3485"/>
      <c r="J1" s="3485"/>
      <c r="K1" s="3485"/>
      <c r="L1" s="3485"/>
      <c r="N1" s="3485" t="s">
        <v>2579</v>
      </c>
      <c r="O1" s="3485"/>
      <c r="P1" s="3485"/>
      <c r="Q1" s="3485"/>
      <c r="R1" s="2678"/>
      <c r="S1" s="3485" t="s">
        <v>2580</v>
      </c>
      <c r="T1" s="3485"/>
      <c r="U1" s="3485"/>
      <c r="V1" s="3485"/>
      <c r="X1" s="3484" t="s">
        <v>2640</v>
      </c>
      <c r="Y1" s="3485"/>
      <c r="Z1" s="3485"/>
      <c r="AA1" s="3485"/>
      <c r="AB1" s="3485"/>
      <c r="AD1" s="3484" t="s">
        <v>2644</v>
      </c>
      <c r="AE1" s="3485"/>
      <c r="AF1" s="3485"/>
      <c r="AG1" s="3485"/>
      <c r="AH1" s="3485"/>
    </row>
    <row r="2" spans="1:34" s="2780" customFormat="1" ht="14.25" thickBot="1">
      <c r="B2" s="2788" t="s">
        <v>2581</v>
      </c>
      <c r="C2" s="2788" t="s">
        <v>2642</v>
      </c>
      <c r="D2" s="2781" t="s">
        <v>1644</v>
      </c>
      <c r="E2" s="2781" t="s">
        <v>1951</v>
      </c>
      <c r="F2" s="2788" t="s">
        <v>2643</v>
      </c>
      <c r="G2" s="2784"/>
      <c r="H2" s="2783"/>
      <c r="I2" s="2788" t="s">
        <v>2956</v>
      </c>
      <c r="J2" s="2781" t="s">
        <v>2958</v>
      </c>
      <c r="K2" s="2781" t="s">
        <v>2959</v>
      </c>
      <c r="L2" s="2788" t="s">
        <v>2960</v>
      </c>
      <c r="N2" s="2788" t="s">
        <v>2581</v>
      </c>
      <c r="O2" s="2781" t="s">
        <v>2957</v>
      </c>
      <c r="P2" s="2781" t="s">
        <v>1951</v>
      </c>
      <c r="Q2" s="2788" t="s">
        <v>2643</v>
      </c>
      <c r="R2" s="2782"/>
      <c r="S2" s="2788" t="s">
        <v>2581</v>
      </c>
      <c r="T2" s="2781" t="s">
        <v>2957</v>
      </c>
      <c r="U2" s="2781" t="s">
        <v>1951</v>
      </c>
      <c r="V2" s="2788" t="s">
        <v>2643</v>
      </c>
      <c r="X2" s="2788" t="s">
        <v>2581</v>
      </c>
      <c r="Y2" s="2788" t="s">
        <v>2642</v>
      </c>
      <c r="Z2" s="2781" t="s">
        <v>1644</v>
      </c>
      <c r="AA2" s="2781" t="s">
        <v>1951</v>
      </c>
      <c r="AB2" s="2788" t="s">
        <v>2643</v>
      </c>
      <c r="AD2" s="2788" t="s">
        <v>2581</v>
      </c>
      <c r="AE2" s="2788" t="s">
        <v>2642</v>
      </c>
      <c r="AF2" s="2781" t="s">
        <v>1644</v>
      </c>
      <c r="AG2" s="2781" t="s">
        <v>1951</v>
      </c>
      <c r="AH2" s="2788" t="s">
        <v>2643</v>
      </c>
    </row>
    <row r="3" spans="1:34" s="3161" customFormat="1" ht="14.25">
      <c r="A3" s="3173" t="s">
        <v>2969</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1.4274</v>
      </c>
      <c r="Y3" s="3167">
        <f>ROUND(SUMPRODUCT(PRODUCT(1+O3:O$21)),4)</f>
        <v>1.2685</v>
      </c>
      <c r="Z3" s="3167">
        <f t="shared" ref="Z3:Z19" si="0">Y3</f>
        <v>1.2685</v>
      </c>
      <c r="AA3" s="3167">
        <f>ROUND(SUMPRODUCT(PRODUCT(1+P3:P$21)),4)</f>
        <v>1.4825999999999999</v>
      </c>
      <c r="AB3" s="3167">
        <f>ROUND(SUMPRODUCT(PRODUCT(1+Q3:Q$21)),4)</f>
        <v>1.2309000000000001</v>
      </c>
      <c r="AD3" s="3168">
        <f>ROUND(AVERAGE(I3:I$22)/100,4)</f>
        <v>2.1899999999999999E-2</v>
      </c>
      <c r="AE3" s="3168">
        <f>ROUND(AVERAGE(J3:J$22)/100,4)</f>
        <v>1.47E-2</v>
      </c>
      <c r="AF3" s="3168">
        <f t="shared" ref="AF3:AF20" si="1">AE3</f>
        <v>1.47E-2</v>
      </c>
      <c r="AG3" s="3168">
        <f>ROUND(AVERAGE(K3:K$22)/100,4)</f>
        <v>2.4299999999999999E-2</v>
      </c>
      <c r="AH3" s="3168">
        <f>ROUND(AVERAGE(L3:L$22)/100,4)</f>
        <v>1.2500000000000001E-2</v>
      </c>
    </row>
    <row r="4" spans="1:34" s="2773" customFormat="1" ht="14.25">
      <c r="B4" s="2774"/>
      <c r="C4" s="2774"/>
      <c r="D4" s="2775"/>
      <c r="E4" s="2775"/>
      <c r="F4" s="2774"/>
      <c r="G4" s="2779"/>
      <c r="H4" s="2776"/>
      <c r="I4" s="3154"/>
      <c r="J4" s="3154"/>
      <c r="K4" s="3154"/>
      <c r="L4" s="3154"/>
      <c r="N4" s="2779"/>
      <c r="O4" s="2777"/>
      <c r="P4" s="2777"/>
      <c r="Q4" s="2777"/>
      <c r="R4" s="2777"/>
      <c r="S4" s="2779"/>
      <c r="T4" s="2777"/>
      <c r="U4" s="2777"/>
      <c r="V4" s="2777"/>
      <c r="W4" s="3170"/>
      <c r="X4" s="2778"/>
      <c r="Y4" s="2778"/>
      <c r="Z4" s="2778"/>
      <c r="AA4" s="2778"/>
      <c r="AB4" s="2778"/>
      <c r="AD4" s="2698"/>
      <c r="AE4" s="2698"/>
      <c r="AF4" s="2698"/>
      <c r="AG4" s="2698"/>
      <c r="AH4" s="2698"/>
    </row>
    <row r="5" spans="1:34" s="3140" customFormat="1">
      <c r="A5" s="3138" t="s">
        <v>2976</v>
      </c>
      <c r="B5" s="2819">
        <f>B6*(1+N5)</f>
        <v>439.19121308559727</v>
      </c>
      <c r="C5" s="2819">
        <f t="shared" ref="C5" si="2">C6*(1+O5)</f>
        <v>326.28510789673351</v>
      </c>
      <c r="D5" s="2819">
        <f t="shared" ref="D5" si="3">C5</f>
        <v>326.28510789673351</v>
      </c>
      <c r="E5" s="2819">
        <f t="shared" ref="E5" si="4">E6*(1+P5)</f>
        <v>626.49404043656455</v>
      </c>
      <c r="F5" s="2819">
        <f t="shared" ref="F5" si="5">F6*(1+Q5)</f>
        <v>283.46416215500358</v>
      </c>
      <c r="G5" s="2779">
        <v>2018</v>
      </c>
      <c r="H5" s="3139">
        <v>2</v>
      </c>
      <c r="I5" s="3155">
        <v>0</v>
      </c>
      <c r="J5" s="3155">
        <v>0</v>
      </c>
      <c r="K5" s="3155">
        <v>0</v>
      </c>
      <c r="L5" s="3155">
        <v>0</v>
      </c>
      <c r="N5" s="2786">
        <f t="shared" ref="N5" si="6">I5/100</f>
        <v>0</v>
      </c>
      <c r="O5" s="2786">
        <f t="shared" ref="O5" si="7">J5/100</f>
        <v>0</v>
      </c>
      <c r="P5" s="2786">
        <f t="shared" ref="P5" si="8">K5/100</f>
        <v>0</v>
      </c>
      <c r="Q5" s="2786">
        <f t="shared" ref="Q5" si="9">L5/100</f>
        <v>0</v>
      </c>
      <c r="R5" s="3141"/>
      <c r="S5" s="3142"/>
      <c r="T5" s="3141"/>
      <c r="U5" s="3141"/>
      <c r="V5" s="3141"/>
      <c r="W5" s="3171" t="s">
        <v>2970</v>
      </c>
      <c r="X5" s="3143">
        <f>ROUND(SUMPRODUCT(PRODUCT(1+N5:N$21)),4)</f>
        <v>1.4274</v>
      </c>
      <c r="Y5" s="3143">
        <f>ROUND(SUMPRODUCT(PRODUCT(1+O5:O$21)),4)</f>
        <v>1.2685</v>
      </c>
      <c r="Z5" s="3143">
        <f t="shared" ref="Z5" si="10">Y5</f>
        <v>1.2685</v>
      </c>
      <c r="AA5" s="3143">
        <f>ROUND(SUMPRODUCT(PRODUCT(1+P5:P$21)),4)</f>
        <v>1.4825999999999999</v>
      </c>
      <c r="AB5" s="3143">
        <f>ROUND(SUMPRODUCT(PRODUCT(1+Q5:Q$21)),4)</f>
        <v>1.2309000000000001</v>
      </c>
      <c r="AD5" s="3144">
        <f>ROUND(AVERAGE(I5:I$22)/100,4)</f>
        <v>2.1700000000000001E-2</v>
      </c>
      <c r="AE5" s="3144">
        <f>ROUND(AVERAGE(J5:J$22)/100,4)</f>
        <v>1.46E-2</v>
      </c>
      <c r="AF5" s="3144">
        <f t="shared" ref="AF5" si="11">AE5</f>
        <v>1.46E-2</v>
      </c>
      <c r="AG5" s="3144">
        <f>ROUND(AVERAGE(K5:K$22)/100,4)</f>
        <v>2.41E-2</v>
      </c>
      <c r="AH5" s="3144">
        <f>ROUND(AVERAGE(L5:L$22)/100,4)</f>
        <v>1.24E-2</v>
      </c>
    </row>
    <row r="6" spans="1:34" s="2785" customFormat="1" ht="13.5" thickBot="1">
      <c r="A6" s="2679" t="s">
        <v>2977</v>
      </c>
      <c r="B6" s="2693">
        <f>B7*(1+N6)</f>
        <v>439.19121308559727</v>
      </c>
      <c r="C6" s="2693">
        <f t="shared" ref="C6" si="12">C7*(1+O6)</f>
        <v>326.28510789673351</v>
      </c>
      <c r="D6" s="2693">
        <f t="shared" ref="D6:D11" si="13">C6</f>
        <v>326.28510789673351</v>
      </c>
      <c r="E6" s="2693">
        <f t="shared" ref="E6" si="14">E7*(1+P6)</f>
        <v>626.49404043656455</v>
      </c>
      <c r="F6" s="2693">
        <f t="shared" ref="F6" si="15">F7*(1+Q6)</f>
        <v>283.46416215500358</v>
      </c>
      <c r="G6" s="3160">
        <v>2018</v>
      </c>
      <c r="H6" s="2683">
        <v>1</v>
      </c>
      <c r="I6" s="2683">
        <v>0</v>
      </c>
      <c r="J6" s="2683">
        <v>0</v>
      </c>
      <c r="K6" s="2683">
        <v>0</v>
      </c>
      <c r="L6" s="2694">
        <v>0</v>
      </c>
      <c r="M6" s="2687"/>
      <c r="N6" s="2688">
        <f t="shared" ref="N6:N11" si="16">I6/100</f>
        <v>0</v>
      </c>
      <c r="O6" s="2689">
        <f t="shared" ref="O6" si="17">J6/100</f>
        <v>0</v>
      </c>
      <c r="P6" s="2689">
        <f t="shared" ref="P6" si="18">K6/100</f>
        <v>0</v>
      </c>
      <c r="Q6" s="2689">
        <f t="shared" ref="Q6" si="19">L6/100</f>
        <v>0</v>
      </c>
      <c r="R6" s="2690"/>
      <c r="S6" s="2696">
        <f>B6/B7-1</f>
        <v>0</v>
      </c>
      <c r="T6" s="2697">
        <f>C6/C7-1</f>
        <v>0</v>
      </c>
      <c r="U6" s="2697">
        <f>E6/E7-1</f>
        <v>0</v>
      </c>
      <c r="V6" s="2697">
        <f>F6/F7-1</f>
        <v>0</v>
      </c>
      <c r="W6" s="2687"/>
      <c r="X6" s="2778">
        <f>ROUND(SUMPRODUCT(PRODUCT(1+N6:N$21)),4)</f>
        <v>1.4274</v>
      </c>
      <c r="Y6" s="2778">
        <f>ROUND(SUMPRODUCT(PRODUCT(1+O6:O$21)),4)</f>
        <v>1.2685</v>
      </c>
      <c r="Z6" s="2778">
        <f t="shared" ref="Z6" si="20">Y6</f>
        <v>1.2685</v>
      </c>
      <c r="AA6" s="2778">
        <f>ROUND(SUMPRODUCT(PRODUCT(1+P6:P$21)),4)</f>
        <v>1.4825999999999999</v>
      </c>
      <c r="AB6" s="2778">
        <f>ROUND(SUMPRODUCT(PRODUCT(1+Q6:Q$21)),4)</f>
        <v>1.2309000000000001</v>
      </c>
      <c r="AC6" s="2687"/>
      <c r="AD6" s="2698">
        <f>ROUND(AVERAGE(I6:I$22)/100,4)</f>
        <v>2.3E-2</v>
      </c>
      <c r="AE6" s="2698">
        <f>ROUND(AVERAGE(J6:J$22)/100,4)</f>
        <v>1.55E-2</v>
      </c>
      <c r="AF6" s="2698">
        <f t="shared" ref="AF6" si="21">AE6</f>
        <v>1.55E-2</v>
      </c>
      <c r="AG6" s="2698">
        <f>ROUND(AVERAGE(K6:K$22)/100,4)</f>
        <v>2.5499999999999998E-2</v>
      </c>
      <c r="AH6" s="2698">
        <f>ROUND(AVERAGE(L6:L$22)/100,4)</f>
        <v>1.3100000000000001E-2</v>
      </c>
    </row>
    <row r="7" spans="1:34">
      <c r="A7" s="2679" t="s">
        <v>2967</v>
      </c>
      <c r="B7" s="2685">
        <f t="shared" ref="B7" si="22">B8*(1+N7)</f>
        <v>439.19121308559727</v>
      </c>
      <c r="C7" s="2685">
        <f t="shared" ref="C7" si="23">C8*(1+O7)</f>
        <v>326.28510789673351</v>
      </c>
      <c r="D7" s="2685">
        <f t="shared" si="13"/>
        <v>326.28510789673351</v>
      </c>
      <c r="E7" s="2685">
        <f t="shared" ref="E7" si="24">E8*(1+P7)</f>
        <v>626.49404043656455</v>
      </c>
      <c r="F7" s="2686">
        <f t="shared" ref="F7" si="25">F8*(1+Q7)</f>
        <v>283.46416215500358</v>
      </c>
      <c r="G7" s="3158">
        <v>2017</v>
      </c>
      <c r="H7" s="2680">
        <v>4</v>
      </c>
      <c r="I7" s="2680">
        <v>1.71</v>
      </c>
      <c r="J7" s="2680">
        <v>1.78</v>
      </c>
      <c r="K7" s="2680">
        <v>1.71</v>
      </c>
      <c r="L7" s="2681">
        <v>1.43</v>
      </c>
      <c r="N7" s="2688">
        <f t="shared" si="16"/>
        <v>1.7100000000000001E-2</v>
      </c>
      <c r="O7" s="2689">
        <f t="shared" ref="O7" si="26">J7/100</f>
        <v>1.78E-2</v>
      </c>
      <c r="P7" s="2689">
        <f t="shared" ref="P7" si="27">K7/100</f>
        <v>1.7100000000000001E-2</v>
      </c>
      <c r="Q7" s="2689">
        <f t="shared" ref="Q7" si="28">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2971</v>
      </c>
      <c r="B8" s="2693">
        <f t="shared" ref="B8:C10" si="29">B9*(1+N8)</f>
        <v>431.80730811680002</v>
      </c>
      <c r="C8" s="2693">
        <f t="shared" si="29"/>
        <v>320.57880516480003</v>
      </c>
      <c r="D8" s="2693">
        <f t="shared" si="13"/>
        <v>320.57880516480003</v>
      </c>
      <c r="E8" s="2693">
        <f t="shared" ref="E8:F10" si="30">E9*(1+P8)</f>
        <v>615.96110553196797</v>
      </c>
      <c r="F8" s="2693">
        <f t="shared" si="30"/>
        <v>279.46777300108801</v>
      </c>
      <c r="G8" s="3160"/>
      <c r="H8" s="2683">
        <v>3</v>
      </c>
      <c r="I8" s="2683">
        <v>2.98</v>
      </c>
      <c r="J8" s="2683">
        <v>2.11</v>
      </c>
      <c r="K8" s="2683">
        <v>3.24</v>
      </c>
      <c r="L8" s="2694">
        <v>1.72</v>
      </c>
      <c r="M8" s="2687"/>
      <c r="N8" s="2688">
        <f t="shared" si="16"/>
        <v>2.98E-2</v>
      </c>
      <c r="O8" s="2689">
        <f t="shared" ref="O8:O9" si="31">J8/100</f>
        <v>2.1099999999999997E-2</v>
      </c>
      <c r="P8" s="2689">
        <f t="shared" ref="P8:P9" si="32">K8/100</f>
        <v>3.2400000000000005E-2</v>
      </c>
      <c r="Q8" s="2689">
        <f t="shared" ref="Q8:Q9" si="33">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2582</v>
      </c>
      <c r="B9" s="2693">
        <f t="shared" si="29"/>
        <v>419.31181600000002</v>
      </c>
      <c r="C9" s="2693">
        <f t="shared" si="29"/>
        <v>313.95436800000004</v>
      </c>
      <c r="D9" s="2693">
        <f t="shared" si="13"/>
        <v>313.95436800000004</v>
      </c>
      <c r="E9" s="2693">
        <f t="shared" si="30"/>
        <v>596.63028431999999</v>
      </c>
      <c r="F9" s="2693">
        <f t="shared" si="30"/>
        <v>274.74220703999998</v>
      </c>
      <c r="G9" s="3159"/>
      <c r="H9" s="2684">
        <v>2</v>
      </c>
      <c r="I9" s="2684">
        <v>3.4</v>
      </c>
      <c r="J9" s="2684">
        <v>2</v>
      </c>
      <c r="K9" s="2684">
        <v>3.82</v>
      </c>
      <c r="L9" s="2695">
        <v>1.68</v>
      </c>
      <c r="N9" s="2688">
        <f t="shared" si="16"/>
        <v>3.4000000000000002E-2</v>
      </c>
      <c r="O9" s="2689">
        <f t="shared" si="31"/>
        <v>0.02</v>
      </c>
      <c r="P9" s="2689">
        <f t="shared" si="32"/>
        <v>3.8199999999999998E-2</v>
      </c>
      <c r="Q9" s="2689">
        <f t="shared" si="33"/>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2583</v>
      </c>
      <c r="B10" s="2693">
        <f t="shared" si="29"/>
        <v>405.524</v>
      </c>
      <c r="C10" s="2693">
        <f t="shared" si="29"/>
        <v>307.79840000000002</v>
      </c>
      <c r="D10" s="2693">
        <f t="shared" si="13"/>
        <v>307.79840000000002</v>
      </c>
      <c r="E10" s="2693">
        <f t="shared" si="30"/>
        <v>574.67759999999998</v>
      </c>
      <c r="F10" s="2693">
        <f t="shared" si="30"/>
        <v>270.20280000000002</v>
      </c>
      <c r="G10" s="3160"/>
      <c r="H10" s="2683">
        <v>1</v>
      </c>
      <c r="I10" s="2683">
        <v>3.45</v>
      </c>
      <c r="J10" s="2683">
        <v>1.92</v>
      </c>
      <c r="K10" s="2683">
        <v>3.92</v>
      </c>
      <c r="L10" s="2694">
        <v>1.58</v>
      </c>
      <c r="M10" s="2687"/>
      <c r="N10" s="2688">
        <f t="shared" si="16"/>
        <v>3.4500000000000003E-2</v>
      </c>
      <c r="O10" s="2689">
        <f t="shared" ref="O10" si="34">J10/100</f>
        <v>1.9199999999999998E-2</v>
      </c>
      <c r="P10" s="2689">
        <f t="shared" ref="P10" si="35">K10/100</f>
        <v>3.9199999999999999E-2</v>
      </c>
      <c r="Q10" s="2689">
        <f t="shared" ref="Q10" si="36">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970</v>
      </c>
      <c r="B11" s="2685">
        <v>392</v>
      </c>
      <c r="C11" s="2685">
        <v>302</v>
      </c>
      <c r="D11" s="2685">
        <f t="shared" si="13"/>
        <v>302</v>
      </c>
      <c r="E11" s="2685">
        <v>553</v>
      </c>
      <c r="F11" s="2686">
        <v>266</v>
      </c>
      <c r="G11" s="3483">
        <v>2016</v>
      </c>
      <c r="H11" s="2680">
        <v>4</v>
      </c>
      <c r="I11" s="2680">
        <v>4.5599999999999996</v>
      </c>
      <c r="J11" s="2680">
        <v>2.15</v>
      </c>
      <c r="K11" s="2680">
        <v>5.32</v>
      </c>
      <c r="L11" s="2681">
        <v>1.57</v>
      </c>
      <c r="N11" s="2688">
        <f t="shared" si="16"/>
        <v>4.5599999999999995E-2</v>
      </c>
      <c r="O11" s="2689">
        <f t="shared" ref="O11:Q26" si="37">J11/100</f>
        <v>2.1499999999999998E-2</v>
      </c>
      <c r="P11" s="2689">
        <f t="shared" si="37"/>
        <v>5.3200000000000004E-2</v>
      </c>
      <c r="Q11" s="2689">
        <f t="shared" si="3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969</v>
      </c>
      <c r="B12" s="2693">
        <f t="shared" ref="B12:C14" si="38">B11/(1+N11)</f>
        <v>374.90436113236416</v>
      </c>
      <c r="C12" s="2693">
        <f t="shared" si="38"/>
        <v>295.64366128242779</v>
      </c>
      <c r="D12" s="2693">
        <f t="shared" ref="D12:D71" si="39">C12</f>
        <v>295.64366128242779</v>
      </c>
      <c r="E12" s="2693">
        <f t="shared" ref="E12:F14" si="40">E11/(1+P11)</f>
        <v>525.06646410938095</v>
      </c>
      <c r="F12" s="2693">
        <f t="shared" si="40"/>
        <v>261.88835286009646</v>
      </c>
      <c r="G12" s="3481"/>
      <c r="H12" s="2683">
        <v>3</v>
      </c>
      <c r="I12" s="2683">
        <v>4.12</v>
      </c>
      <c r="J12" s="2683">
        <v>2</v>
      </c>
      <c r="K12" s="2683">
        <v>4.79</v>
      </c>
      <c r="L12" s="2694">
        <v>1.97</v>
      </c>
      <c r="N12" s="2688">
        <f t="shared" ref="N12:Q46" si="41">I12/100</f>
        <v>4.1200000000000001E-2</v>
      </c>
      <c r="O12" s="2689">
        <f t="shared" si="37"/>
        <v>0.02</v>
      </c>
      <c r="P12" s="2689">
        <f t="shared" si="37"/>
        <v>4.7899999999999998E-2</v>
      </c>
      <c r="Q12" s="2689">
        <f t="shared" si="3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959</v>
      </c>
      <c r="B13" s="2693">
        <f t="shared" si="38"/>
        <v>360.06949782209392</v>
      </c>
      <c r="C13" s="2693">
        <f t="shared" si="38"/>
        <v>289.84672674747821</v>
      </c>
      <c r="D13" s="2693">
        <f t="shared" si="39"/>
        <v>289.84672674747821</v>
      </c>
      <c r="E13" s="2693">
        <f t="shared" si="40"/>
        <v>501.06543001181495</v>
      </c>
      <c r="F13" s="2693">
        <f t="shared" si="40"/>
        <v>256.82882500744967</v>
      </c>
      <c r="G13" s="3481"/>
      <c r="H13" s="2684">
        <v>2</v>
      </c>
      <c r="I13" s="2684">
        <v>3.85</v>
      </c>
      <c r="J13" s="2684">
        <v>1.95</v>
      </c>
      <c r="K13" s="2684">
        <v>4.4800000000000004</v>
      </c>
      <c r="L13" s="2695">
        <v>1.41</v>
      </c>
      <c r="N13" s="2688">
        <f t="shared" si="41"/>
        <v>3.85E-2</v>
      </c>
      <c r="O13" s="2689">
        <f t="shared" si="37"/>
        <v>1.95E-2</v>
      </c>
      <c r="P13" s="2689">
        <f t="shared" si="37"/>
        <v>4.4800000000000006E-2</v>
      </c>
      <c r="Q13" s="2689">
        <f t="shared" si="3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968</v>
      </c>
      <c r="B14" s="2693">
        <f t="shared" si="38"/>
        <v>346.720748986128</v>
      </c>
      <c r="C14" s="2693">
        <f t="shared" si="38"/>
        <v>284.30282172386285</v>
      </c>
      <c r="D14" s="2693">
        <f t="shared" si="39"/>
        <v>284.30282172386285</v>
      </c>
      <c r="E14" s="2693">
        <f t="shared" si="40"/>
        <v>479.58023546306947</v>
      </c>
      <c r="F14" s="2693">
        <f t="shared" si="40"/>
        <v>253.25788877571213</v>
      </c>
      <c r="G14" s="3482"/>
      <c r="H14" s="2683">
        <v>1</v>
      </c>
      <c r="I14" s="2683">
        <v>4.09</v>
      </c>
      <c r="J14" s="2683">
        <v>2.93</v>
      </c>
      <c r="K14" s="2683">
        <v>4.54</v>
      </c>
      <c r="L14" s="2694">
        <v>1.48</v>
      </c>
      <c r="N14" s="2688">
        <f t="shared" si="41"/>
        <v>4.0899999999999999E-2</v>
      </c>
      <c r="O14" s="2689">
        <f t="shared" si="37"/>
        <v>2.9300000000000003E-2</v>
      </c>
      <c r="P14" s="2689">
        <f t="shared" si="37"/>
        <v>4.5400000000000003E-2</v>
      </c>
      <c r="Q14" s="2689">
        <f t="shared" si="3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967</v>
      </c>
      <c r="B15" s="2685">
        <v>333</v>
      </c>
      <c r="C15" s="2685">
        <v>277</v>
      </c>
      <c r="D15" s="2685">
        <f t="shared" si="39"/>
        <v>277</v>
      </c>
      <c r="E15" s="2685">
        <v>459</v>
      </c>
      <c r="F15" s="2686">
        <v>249</v>
      </c>
      <c r="G15" s="3480">
        <v>2015</v>
      </c>
      <c r="H15" s="2699">
        <v>4</v>
      </c>
      <c r="I15" s="2699">
        <v>1.63</v>
      </c>
      <c r="J15" s="2699">
        <v>1.1100000000000001</v>
      </c>
      <c r="K15" s="2699">
        <v>1.77</v>
      </c>
      <c r="L15" s="2700">
        <v>1.89</v>
      </c>
      <c r="N15" s="2701">
        <f t="shared" si="41"/>
        <v>1.6299999999999999E-2</v>
      </c>
      <c r="O15" s="2702">
        <f t="shared" si="37"/>
        <v>1.11E-2</v>
      </c>
      <c r="P15" s="2702">
        <f t="shared" si="37"/>
        <v>1.77E-2</v>
      </c>
      <c r="Q15" s="2702">
        <f t="shared" si="3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966</v>
      </c>
      <c r="B16" s="2693">
        <f t="shared" ref="B16:C18" si="42">B15/(1+N15)</f>
        <v>327.65915576109415</v>
      </c>
      <c r="C16" s="2693">
        <f t="shared" si="42"/>
        <v>273.95905449510434</v>
      </c>
      <c r="D16" s="2693">
        <f t="shared" si="39"/>
        <v>273.95905449510434</v>
      </c>
      <c r="E16" s="2693">
        <f t="shared" ref="E16:F18" si="43">E15/(1+P15)</f>
        <v>451.01699911565294</v>
      </c>
      <c r="F16" s="2693">
        <f t="shared" si="43"/>
        <v>244.38119540681129</v>
      </c>
      <c r="G16" s="3481"/>
      <c r="H16" s="2704">
        <v>3</v>
      </c>
      <c r="I16" s="2704">
        <v>1.65</v>
      </c>
      <c r="J16" s="2704">
        <v>0.92</v>
      </c>
      <c r="K16" s="2704">
        <v>1.88</v>
      </c>
      <c r="L16" s="2705">
        <v>1.26</v>
      </c>
      <c r="N16" s="2688">
        <f t="shared" si="41"/>
        <v>1.6500000000000001E-2</v>
      </c>
      <c r="O16" s="2706">
        <f t="shared" si="37"/>
        <v>9.1999999999999998E-3</v>
      </c>
      <c r="P16" s="2706">
        <f t="shared" si="37"/>
        <v>1.8799999999999997E-2</v>
      </c>
      <c r="Q16" s="2706">
        <f t="shared" si="3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965</v>
      </c>
      <c r="B17" s="2693">
        <f t="shared" si="42"/>
        <v>322.34053690220776</v>
      </c>
      <c r="C17" s="2693">
        <f t="shared" si="42"/>
        <v>271.46160770422546</v>
      </c>
      <c r="D17" s="2693">
        <f t="shared" si="39"/>
        <v>271.46160770422546</v>
      </c>
      <c r="E17" s="2693">
        <f t="shared" si="43"/>
        <v>442.69434542172456</v>
      </c>
      <c r="F17" s="2693">
        <f t="shared" si="43"/>
        <v>241.34030753190925</v>
      </c>
      <c r="G17" s="3481"/>
      <c r="H17" s="2684">
        <v>2</v>
      </c>
      <c r="I17" s="2684">
        <v>0.77</v>
      </c>
      <c r="J17" s="2684">
        <v>0.69</v>
      </c>
      <c r="K17" s="2684">
        <v>0.8</v>
      </c>
      <c r="L17" s="2695">
        <v>0.88</v>
      </c>
      <c r="N17" s="2688">
        <f t="shared" si="41"/>
        <v>7.7000000000000002E-3</v>
      </c>
      <c r="O17" s="2706">
        <f t="shared" si="37"/>
        <v>6.8999999999999999E-3</v>
      </c>
      <c r="P17" s="2706">
        <f t="shared" si="37"/>
        <v>8.0000000000000002E-3</v>
      </c>
      <c r="Q17" s="2706">
        <f t="shared" si="3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964</v>
      </c>
      <c r="B18" s="2693">
        <f t="shared" si="42"/>
        <v>319.87748030386797</v>
      </c>
      <c r="C18" s="2693">
        <f t="shared" si="42"/>
        <v>269.60135833173649</v>
      </c>
      <c r="D18" s="2693">
        <f t="shared" si="39"/>
        <v>269.60135833173649</v>
      </c>
      <c r="E18" s="2693">
        <f t="shared" si="43"/>
        <v>439.18089823583784</v>
      </c>
      <c r="F18" s="2693">
        <f t="shared" si="43"/>
        <v>239.23503918706311</v>
      </c>
      <c r="G18" s="3482"/>
      <c r="H18" s="2683">
        <v>1</v>
      </c>
      <c r="I18" s="2683">
        <v>0.51</v>
      </c>
      <c r="J18" s="2683">
        <v>0.54</v>
      </c>
      <c r="K18" s="2683">
        <v>0.48</v>
      </c>
      <c r="L18" s="2694">
        <v>0.93</v>
      </c>
      <c r="N18" s="2696">
        <f t="shared" si="41"/>
        <v>5.1000000000000004E-3</v>
      </c>
      <c r="O18" s="2697">
        <f t="shared" si="37"/>
        <v>5.4000000000000003E-3</v>
      </c>
      <c r="P18" s="2697">
        <f t="shared" si="37"/>
        <v>4.7999999999999996E-3</v>
      </c>
      <c r="Q18" s="2697">
        <f t="shared" si="3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963</v>
      </c>
      <c r="B19" s="2707">
        <v>318</v>
      </c>
      <c r="C19" s="2707">
        <v>268</v>
      </c>
      <c r="D19" s="2707">
        <f t="shared" si="39"/>
        <v>268</v>
      </c>
      <c r="E19" s="2707">
        <v>437</v>
      </c>
      <c r="F19" s="2708">
        <v>237</v>
      </c>
      <c r="G19" s="3480">
        <v>2014</v>
      </c>
      <c r="H19" s="2699">
        <v>4</v>
      </c>
      <c r="I19" s="2699">
        <v>0.21</v>
      </c>
      <c r="J19" s="2699">
        <v>0.41</v>
      </c>
      <c r="K19" s="2699">
        <v>0.12</v>
      </c>
      <c r="L19" s="2700">
        <v>0.89</v>
      </c>
      <c r="N19" s="2688">
        <f t="shared" si="41"/>
        <v>2.0999999999999999E-3</v>
      </c>
      <c r="O19" s="2689">
        <f t="shared" si="37"/>
        <v>4.0999999999999995E-3</v>
      </c>
      <c r="P19" s="2689">
        <f t="shared" si="37"/>
        <v>1.1999999999999999E-3</v>
      </c>
      <c r="Q19" s="2689">
        <f t="shared" si="3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962</v>
      </c>
      <c r="B20" s="2693">
        <f t="shared" ref="B20:C22" si="44">B19/(1+N19)</f>
        <v>317.33359944117353</v>
      </c>
      <c r="C20" s="2693">
        <f t="shared" si="44"/>
        <v>266.90568668459315</v>
      </c>
      <c r="D20" s="2693">
        <f t="shared" si="39"/>
        <v>266.90568668459315</v>
      </c>
      <c r="E20" s="2693">
        <f t="shared" ref="E20:F22" si="45">E19/(1+P19)</f>
        <v>436.47622852576905</v>
      </c>
      <c r="F20" s="2693">
        <f t="shared" si="45"/>
        <v>234.90930716622066</v>
      </c>
      <c r="G20" s="3481"/>
      <c r="H20" s="2709">
        <v>3</v>
      </c>
      <c r="I20" s="2709">
        <v>0.83</v>
      </c>
      <c r="J20" s="2709">
        <v>1.47</v>
      </c>
      <c r="K20" s="2709">
        <v>0.65</v>
      </c>
      <c r="L20" s="2710">
        <v>0.72</v>
      </c>
      <c r="N20" s="2688">
        <f t="shared" si="41"/>
        <v>8.3000000000000001E-3</v>
      </c>
      <c r="O20" s="2689">
        <f t="shared" si="37"/>
        <v>1.47E-2</v>
      </c>
      <c r="P20" s="2689">
        <f t="shared" si="37"/>
        <v>6.5000000000000006E-3</v>
      </c>
      <c r="Q20" s="2689">
        <f t="shared" si="37"/>
        <v>7.1999999999999998E-3</v>
      </c>
      <c r="R20" s="2690"/>
      <c r="S20" s="2688"/>
      <c r="T20" s="2689"/>
      <c r="U20" s="2689"/>
      <c r="V20" s="2689"/>
      <c r="X20" s="2778">
        <f>ROUND(SUMPRODUCT(PRODUCT(1+N20:N$21)),4)</f>
        <v>1.0325</v>
      </c>
      <c r="Y20" s="2778">
        <f>ROUND(SUMPRODUCT(PRODUCT(1+O20:O$21)),4)</f>
        <v>1.0353000000000001</v>
      </c>
      <c r="Z20" s="2778">
        <f t="shared" ref="Z20:Z21" si="46">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961</v>
      </c>
      <c r="B21" s="2693">
        <f t="shared" si="44"/>
        <v>314.72141172386546</v>
      </c>
      <c r="C21" s="2693">
        <f t="shared" si="44"/>
        <v>263.03901319069001</v>
      </c>
      <c r="D21" s="2693">
        <f t="shared" si="39"/>
        <v>263.03901319069001</v>
      </c>
      <c r="E21" s="2693">
        <f t="shared" si="45"/>
        <v>433.65745506782821</v>
      </c>
      <c r="F21" s="2693">
        <f t="shared" si="45"/>
        <v>233.23005080045735</v>
      </c>
      <c r="G21" s="3481"/>
      <c r="H21" s="2699">
        <v>2</v>
      </c>
      <c r="I21" s="2699">
        <v>2.4</v>
      </c>
      <c r="J21" s="2699">
        <v>2.0299999999999998</v>
      </c>
      <c r="K21" s="2699">
        <v>2.59</v>
      </c>
      <c r="L21" s="2700">
        <v>1.52</v>
      </c>
      <c r="N21" s="2688">
        <f t="shared" si="41"/>
        <v>2.4E-2</v>
      </c>
      <c r="O21" s="2689">
        <f t="shared" si="37"/>
        <v>2.0299999999999999E-2</v>
      </c>
      <c r="P21" s="2689">
        <f t="shared" si="37"/>
        <v>2.5899999999999999E-2</v>
      </c>
      <c r="Q21" s="2689">
        <f t="shared" si="37"/>
        <v>1.52E-2</v>
      </c>
      <c r="R21" s="2690"/>
      <c r="S21" s="2688"/>
      <c r="T21" s="2689"/>
      <c r="U21" s="2689"/>
      <c r="V21" s="2689"/>
      <c r="X21" s="2778">
        <f>1+N21</f>
        <v>1.024</v>
      </c>
      <c r="Y21" s="2778">
        <f>1+O21</f>
        <v>1.0203</v>
      </c>
      <c r="Z21" s="2778">
        <f t="shared" si="46"/>
        <v>1.0203</v>
      </c>
      <c r="AA21" s="2778">
        <f>1+P21</f>
        <v>1.0259</v>
      </c>
      <c r="AB21" s="2778">
        <f>1+Q21</f>
        <v>1.0152000000000001</v>
      </c>
      <c r="AD21" s="2698">
        <f>ROUND(AVERAGE(I21:I$22)/100,4)</f>
        <v>2.69E-2</v>
      </c>
      <c r="AE21" s="2698">
        <f>ROUND(AVERAGE(J21:J$22)/100,4)</f>
        <v>2.1899999999999999E-2</v>
      </c>
      <c r="AF21" s="2698">
        <f t="shared" ref="AF21" si="47">AE21</f>
        <v>2.1899999999999999E-2</v>
      </c>
      <c r="AG21" s="2698">
        <f>ROUND(AVERAGE(K21:K$22)/100,4)</f>
        <v>2.9399999999999999E-2</v>
      </c>
      <c r="AH21" s="2698">
        <f>ROUND(AVERAGE(L21:L$22)/100,4)</f>
        <v>1.44E-2</v>
      </c>
    </row>
    <row r="22" spans="1:34" s="2715" customFormat="1" ht="13.5" thickBot="1">
      <c r="A22" s="2711" t="s">
        <v>960</v>
      </c>
      <c r="B22" s="2712">
        <f t="shared" si="44"/>
        <v>307.34512863658733</v>
      </c>
      <c r="C22" s="2712">
        <f t="shared" si="44"/>
        <v>257.80556031626975</v>
      </c>
      <c r="D22" s="2712">
        <f t="shared" si="39"/>
        <v>257.80556031626975</v>
      </c>
      <c r="E22" s="2712">
        <f t="shared" si="45"/>
        <v>422.70928459677179</v>
      </c>
      <c r="F22" s="2712">
        <f t="shared" si="45"/>
        <v>229.73803270336617</v>
      </c>
      <c r="G22" s="3482"/>
      <c r="H22" s="2713">
        <v>1</v>
      </c>
      <c r="I22" s="2713">
        <v>2.97</v>
      </c>
      <c r="J22" s="2713">
        <v>2.34</v>
      </c>
      <c r="K22" s="2713">
        <v>3.28</v>
      </c>
      <c r="L22" s="2714">
        <v>1.36</v>
      </c>
      <c r="N22" s="2716">
        <f t="shared" si="41"/>
        <v>2.9700000000000001E-2</v>
      </c>
      <c r="O22" s="2717">
        <f t="shared" si="37"/>
        <v>2.3399999999999997E-2</v>
      </c>
      <c r="P22" s="2717">
        <f t="shared" si="37"/>
        <v>3.2799999999999996E-2</v>
      </c>
      <c r="Q22" s="2717">
        <f t="shared" si="37"/>
        <v>1.3600000000000001E-2</v>
      </c>
      <c r="R22" s="2718"/>
      <c r="S22" s="2719">
        <f>B22/B23-1</f>
        <v>2.7910129219355539E-2</v>
      </c>
      <c r="T22" s="2720">
        <f>C22/C23-1</f>
        <v>2.3037937762975247E-2</v>
      </c>
      <c r="U22" s="2720">
        <f>E22/E23-1</f>
        <v>3.3519033243940788E-2</v>
      </c>
      <c r="V22" s="2720">
        <f>F22/F23-1</f>
        <v>1.2061818076502862E-2</v>
      </c>
      <c r="W22" s="2787" t="s">
        <v>2641</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2584</v>
      </c>
      <c r="B23" s="2685">
        <v>299</v>
      </c>
      <c r="C23" s="2685">
        <v>252</v>
      </c>
      <c r="D23" s="2685">
        <f t="shared" si="39"/>
        <v>252</v>
      </c>
      <c r="E23" s="2685">
        <v>409</v>
      </c>
      <c r="F23" s="2686">
        <v>227</v>
      </c>
      <c r="G23" s="3487">
        <v>2013</v>
      </c>
      <c r="H23" s="2721">
        <v>4</v>
      </c>
      <c r="I23" s="2721">
        <v>1.83</v>
      </c>
      <c r="J23" s="2721">
        <v>1.68</v>
      </c>
      <c r="K23" s="2721">
        <v>1.97</v>
      </c>
      <c r="L23" s="2722">
        <v>0.87</v>
      </c>
      <c r="N23" s="2701">
        <f t="shared" si="41"/>
        <v>1.83E-2</v>
      </c>
      <c r="O23" s="2702">
        <f t="shared" si="37"/>
        <v>1.6799999999999999E-2</v>
      </c>
      <c r="P23" s="2702">
        <f t="shared" si="37"/>
        <v>1.9699999999999999E-2</v>
      </c>
      <c r="Q23" s="2702">
        <f t="shared" si="37"/>
        <v>8.6999999999999994E-3</v>
      </c>
      <c r="R23" s="2690"/>
      <c r="S23" s="2691"/>
      <c r="T23" s="2692"/>
      <c r="U23" s="2692"/>
      <c r="V23" s="2692"/>
      <c r="X23" s="2692"/>
      <c r="Y23" s="2692"/>
      <c r="Z23" s="2692"/>
    </row>
    <row r="24" spans="1:34">
      <c r="A24" s="2679" t="s">
        <v>2585</v>
      </c>
      <c r="B24" s="2693">
        <f t="shared" ref="B24:C26" si="48">B23/(1+N23)</f>
        <v>293.62663262299913</v>
      </c>
      <c r="C24" s="2693">
        <f t="shared" si="48"/>
        <v>247.83634933123525</v>
      </c>
      <c r="D24" s="2693">
        <f t="shared" si="39"/>
        <v>247.83634933123525</v>
      </c>
      <c r="E24" s="2693">
        <f t="shared" ref="E24:F26" si="49">E23/(1+P23)</f>
        <v>401.09836226341076</v>
      </c>
      <c r="F24" s="2693">
        <f t="shared" si="49"/>
        <v>225.04213343908003</v>
      </c>
      <c r="G24" s="3488"/>
      <c r="H24" s="2704">
        <v>3</v>
      </c>
      <c r="I24" s="2704">
        <v>1.86</v>
      </c>
      <c r="J24" s="2704">
        <v>1.72</v>
      </c>
      <c r="K24" s="2704">
        <v>1.98</v>
      </c>
      <c r="L24" s="2705">
        <v>0.88</v>
      </c>
      <c r="N24" s="2688">
        <f t="shared" si="41"/>
        <v>1.8600000000000002E-2</v>
      </c>
      <c r="O24" s="2706">
        <f t="shared" si="37"/>
        <v>1.72E-2</v>
      </c>
      <c r="P24" s="2706">
        <f t="shared" si="37"/>
        <v>1.9799999999999998E-2</v>
      </c>
      <c r="Q24" s="2706">
        <f t="shared" si="37"/>
        <v>8.8000000000000005E-3</v>
      </c>
      <c r="R24" s="2690"/>
      <c r="S24" s="2688"/>
      <c r="T24" s="2689"/>
      <c r="U24" s="2689"/>
      <c r="V24" s="2689"/>
    </row>
    <row r="25" spans="1:34">
      <c r="A25" s="2679" t="s">
        <v>2586</v>
      </c>
      <c r="B25" s="2693">
        <f t="shared" si="48"/>
        <v>288.2649053828776</v>
      </c>
      <c r="C25" s="2693">
        <f t="shared" si="48"/>
        <v>243.64564425013293</v>
      </c>
      <c r="D25" s="2693">
        <f t="shared" si="39"/>
        <v>243.64564425013293</v>
      </c>
      <c r="E25" s="2693">
        <f t="shared" si="49"/>
        <v>393.31080825986544</v>
      </c>
      <c r="F25" s="2693">
        <f t="shared" si="49"/>
        <v>223.07903790551154</v>
      </c>
      <c r="G25" s="3488"/>
      <c r="H25" s="2684">
        <v>2</v>
      </c>
      <c r="I25" s="2684">
        <v>2.04</v>
      </c>
      <c r="J25" s="2684">
        <v>2.33</v>
      </c>
      <c r="K25" s="2684">
        <v>2.0699999999999998</v>
      </c>
      <c r="L25" s="2695">
        <v>0.69</v>
      </c>
      <c r="N25" s="2688">
        <f t="shared" si="41"/>
        <v>2.0400000000000001E-2</v>
      </c>
      <c r="O25" s="2706">
        <f t="shared" si="37"/>
        <v>2.3300000000000001E-2</v>
      </c>
      <c r="P25" s="2706">
        <f t="shared" si="37"/>
        <v>2.07E-2</v>
      </c>
      <c r="Q25" s="2706">
        <f t="shared" si="37"/>
        <v>6.8999999999999999E-3</v>
      </c>
      <c r="R25" s="2690"/>
      <c r="S25" s="2688"/>
      <c r="T25" s="2689"/>
      <c r="U25" s="2689"/>
      <c r="V25" s="2689"/>
      <c r="X25" s="2790"/>
      <c r="Y25" s="2792"/>
    </row>
    <row r="26" spans="1:34">
      <c r="A26" s="2679" t="s">
        <v>2587</v>
      </c>
      <c r="B26" s="2693">
        <f t="shared" si="48"/>
        <v>282.50186729015837</v>
      </c>
      <c r="C26" s="2693">
        <f t="shared" si="48"/>
        <v>238.09796174155468</v>
      </c>
      <c r="D26" s="2693">
        <f t="shared" si="39"/>
        <v>238.09796174155468</v>
      </c>
      <c r="E26" s="2693">
        <f t="shared" si="49"/>
        <v>385.33438646014054</v>
      </c>
      <c r="F26" s="2693">
        <f t="shared" si="49"/>
        <v>221.55034055567739</v>
      </c>
      <c r="G26" s="3489"/>
      <c r="H26" s="2683">
        <v>1</v>
      </c>
      <c r="I26" s="2683">
        <v>1.67</v>
      </c>
      <c r="J26" s="2683">
        <v>1.31</v>
      </c>
      <c r="K26" s="2683">
        <v>1.85</v>
      </c>
      <c r="L26" s="2694">
        <v>0.96</v>
      </c>
      <c r="N26" s="2696">
        <f t="shared" si="41"/>
        <v>1.67E-2</v>
      </c>
      <c r="O26" s="2697">
        <f t="shared" si="37"/>
        <v>1.3100000000000001E-2</v>
      </c>
      <c r="P26" s="2697">
        <f t="shared" si="37"/>
        <v>1.8500000000000003E-2</v>
      </c>
      <c r="Q26" s="2697">
        <f t="shared" si="3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2588</v>
      </c>
      <c r="B27" s="2723">
        <v>278</v>
      </c>
      <c r="C27" s="2723">
        <v>234</v>
      </c>
      <c r="D27" s="2723">
        <f t="shared" si="39"/>
        <v>234</v>
      </c>
      <c r="E27" s="2723">
        <v>379</v>
      </c>
      <c r="F27" s="2724">
        <v>220</v>
      </c>
      <c r="G27" s="3480">
        <v>2012</v>
      </c>
      <c r="H27" s="2699">
        <v>4</v>
      </c>
      <c r="I27" s="2699">
        <v>0.91</v>
      </c>
      <c r="J27" s="2699">
        <v>0.68</v>
      </c>
      <c r="K27" s="2699">
        <v>0.98</v>
      </c>
      <c r="L27" s="2700">
        <v>0.9</v>
      </c>
      <c r="N27" s="2688">
        <f t="shared" si="41"/>
        <v>9.1000000000000004E-3</v>
      </c>
      <c r="O27" s="2689">
        <f t="shared" si="41"/>
        <v>6.8000000000000005E-3</v>
      </c>
      <c r="P27" s="2689">
        <f t="shared" si="41"/>
        <v>9.7999999999999997E-3</v>
      </c>
      <c r="Q27" s="2689">
        <f t="shared" si="41"/>
        <v>9.0000000000000011E-3</v>
      </c>
      <c r="R27" s="2690"/>
      <c r="S27" s="2691"/>
      <c r="T27" s="2692"/>
      <c r="U27" s="2692"/>
      <c r="V27" s="2692"/>
      <c r="X27" s="2692"/>
      <c r="Y27" s="2692"/>
      <c r="Z27" s="2692"/>
    </row>
    <row r="28" spans="1:34">
      <c r="A28" s="2679" t="s">
        <v>2589</v>
      </c>
      <c r="B28" s="2693">
        <f>B27/(1+N27)</f>
        <v>275.49301357645425</v>
      </c>
      <c r="C28" s="2693">
        <f>C27/(1+O27)</f>
        <v>232.41954707985698</v>
      </c>
      <c r="D28" s="2693">
        <f t="shared" si="39"/>
        <v>232.41954707985698</v>
      </c>
      <c r="E28" s="2693">
        <f t="shared" ref="E28:F30" si="50">E27/(1+P27)</f>
        <v>375.32184591008121</v>
      </c>
      <c r="F28" s="2693">
        <f t="shared" si="50"/>
        <v>218.03766105054513</v>
      </c>
      <c r="G28" s="3481"/>
      <c r="H28" s="2704">
        <v>3</v>
      </c>
      <c r="I28" s="2704">
        <v>0.09</v>
      </c>
      <c r="J28" s="2704">
        <v>0.28999999999999998</v>
      </c>
      <c r="K28" s="2704">
        <v>-0.01</v>
      </c>
      <c r="L28" s="2705">
        <v>0.57999999999999996</v>
      </c>
      <c r="N28" s="2688">
        <f t="shared" si="41"/>
        <v>8.9999999999999998E-4</v>
      </c>
      <c r="O28" s="2689">
        <f t="shared" si="41"/>
        <v>2.8999999999999998E-3</v>
      </c>
      <c r="P28" s="2689">
        <f t="shared" si="41"/>
        <v>-1E-4</v>
      </c>
      <c r="Q28" s="2689">
        <f t="shared" si="41"/>
        <v>5.7999999999999996E-3</v>
      </c>
      <c r="R28" s="2690"/>
      <c r="S28" s="2688"/>
      <c r="T28" s="2689"/>
      <c r="U28" s="2689"/>
      <c r="V28" s="2689"/>
    </row>
    <row r="29" spans="1:34">
      <c r="A29" s="2679" t="s">
        <v>2590</v>
      </c>
      <c r="B29" s="2693">
        <f>B28/(1+N28)</f>
        <v>275.24529281292263</v>
      </c>
      <c r="C29" s="2693">
        <f>C28/(1+O28)</f>
        <v>231.74747938962707</v>
      </c>
      <c r="D29" s="2693">
        <f t="shared" si="39"/>
        <v>231.74747938962707</v>
      </c>
      <c r="E29" s="2693">
        <f t="shared" si="50"/>
        <v>375.35938184826603</v>
      </c>
      <c r="F29" s="2693">
        <f t="shared" si="50"/>
        <v>216.78033510692495</v>
      </c>
      <c r="G29" s="3481"/>
      <c r="H29" s="2684">
        <v>2</v>
      </c>
      <c r="I29" s="2684">
        <v>0.02</v>
      </c>
      <c r="J29" s="2684">
        <v>0.12</v>
      </c>
      <c r="K29" s="2684">
        <v>-0.08</v>
      </c>
      <c r="L29" s="2695">
        <v>1.24</v>
      </c>
      <c r="N29" s="2688">
        <f t="shared" si="41"/>
        <v>2.0000000000000001E-4</v>
      </c>
      <c r="O29" s="2689">
        <f t="shared" si="41"/>
        <v>1.1999999999999999E-3</v>
      </c>
      <c r="P29" s="2689">
        <f t="shared" si="41"/>
        <v>-8.0000000000000004E-4</v>
      </c>
      <c r="Q29" s="2689">
        <f t="shared" si="41"/>
        <v>1.24E-2</v>
      </c>
      <c r="R29" s="2690"/>
      <c r="S29" s="2688"/>
      <c r="T29" s="2689"/>
      <c r="U29" s="2689"/>
      <c r="V29" s="2689"/>
    </row>
    <row r="30" spans="1:34" ht="13.5" thickBot="1">
      <c r="A30" s="2679" t="s">
        <v>2591</v>
      </c>
      <c r="B30" s="2693">
        <f>B29/(1+N29)</f>
        <v>275.19025476197027</v>
      </c>
      <c r="C30" s="2725">
        <v>232</v>
      </c>
      <c r="D30" s="2725">
        <f t="shared" si="39"/>
        <v>232</v>
      </c>
      <c r="E30" s="2693">
        <f t="shared" si="50"/>
        <v>375.65990977608692</v>
      </c>
      <c r="F30" s="2693">
        <f t="shared" si="50"/>
        <v>214.12518283971252</v>
      </c>
      <c r="G30" s="3482"/>
      <c r="H30" s="2683">
        <v>1</v>
      </c>
      <c r="I30" s="2683">
        <v>0.02</v>
      </c>
      <c r="J30" s="2683">
        <v>0.13</v>
      </c>
      <c r="K30" s="2683">
        <v>-0.04</v>
      </c>
      <c r="L30" s="2694">
        <v>0.46</v>
      </c>
      <c r="N30" s="2688">
        <f t="shared" si="41"/>
        <v>2.0000000000000001E-4</v>
      </c>
      <c r="O30" s="2689">
        <f t="shared" si="41"/>
        <v>1.2999999999999999E-3</v>
      </c>
      <c r="P30" s="2689">
        <f t="shared" si="41"/>
        <v>-4.0000000000000002E-4</v>
      </c>
      <c r="Q30" s="2689">
        <f t="shared" si="41"/>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2592</v>
      </c>
      <c r="B31" s="2685">
        <v>275</v>
      </c>
      <c r="C31" s="2685">
        <v>232</v>
      </c>
      <c r="D31" s="2685">
        <f t="shared" si="39"/>
        <v>232</v>
      </c>
      <c r="E31" s="2685">
        <v>376</v>
      </c>
      <c r="F31" s="2686">
        <v>213</v>
      </c>
      <c r="G31" s="3480">
        <v>2011</v>
      </c>
      <c r="H31" s="2699">
        <v>4</v>
      </c>
      <c r="I31" s="2699">
        <v>-0.2</v>
      </c>
      <c r="J31" s="2699">
        <v>0.04</v>
      </c>
      <c r="K31" s="2699">
        <v>-0.34</v>
      </c>
      <c r="L31" s="2700">
        <v>0.46</v>
      </c>
      <c r="N31" s="2701">
        <f t="shared" si="41"/>
        <v>-2E-3</v>
      </c>
      <c r="O31" s="2702">
        <f t="shared" si="41"/>
        <v>4.0000000000000002E-4</v>
      </c>
      <c r="P31" s="2702">
        <f t="shared" si="41"/>
        <v>-3.4000000000000002E-3</v>
      </c>
      <c r="Q31" s="2702">
        <f t="shared" si="41"/>
        <v>4.5999999999999999E-3</v>
      </c>
      <c r="R31" s="2690"/>
      <c r="S31" s="2691"/>
      <c r="T31" s="2692"/>
      <c r="U31" s="2692"/>
      <c r="V31" s="2692"/>
      <c r="X31" s="2692"/>
      <c r="Y31" s="2692"/>
      <c r="Z31" s="2692"/>
    </row>
    <row r="32" spans="1:34">
      <c r="A32" s="2679" t="s">
        <v>2593</v>
      </c>
      <c r="B32" s="2693">
        <f t="shared" ref="B32:C34" si="51">B31/(1+N31)</f>
        <v>275.55110220440883</v>
      </c>
      <c r="C32" s="2693">
        <f t="shared" si="51"/>
        <v>231.90723710515795</v>
      </c>
      <c r="D32" s="2693">
        <f t="shared" si="39"/>
        <v>231.90723710515795</v>
      </c>
      <c r="E32" s="2693">
        <f t="shared" ref="E32:F34" si="52">E31/(1+P31)</f>
        <v>377.28276138872161</v>
      </c>
      <c r="F32" s="2693">
        <f t="shared" si="52"/>
        <v>212.02468644236512</v>
      </c>
      <c r="G32" s="3481">
        <v>2011</v>
      </c>
      <c r="H32" s="2704">
        <v>3</v>
      </c>
      <c r="I32" s="2704">
        <v>0.13</v>
      </c>
      <c r="J32" s="2704">
        <v>0.75</v>
      </c>
      <c r="K32" s="2704">
        <v>-0.08</v>
      </c>
      <c r="L32" s="2705">
        <v>0.53</v>
      </c>
      <c r="N32" s="2688">
        <f t="shared" si="41"/>
        <v>1.2999999999999999E-3</v>
      </c>
      <c r="O32" s="2706">
        <f t="shared" si="41"/>
        <v>7.4999999999999997E-3</v>
      </c>
      <c r="P32" s="2706">
        <f t="shared" si="41"/>
        <v>-8.0000000000000004E-4</v>
      </c>
      <c r="Q32" s="2706">
        <f t="shared" si="41"/>
        <v>5.3E-3</v>
      </c>
      <c r="R32" s="2690"/>
      <c r="S32" s="2688"/>
      <c r="T32" s="2689"/>
      <c r="U32" s="2689"/>
      <c r="V32" s="2689"/>
    </row>
    <row r="33" spans="1:26">
      <c r="A33" s="2679" t="s">
        <v>2594</v>
      </c>
      <c r="B33" s="2693">
        <f t="shared" si="51"/>
        <v>275.19335084830601</v>
      </c>
      <c r="C33" s="2693">
        <f t="shared" si="51"/>
        <v>230.18088050139744</v>
      </c>
      <c r="D33" s="2693">
        <f t="shared" si="39"/>
        <v>230.18088050139744</v>
      </c>
      <c r="E33" s="2693">
        <f t="shared" si="52"/>
        <v>377.58482925212331</v>
      </c>
      <c r="F33" s="2693">
        <f t="shared" si="52"/>
        <v>210.90687997847917</v>
      </c>
      <c r="G33" s="3481">
        <v>2011</v>
      </c>
      <c r="H33" s="2684">
        <v>2</v>
      </c>
      <c r="I33" s="2684">
        <v>-0.4</v>
      </c>
      <c r="J33" s="2684">
        <v>0.17</v>
      </c>
      <c r="K33" s="2684">
        <v>-0.57999999999999996</v>
      </c>
      <c r="L33" s="2695">
        <v>-0.2</v>
      </c>
      <c r="N33" s="2688">
        <f t="shared" si="41"/>
        <v>-4.0000000000000001E-3</v>
      </c>
      <c r="O33" s="2706">
        <f t="shared" si="41"/>
        <v>1.7000000000000001E-3</v>
      </c>
      <c r="P33" s="2706">
        <f t="shared" si="41"/>
        <v>-5.7999999999999996E-3</v>
      </c>
      <c r="Q33" s="2706">
        <f t="shared" si="41"/>
        <v>-2E-3</v>
      </c>
      <c r="R33" s="2690"/>
      <c r="S33" s="2688"/>
      <c r="T33" s="2689"/>
      <c r="U33" s="2689"/>
      <c r="V33" s="2689"/>
    </row>
    <row r="34" spans="1:26" ht="13.5" thickBot="1">
      <c r="A34" s="2679" t="s">
        <v>2595</v>
      </c>
      <c r="B34" s="2693">
        <f t="shared" si="51"/>
        <v>276.29854502841971</v>
      </c>
      <c r="C34" s="2693">
        <f t="shared" si="51"/>
        <v>229.79023709833027</v>
      </c>
      <c r="D34" s="2693">
        <f t="shared" si="39"/>
        <v>229.79023709833027</v>
      </c>
      <c r="E34" s="2693">
        <f t="shared" si="52"/>
        <v>379.78759731655936</v>
      </c>
      <c r="F34" s="2693">
        <f t="shared" si="52"/>
        <v>211.32953905659235</v>
      </c>
      <c r="G34" s="3482">
        <v>2011</v>
      </c>
      <c r="H34" s="2683">
        <v>1</v>
      </c>
      <c r="I34" s="2683">
        <v>2.65</v>
      </c>
      <c r="J34" s="2683">
        <v>3.76</v>
      </c>
      <c r="K34" s="2683">
        <v>1.89</v>
      </c>
      <c r="L34" s="2694">
        <v>7.95</v>
      </c>
      <c r="N34" s="2696">
        <f t="shared" si="41"/>
        <v>2.6499999999999999E-2</v>
      </c>
      <c r="O34" s="2697">
        <f t="shared" si="41"/>
        <v>3.7599999999999995E-2</v>
      </c>
      <c r="P34" s="2697">
        <f t="shared" si="41"/>
        <v>1.89E-2</v>
      </c>
      <c r="Q34" s="2697">
        <f t="shared" si="4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2596</v>
      </c>
      <c r="B35" s="2685">
        <v>269</v>
      </c>
      <c r="C35" s="2685">
        <v>221</v>
      </c>
      <c r="D35" s="2685">
        <f t="shared" si="39"/>
        <v>221</v>
      </c>
      <c r="E35" s="2685">
        <v>373</v>
      </c>
      <c r="F35" s="2686">
        <v>196</v>
      </c>
      <c r="G35" s="3480">
        <v>2010</v>
      </c>
      <c r="H35" s="2699">
        <v>4</v>
      </c>
      <c r="I35" s="2699">
        <v>5.72</v>
      </c>
      <c r="J35" s="2699">
        <v>6.57</v>
      </c>
      <c r="K35" s="2699">
        <v>5.72</v>
      </c>
      <c r="L35" s="2700">
        <v>2.72</v>
      </c>
      <c r="N35" s="2688">
        <f t="shared" si="41"/>
        <v>5.7200000000000001E-2</v>
      </c>
      <c r="O35" s="2689">
        <f t="shared" si="41"/>
        <v>6.5700000000000008E-2</v>
      </c>
      <c r="P35" s="2689">
        <f t="shared" si="41"/>
        <v>5.7200000000000001E-2</v>
      </c>
      <c r="Q35" s="2689">
        <f t="shared" si="41"/>
        <v>2.7200000000000002E-2</v>
      </c>
      <c r="R35" s="2690"/>
      <c r="S35" s="2691"/>
      <c r="T35" s="2692"/>
      <c r="U35" s="2692"/>
      <c r="V35" s="2692"/>
      <c r="X35" s="2692"/>
      <c r="Y35" s="2692"/>
      <c r="Z35" s="2692"/>
    </row>
    <row r="36" spans="1:26">
      <c r="A36" s="2679" t="s">
        <v>2597</v>
      </c>
      <c r="B36" s="2693">
        <f t="shared" ref="B36:C38" si="53">B35/(1+N35)</f>
        <v>254.44570563753314</v>
      </c>
      <c r="C36" s="2693">
        <f t="shared" si="53"/>
        <v>207.37543398705074</v>
      </c>
      <c r="D36" s="2693">
        <f t="shared" si="39"/>
        <v>207.37543398705074</v>
      </c>
      <c r="E36" s="2693">
        <f t="shared" ref="E36:F38" si="54">E35/(1+P35)</f>
        <v>352.81876655315932</v>
      </c>
      <c r="F36" s="2693">
        <f t="shared" si="54"/>
        <v>190.809968847352</v>
      </c>
      <c r="G36" s="3481">
        <v>2010</v>
      </c>
      <c r="H36" s="2704">
        <v>3</v>
      </c>
      <c r="I36" s="2704">
        <v>4.7300000000000004</v>
      </c>
      <c r="J36" s="2704">
        <v>3.9</v>
      </c>
      <c r="K36" s="2704">
        <v>5.03</v>
      </c>
      <c r="L36" s="2705">
        <v>4.21</v>
      </c>
      <c r="N36" s="2688">
        <f t="shared" si="41"/>
        <v>4.7300000000000002E-2</v>
      </c>
      <c r="O36" s="2689">
        <f t="shared" si="41"/>
        <v>3.9E-2</v>
      </c>
      <c r="P36" s="2689">
        <f t="shared" si="41"/>
        <v>5.0300000000000004E-2</v>
      </c>
      <c r="Q36" s="2689">
        <f t="shared" si="41"/>
        <v>4.2099999999999999E-2</v>
      </c>
      <c r="R36" s="2690"/>
      <c r="S36" s="2688"/>
      <c r="T36" s="2689"/>
      <c r="U36" s="2689"/>
      <c r="V36" s="2689"/>
    </row>
    <row r="37" spans="1:26">
      <c r="A37" s="2679" t="s">
        <v>2598</v>
      </c>
      <c r="B37" s="2693">
        <f t="shared" si="53"/>
        <v>242.95398227588385</v>
      </c>
      <c r="C37" s="2693">
        <f t="shared" si="53"/>
        <v>199.59137053614126</v>
      </c>
      <c r="D37" s="2693">
        <f t="shared" si="39"/>
        <v>199.59137053614126</v>
      </c>
      <c r="E37" s="2693">
        <f t="shared" si="54"/>
        <v>335.92189522342125</v>
      </c>
      <c r="F37" s="2693">
        <f t="shared" si="54"/>
        <v>183.10139991109489</v>
      </c>
      <c r="G37" s="3481">
        <v>2010</v>
      </c>
      <c r="H37" s="2684">
        <v>2</v>
      </c>
      <c r="I37" s="2684">
        <v>4.6900000000000004</v>
      </c>
      <c r="J37" s="2684">
        <v>3.55</v>
      </c>
      <c r="K37" s="2684">
        <v>5.07</v>
      </c>
      <c r="L37" s="2695">
        <v>4.2300000000000004</v>
      </c>
      <c r="N37" s="2688">
        <f t="shared" si="41"/>
        <v>4.6900000000000004E-2</v>
      </c>
      <c r="O37" s="2689">
        <f t="shared" si="41"/>
        <v>3.5499999999999997E-2</v>
      </c>
      <c r="P37" s="2689">
        <f t="shared" si="41"/>
        <v>5.0700000000000002E-2</v>
      </c>
      <c r="Q37" s="2689">
        <f t="shared" si="41"/>
        <v>4.2300000000000004E-2</v>
      </c>
      <c r="R37" s="2690"/>
      <c r="S37" s="2688"/>
      <c r="T37" s="2689"/>
      <c r="U37" s="2689"/>
      <c r="V37" s="2689"/>
    </row>
    <row r="38" spans="1:26" ht="13.5" thickBot="1">
      <c r="A38" s="2679" t="s">
        <v>2599</v>
      </c>
      <c r="B38" s="2693">
        <f t="shared" si="53"/>
        <v>232.06990378821649</v>
      </c>
      <c r="C38" s="2693">
        <f t="shared" si="53"/>
        <v>192.74878854286936</v>
      </c>
      <c r="D38" s="2693">
        <f t="shared" si="39"/>
        <v>192.74878854286936</v>
      </c>
      <c r="E38" s="2693">
        <f t="shared" si="54"/>
        <v>319.71247284992984</v>
      </c>
      <c r="F38" s="2693">
        <f t="shared" si="54"/>
        <v>175.67053622862409</v>
      </c>
      <c r="G38" s="3482">
        <v>2010</v>
      </c>
      <c r="H38" s="2683">
        <v>1</v>
      </c>
      <c r="I38" s="2683">
        <v>5.4</v>
      </c>
      <c r="J38" s="2683">
        <v>3.2</v>
      </c>
      <c r="K38" s="2683">
        <v>6.16</v>
      </c>
      <c r="L38" s="2694">
        <v>4.51</v>
      </c>
      <c r="N38" s="2688">
        <f t="shared" si="41"/>
        <v>5.4000000000000006E-2</v>
      </c>
      <c r="O38" s="2689">
        <f t="shared" si="41"/>
        <v>3.2000000000000001E-2</v>
      </c>
      <c r="P38" s="2689">
        <f t="shared" si="41"/>
        <v>6.1600000000000002E-2</v>
      </c>
      <c r="Q38" s="2689">
        <f t="shared" si="4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2600</v>
      </c>
      <c r="B39" s="2685">
        <v>220</v>
      </c>
      <c r="C39" s="2685">
        <v>187</v>
      </c>
      <c r="D39" s="2685">
        <f t="shared" si="39"/>
        <v>187</v>
      </c>
      <c r="E39" s="2685">
        <v>301</v>
      </c>
      <c r="F39" s="2686">
        <v>168</v>
      </c>
      <c r="G39" s="3480">
        <v>2009</v>
      </c>
      <c r="H39" s="2699">
        <v>4</v>
      </c>
      <c r="I39" s="2699">
        <v>2.2999999999999998</v>
      </c>
      <c r="J39" s="2699">
        <v>1.04</v>
      </c>
      <c r="K39" s="2699">
        <v>2.84</v>
      </c>
      <c r="L39" s="2700">
        <v>0.67</v>
      </c>
      <c r="N39" s="2701">
        <f t="shared" si="41"/>
        <v>2.3E-2</v>
      </c>
      <c r="O39" s="2702">
        <f t="shared" si="41"/>
        <v>1.04E-2</v>
      </c>
      <c r="P39" s="2702">
        <f t="shared" si="41"/>
        <v>2.8399999999999998E-2</v>
      </c>
      <c r="Q39" s="2702">
        <f t="shared" si="41"/>
        <v>6.7000000000000002E-3</v>
      </c>
      <c r="R39" s="2690"/>
      <c r="S39" s="2691"/>
      <c r="T39" s="2692"/>
      <c r="U39" s="2692"/>
      <c r="V39" s="2692"/>
      <c r="X39" s="2692"/>
      <c r="Y39" s="2692"/>
      <c r="Z39" s="2692"/>
    </row>
    <row r="40" spans="1:26">
      <c r="A40" s="2679" t="s">
        <v>2601</v>
      </c>
      <c r="B40" s="2693">
        <f t="shared" ref="B40:C42" si="55">B39/(1+N39)</f>
        <v>215.05376344086022</v>
      </c>
      <c r="C40" s="2693">
        <f t="shared" si="55"/>
        <v>185.0752177355503</v>
      </c>
      <c r="D40" s="2693">
        <f t="shared" si="39"/>
        <v>185.0752177355503</v>
      </c>
      <c r="E40" s="2693">
        <f t="shared" ref="E40:F42" si="56">E39/(1+P39)</f>
        <v>292.68767016725008</v>
      </c>
      <c r="F40" s="2693">
        <f t="shared" si="56"/>
        <v>166.88189132810174</v>
      </c>
      <c r="G40" s="3481">
        <v>2009</v>
      </c>
      <c r="H40" s="2704">
        <v>3</v>
      </c>
      <c r="I40" s="2704">
        <v>2.1</v>
      </c>
      <c r="J40" s="2704">
        <v>1.86</v>
      </c>
      <c r="K40" s="2704">
        <v>2.29</v>
      </c>
      <c r="L40" s="2705">
        <v>0.85</v>
      </c>
      <c r="N40" s="2688">
        <f t="shared" si="41"/>
        <v>2.1000000000000001E-2</v>
      </c>
      <c r="O40" s="2706">
        <f t="shared" si="41"/>
        <v>1.8600000000000002E-2</v>
      </c>
      <c r="P40" s="2706">
        <f t="shared" si="41"/>
        <v>2.29E-2</v>
      </c>
      <c r="Q40" s="2706">
        <f t="shared" si="41"/>
        <v>8.5000000000000006E-3</v>
      </c>
      <c r="R40" s="2690"/>
      <c r="S40" s="2688"/>
      <c r="T40" s="2689"/>
      <c r="U40" s="2689"/>
      <c r="V40" s="2689"/>
    </row>
    <row r="41" spans="1:26">
      <c r="A41" s="2679" t="s">
        <v>2602</v>
      </c>
      <c r="B41" s="2693">
        <f t="shared" si="55"/>
        <v>210.630522469011</v>
      </c>
      <c r="C41" s="2693">
        <f t="shared" si="55"/>
        <v>181.69567812247232</v>
      </c>
      <c r="D41" s="2693">
        <f t="shared" si="39"/>
        <v>181.69567812247232</v>
      </c>
      <c r="E41" s="2693">
        <f t="shared" si="56"/>
        <v>286.13517466736738</v>
      </c>
      <c r="F41" s="2693">
        <f t="shared" si="56"/>
        <v>165.47535084591149</v>
      </c>
      <c r="G41" s="3481">
        <v>2009</v>
      </c>
      <c r="H41" s="2684">
        <v>2</v>
      </c>
      <c r="I41" s="2684">
        <v>0.86</v>
      </c>
      <c r="J41" s="2684">
        <v>-1.1299999999999999</v>
      </c>
      <c r="K41" s="2684">
        <v>1.79</v>
      </c>
      <c r="L41" s="2695">
        <v>-2.0699999999999998</v>
      </c>
      <c r="N41" s="2688">
        <f t="shared" si="41"/>
        <v>8.6E-3</v>
      </c>
      <c r="O41" s="2706">
        <f t="shared" si="41"/>
        <v>-1.1299999999999999E-2</v>
      </c>
      <c r="P41" s="2706">
        <f t="shared" si="41"/>
        <v>1.7899999999999999E-2</v>
      </c>
      <c r="Q41" s="2706">
        <f t="shared" si="41"/>
        <v>-2.07E-2</v>
      </c>
      <c r="R41" s="2690"/>
      <c r="S41" s="2688"/>
      <c r="T41" s="2689"/>
      <c r="U41" s="2689"/>
      <c r="V41" s="2689"/>
    </row>
    <row r="42" spans="1:26">
      <c r="A42" s="2679" t="s">
        <v>2603</v>
      </c>
      <c r="B42" s="2693">
        <f t="shared" si="55"/>
        <v>208.83454537875372</v>
      </c>
      <c r="C42" s="2693">
        <f t="shared" si="55"/>
        <v>183.77230517090351</v>
      </c>
      <c r="D42" s="2693">
        <f t="shared" si="39"/>
        <v>183.77230517090351</v>
      </c>
      <c r="E42" s="2693">
        <f t="shared" si="56"/>
        <v>281.10342338870947</v>
      </c>
      <c r="F42" s="2693">
        <f t="shared" si="56"/>
        <v>168.97309388942256</v>
      </c>
      <c r="G42" s="3482">
        <v>2009</v>
      </c>
      <c r="H42" s="2683">
        <v>1</v>
      </c>
      <c r="I42" s="2683">
        <v>-2.64</v>
      </c>
      <c r="J42" s="2683">
        <v>-2.5299999999999998</v>
      </c>
      <c r="K42" s="2683">
        <v>-3.02</v>
      </c>
      <c r="L42" s="2694">
        <v>1.52</v>
      </c>
      <c r="N42" s="2696">
        <f t="shared" si="41"/>
        <v>-2.64E-2</v>
      </c>
      <c r="O42" s="2697">
        <f t="shared" si="41"/>
        <v>-2.53E-2</v>
      </c>
      <c r="P42" s="2697">
        <f t="shared" si="41"/>
        <v>-3.0200000000000001E-2</v>
      </c>
      <c r="Q42" s="2697">
        <f t="shared" si="41"/>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2604</v>
      </c>
      <c r="B43" s="2723">
        <v>214</v>
      </c>
      <c r="C43" s="2723">
        <v>188</v>
      </c>
      <c r="D43" s="2723">
        <f t="shared" si="39"/>
        <v>188</v>
      </c>
      <c r="E43" s="2723">
        <v>289</v>
      </c>
      <c r="F43" s="2724">
        <v>166</v>
      </c>
      <c r="G43" s="3480">
        <v>2008</v>
      </c>
      <c r="H43" s="2699">
        <v>4</v>
      </c>
      <c r="I43" s="2699">
        <v>1.73</v>
      </c>
      <c r="J43" s="2699">
        <v>0.03</v>
      </c>
      <c r="K43" s="2699">
        <v>2.59</v>
      </c>
      <c r="L43" s="2700">
        <v>-1.66</v>
      </c>
      <c r="N43" s="2688">
        <f t="shared" si="41"/>
        <v>1.7299999999999999E-2</v>
      </c>
      <c r="O43" s="2689">
        <f t="shared" si="41"/>
        <v>2.9999999999999997E-4</v>
      </c>
      <c r="P43" s="2689">
        <f t="shared" si="41"/>
        <v>2.5899999999999999E-2</v>
      </c>
      <c r="Q43" s="2689">
        <f t="shared" si="41"/>
        <v>-1.66E-2</v>
      </c>
      <c r="R43" s="2690"/>
      <c r="S43" s="2691"/>
      <c r="T43" s="2692"/>
      <c r="U43" s="2692"/>
      <c r="V43" s="2692"/>
      <c r="X43" s="2692"/>
      <c r="Y43" s="2692"/>
      <c r="Z43" s="2692"/>
    </row>
    <row r="44" spans="1:26">
      <c r="A44" s="2679" t="s">
        <v>2605</v>
      </c>
      <c r="B44" s="2693">
        <f t="shared" ref="B44:C46" si="57">B43/(1+N43)</f>
        <v>210.36075887152265</v>
      </c>
      <c r="C44" s="2693">
        <f t="shared" si="57"/>
        <v>187.94361691492554</v>
      </c>
      <c r="D44" s="2693">
        <f t="shared" si="39"/>
        <v>187.94361691492554</v>
      </c>
      <c r="E44" s="2693">
        <f t="shared" ref="E44:F46" si="58">E43/(1+P43)</f>
        <v>281.70386977288234</v>
      </c>
      <c r="F44" s="2693">
        <f t="shared" si="58"/>
        <v>168.80211511083994</v>
      </c>
      <c r="G44" s="3481">
        <v>2008</v>
      </c>
      <c r="H44" s="2704">
        <v>3</v>
      </c>
      <c r="I44" s="2704">
        <v>1.96</v>
      </c>
      <c r="J44" s="2704">
        <v>2.36</v>
      </c>
      <c r="K44" s="2704">
        <v>1.82</v>
      </c>
      <c r="L44" s="2705">
        <v>2.2200000000000002</v>
      </c>
      <c r="N44" s="2688">
        <f t="shared" si="41"/>
        <v>1.9599999999999999E-2</v>
      </c>
      <c r="O44" s="2689">
        <f t="shared" si="41"/>
        <v>2.3599999999999999E-2</v>
      </c>
      <c r="P44" s="2689">
        <f t="shared" si="41"/>
        <v>1.8200000000000001E-2</v>
      </c>
      <c r="Q44" s="2689">
        <f t="shared" si="41"/>
        <v>2.2200000000000001E-2</v>
      </c>
      <c r="R44" s="2690"/>
      <c r="S44" s="2688"/>
      <c r="T44" s="2689"/>
      <c r="U44" s="2689"/>
      <c r="V44" s="2689"/>
    </row>
    <row r="45" spans="1:26">
      <c r="A45" s="2679" t="s">
        <v>2606</v>
      </c>
      <c r="B45" s="2693">
        <f t="shared" si="57"/>
        <v>206.31694671589116</v>
      </c>
      <c r="C45" s="2693">
        <f t="shared" si="57"/>
        <v>183.61041121036101</v>
      </c>
      <c r="D45" s="2693">
        <f t="shared" si="39"/>
        <v>183.61041121036101</v>
      </c>
      <c r="E45" s="2693">
        <f t="shared" si="58"/>
        <v>276.66850301795557</v>
      </c>
      <c r="F45" s="2693">
        <f t="shared" si="58"/>
        <v>165.1360938278614</v>
      </c>
      <c r="G45" s="3481">
        <v>2008</v>
      </c>
      <c r="H45" s="2684">
        <v>2</v>
      </c>
      <c r="I45" s="2684">
        <v>4.93</v>
      </c>
      <c r="J45" s="2684">
        <v>7.38</v>
      </c>
      <c r="K45" s="2684">
        <v>3.98</v>
      </c>
      <c r="L45" s="2695">
        <v>6.86</v>
      </c>
      <c r="N45" s="2688">
        <f t="shared" si="41"/>
        <v>4.9299999999999997E-2</v>
      </c>
      <c r="O45" s="2689">
        <f t="shared" si="41"/>
        <v>7.3800000000000004E-2</v>
      </c>
      <c r="P45" s="2689">
        <f t="shared" si="41"/>
        <v>3.9800000000000002E-2</v>
      </c>
      <c r="Q45" s="2689">
        <f t="shared" si="41"/>
        <v>6.8600000000000008E-2</v>
      </c>
      <c r="R45" s="2690"/>
      <c r="S45" s="2688"/>
      <c r="T45" s="2689"/>
      <c r="U45" s="2689"/>
      <c r="V45" s="2689"/>
    </row>
    <row r="46" spans="1:26" s="2729" customFormat="1" ht="13.5" thickBot="1">
      <c r="A46" s="2679" t="s">
        <v>2607</v>
      </c>
      <c r="B46" s="2726">
        <f t="shared" si="57"/>
        <v>196.62341248059772</v>
      </c>
      <c r="C46" s="2726">
        <f t="shared" si="57"/>
        <v>170.99125648199012</v>
      </c>
      <c r="D46" s="2726">
        <f t="shared" si="39"/>
        <v>170.99125648199012</v>
      </c>
      <c r="E46" s="2726">
        <f t="shared" si="58"/>
        <v>266.07857570490052</v>
      </c>
      <c r="F46" s="2726">
        <f t="shared" si="58"/>
        <v>154.53499328828505</v>
      </c>
      <c r="G46" s="3482">
        <v>2008</v>
      </c>
      <c r="H46" s="2727">
        <v>1</v>
      </c>
      <c r="I46" s="2727">
        <v>4.1399999999999997</v>
      </c>
      <c r="J46" s="2727">
        <v>3.45</v>
      </c>
      <c r="K46" s="2727">
        <v>4.95</v>
      </c>
      <c r="L46" s="2728">
        <v>4.82</v>
      </c>
      <c r="N46" s="2730">
        <f t="shared" si="41"/>
        <v>4.1399999999999999E-2</v>
      </c>
      <c r="O46" s="2731">
        <f t="shared" si="41"/>
        <v>3.4500000000000003E-2</v>
      </c>
      <c r="P46" s="2731">
        <f t="shared" si="41"/>
        <v>4.9500000000000002E-2</v>
      </c>
      <c r="Q46" s="2731">
        <f t="shared" si="41"/>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2608</v>
      </c>
      <c r="B47" s="2685">
        <v>188</v>
      </c>
      <c r="C47" s="2685">
        <v>165</v>
      </c>
      <c r="D47" s="2685">
        <f t="shared" si="39"/>
        <v>165</v>
      </c>
      <c r="E47" s="2685">
        <v>254</v>
      </c>
      <c r="F47" s="2686">
        <v>148</v>
      </c>
      <c r="G47" s="3480">
        <v>2007</v>
      </c>
      <c r="H47" s="2734">
        <v>4</v>
      </c>
      <c r="I47" s="2734">
        <v>5.51</v>
      </c>
      <c r="J47" s="2734">
        <v>4.8899999999999997</v>
      </c>
      <c r="K47" s="2734">
        <v>6.43</v>
      </c>
      <c r="L47" s="2735">
        <v>5.36</v>
      </c>
      <c r="N47" s="2736">
        <f t="shared" ref="N47:O50" si="59">B47/B48-1</f>
        <v>4.1339718365245526E-2</v>
      </c>
      <c r="O47" s="2737">
        <f t="shared" si="59"/>
        <v>4.0324492593776018E-2</v>
      </c>
      <c r="P47" s="2737">
        <f t="shared" ref="P47:Q50" si="60">E47/E48-1</f>
        <v>6.1625555347990968E-2</v>
      </c>
      <c r="Q47" s="2737">
        <f t="shared" si="60"/>
        <v>4.6757569250590603E-2</v>
      </c>
      <c r="R47" s="2690"/>
      <c r="S47" s="2691"/>
      <c r="T47" s="2692"/>
      <c r="U47" s="2692"/>
      <c r="V47" s="2692"/>
      <c r="X47" s="2692"/>
      <c r="Y47" s="2692"/>
      <c r="Z47" s="2692"/>
    </row>
    <row r="48" spans="1:26">
      <c r="A48" s="2679" t="s">
        <v>2609</v>
      </c>
      <c r="B48" s="2693">
        <f t="shared" ref="B48:C50" si="61">B49+(B$47-B$51)*I48/SUM(I$47:I$50)</f>
        <v>180.5366651097618</v>
      </c>
      <c r="C48" s="2693">
        <f t="shared" si="61"/>
        <v>158.60435967302453</v>
      </c>
      <c r="D48" s="2693">
        <f t="shared" si="39"/>
        <v>158.60435967302453</v>
      </c>
      <c r="E48" s="2693">
        <f t="shared" ref="E48:F50" si="62">E49+(E$47-E$51)*K48/SUM(K$47:K$50)</f>
        <v>239.25573260785075</v>
      </c>
      <c r="F48" s="2693">
        <f t="shared" si="62"/>
        <v>141.38899430740037</v>
      </c>
      <c r="G48" s="3481">
        <v>2007</v>
      </c>
      <c r="H48" s="2704">
        <v>3</v>
      </c>
      <c r="I48" s="2704">
        <v>8.65</v>
      </c>
      <c r="J48" s="2704">
        <v>8.06</v>
      </c>
      <c r="K48" s="2704">
        <v>9.94</v>
      </c>
      <c r="L48" s="2705">
        <v>5.8</v>
      </c>
      <c r="N48" s="2736">
        <f t="shared" si="59"/>
        <v>6.940217571740015E-2</v>
      </c>
      <c r="O48" s="2737">
        <f t="shared" si="59"/>
        <v>7.1197482471153428E-2</v>
      </c>
      <c r="P48" s="2737">
        <f t="shared" si="60"/>
        <v>0.10529679922579582</v>
      </c>
      <c r="Q48" s="2737">
        <f t="shared" si="60"/>
        <v>5.3292245059512133E-2</v>
      </c>
      <c r="R48" s="2690"/>
      <c r="S48" s="2688"/>
      <c r="T48" s="2689"/>
      <c r="U48" s="2689"/>
      <c r="V48" s="2689"/>
      <c r="X48" s="2738"/>
      <c r="Y48" s="2738"/>
      <c r="Z48" s="2738"/>
    </row>
    <row r="49" spans="1:26">
      <c r="A49" s="2679" t="s">
        <v>2610</v>
      </c>
      <c r="B49" s="2693">
        <f t="shared" si="61"/>
        <v>168.82017748715555</v>
      </c>
      <c r="C49" s="2693">
        <f t="shared" si="61"/>
        <v>148.06267029972753</v>
      </c>
      <c r="D49" s="2693">
        <f t="shared" si="39"/>
        <v>148.06267029972753</v>
      </c>
      <c r="E49" s="2693">
        <f t="shared" si="62"/>
        <v>216.46288379323747</v>
      </c>
      <c r="F49" s="2693">
        <f t="shared" si="62"/>
        <v>134.23529411764704</v>
      </c>
      <c r="G49" s="3481">
        <v>2007</v>
      </c>
      <c r="H49" s="2684">
        <v>2</v>
      </c>
      <c r="I49" s="2684">
        <v>3.67</v>
      </c>
      <c r="J49" s="2684">
        <v>2.3199999999999998</v>
      </c>
      <c r="K49" s="2684">
        <v>5.0199999999999996</v>
      </c>
      <c r="L49" s="2695">
        <v>6.71</v>
      </c>
      <c r="N49" s="2736">
        <f t="shared" si="59"/>
        <v>3.0339138143848032E-2</v>
      </c>
      <c r="O49" s="2737">
        <f t="shared" si="59"/>
        <v>2.0922341588790472E-2</v>
      </c>
      <c r="P49" s="2737">
        <f t="shared" si="60"/>
        <v>5.6164796592717003E-2</v>
      </c>
      <c r="Q49" s="2737">
        <f t="shared" si="60"/>
        <v>6.5704536723887319E-2</v>
      </c>
      <c r="R49" s="2690"/>
      <c r="S49" s="2688"/>
      <c r="T49" s="2689"/>
      <c r="U49" s="2689"/>
      <c r="V49" s="2689"/>
      <c r="X49" s="2738"/>
      <c r="Y49" s="2738"/>
      <c r="Z49" s="2738"/>
    </row>
    <row r="50" spans="1:26">
      <c r="A50" s="2679" t="s">
        <v>2611</v>
      </c>
      <c r="B50" s="2693">
        <f t="shared" si="61"/>
        <v>163.84913591779542</v>
      </c>
      <c r="C50" s="2693">
        <f t="shared" si="61"/>
        <v>145.0283378746594</v>
      </c>
      <c r="D50" s="2693">
        <f t="shared" si="39"/>
        <v>145.0283378746594</v>
      </c>
      <c r="E50" s="2693">
        <f t="shared" si="62"/>
        <v>204.95180722891567</v>
      </c>
      <c r="F50" s="2693">
        <f t="shared" si="62"/>
        <v>125.95920303605313</v>
      </c>
      <c r="G50" s="3482">
        <v>2007</v>
      </c>
      <c r="H50" s="2683">
        <v>1</v>
      </c>
      <c r="I50" s="2683">
        <v>3.58</v>
      </c>
      <c r="J50" s="2683">
        <v>3.08</v>
      </c>
      <c r="K50" s="2683">
        <v>4.34</v>
      </c>
      <c r="L50" s="2694">
        <v>3.21</v>
      </c>
      <c r="N50" s="2739">
        <f t="shared" si="59"/>
        <v>3.0497710174814063E-2</v>
      </c>
      <c r="O50" s="2740">
        <f t="shared" si="59"/>
        <v>2.8569772160704998E-2</v>
      </c>
      <c r="P50" s="2740">
        <f t="shared" si="60"/>
        <v>5.1034908866234296E-2</v>
      </c>
      <c r="Q50" s="2740">
        <f t="shared" si="60"/>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2612</v>
      </c>
      <c r="B51" s="2707">
        <v>159</v>
      </c>
      <c r="C51" s="2707">
        <v>141</v>
      </c>
      <c r="D51" s="2707">
        <f t="shared" si="39"/>
        <v>141</v>
      </c>
      <c r="E51" s="2707">
        <v>195</v>
      </c>
      <c r="F51" s="2708">
        <v>122</v>
      </c>
      <c r="G51" s="3480">
        <v>2006</v>
      </c>
      <c r="H51" s="2699">
        <v>4</v>
      </c>
      <c r="I51" s="2699">
        <v>3.79</v>
      </c>
      <c r="J51" s="2699">
        <v>2.21</v>
      </c>
      <c r="K51" s="2699">
        <v>5.65</v>
      </c>
      <c r="L51" s="2700">
        <v>5.41</v>
      </c>
      <c r="N51" s="2736">
        <f t="shared" ref="N51:O54" si="63">I51/SUM(I$51:I$54)*(B$51/B$55-1)</f>
        <v>7.245466462748526E-2</v>
      </c>
      <c r="O51" s="2737">
        <f t="shared" si="63"/>
        <v>2.3237230038062766E-2</v>
      </c>
      <c r="P51" s="2737">
        <f t="shared" ref="P51:Q54" si="64">K51/SUM(K$51:K$54)*(E$51/E$55-1)</f>
        <v>0.16146893866323722</v>
      </c>
      <c r="Q51" s="2737">
        <f t="shared" si="64"/>
        <v>5.0755230321793784E-2</v>
      </c>
      <c r="R51" s="2690"/>
      <c r="S51" s="2691"/>
      <c r="T51" s="2692"/>
      <c r="U51" s="2692"/>
      <c r="V51" s="2692"/>
      <c r="X51" s="2738"/>
      <c r="Y51" s="2738"/>
      <c r="Z51" s="2738"/>
    </row>
    <row r="52" spans="1:26">
      <c r="A52" s="2679" t="s">
        <v>2613</v>
      </c>
      <c r="B52" s="2693">
        <f t="shared" ref="B52:C54" si="65">B53+(B$51-B$55)*I52/SUM(I$51:I$54)</f>
        <v>149.00125628140702</v>
      </c>
      <c r="C52" s="2693">
        <f t="shared" si="65"/>
        <v>137.95592286501378</v>
      </c>
      <c r="D52" s="2693">
        <f t="shared" si="39"/>
        <v>137.95592286501378</v>
      </c>
      <c r="E52" s="2693">
        <f t="shared" ref="E52:F54" si="66">E53+(E$51-E$55)*K52/SUM(K$51:K$54)</f>
        <v>169.97231450719823</v>
      </c>
      <c r="F52" s="2693">
        <f t="shared" si="66"/>
        <v>116.21390374331551</v>
      </c>
      <c r="G52" s="3481">
        <v>2006</v>
      </c>
      <c r="H52" s="2704">
        <v>3</v>
      </c>
      <c r="I52" s="2704">
        <v>0.92</v>
      </c>
      <c r="J52" s="2704">
        <v>1.08</v>
      </c>
      <c r="K52" s="2704">
        <v>0.73</v>
      </c>
      <c r="L52" s="2705">
        <v>1.08</v>
      </c>
      <c r="N52" s="2736">
        <f t="shared" si="63"/>
        <v>1.7587939698492462E-2</v>
      </c>
      <c r="O52" s="2737">
        <f t="shared" si="63"/>
        <v>1.1355750425840628E-2</v>
      </c>
      <c r="P52" s="2737">
        <f t="shared" si="64"/>
        <v>2.0862358446754544E-2</v>
      </c>
      <c r="Q52" s="2737">
        <f t="shared" si="64"/>
        <v>1.0132282578103011E-2</v>
      </c>
      <c r="R52" s="2690"/>
      <c r="S52" s="2688"/>
      <c r="T52" s="2689"/>
      <c r="U52" s="2689"/>
      <c r="V52" s="2689"/>
      <c r="X52" s="2738"/>
      <c r="Y52" s="2738"/>
      <c r="Z52" s="2738"/>
    </row>
    <row r="53" spans="1:26">
      <c r="A53" s="2679" t="s">
        <v>2614</v>
      </c>
      <c r="B53" s="2693">
        <f t="shared" si="65"/>
        <v>146.57412060301507</v>
      </c>
      <c r="C53" s="2693">
        <f t="shared" si="65"/>
        <v>136.46831955922866</v>
      </c>
      <c r="D53" s="2693">
        <f t="shared" si="39"/>
        <v>136.46831955922866</v>
      </c>
      <c r="E53" s="2693">
        <f t="shared" si="66"/>
        <v>166.73864894795128</v>
      </c>
      <c r="F53" s="2693">
        <f t="shared" si="66"/>
        <v>115.05882352941177</v>
      </c>
      <c r="G53" s="3481">
        <v>2006</v>
      </c>
      <c r="H53" s="2684">
        <v>2</v>
      </c>
      <c r="I53" s="2684">
        <v>0.96</v>
      </c>
      <c r="J53" s="2684">
        <v>0.25</v>
      </c>
      <c r="K53" s="2684">
        <v>1.9</v>
      </c>
      <c r="L53" s="2695">
        <v>0.95</v>
      </c>
      <c r="N53" s="2736">
        <f t="shared" si="63"/>
        <v>1.8352632728861701E-2</v>
      </c>
      <c r="O53" s="2737">
        <f t="shared" si="63"/>
        <v>2.6286459319075526E-3</v>
      </c>
      <c r="P53" s="2737">
        <f t="shared" si="64"/>
        <v>5.4299289107991269E-2</v>
      </c>
      <c r="Q53" s="2737">
        <f t="shared" si="64"/>
        <v>8.9126559714794995E-3</v>
      </c>
      <c r="R53" s="2690"/>
      <c r="S53" s="2688"/>
      <c r="T53" s="2689"/>
      <c r="U53" s="2689"/>
      <c r="V53" s="2689"/>
      <c r="X53" s="2738"/>
      <c r="Y53" s="2738"/>
      <c r="Z53" s="2738"/>
    </row>
    <row r="54" spans="1:26">
      <c r="A54" s="2679" t="s">
        <v>2615</v>
      </c>
      <c r="B54" s="2693">
        <f t="shared" si="65"/>
        <v>144.04145728643215</v>
      </c>
      <c r="C54" s="2693">
        <f t="shared" si="65"/>
        <v>136.12396694214877</v>
      </c>
      <c r="D54" s="2693">
        <f t="shared" si="39"/>
        <v>136.12396694214877</v>
      </c>
      <c r="E54" s="2693">
        <f t="shared" si="66"/>
        <v>158.32225913621264</v>
      </c>
      <c r="F54" s="2693">
        <f t="shared" si="66"/>
        <v>114.04278074866311</v>
      </c>
      <c r="G54" s="3482">
        <v>2006</v>
      </c>
      <c r="H54" s="2683">
        <v>1</v>
      </c>
      <c r="I54" s="2683">
        <v>2.29</v>
      </c>
      <c r="J54" s="2683">
        <v>3.72</v>
      </c>
      <c r="K54" s="2683">
        <v>0.75</v>
      </c>
      <c r="L54" s="2694">
        <v>0.04</v>
      </c>
      <c r="N54" s="2739">
        <f t="shared" si="63"/>
        <v>4.3778675988638847E-2</v>
      </c>
      <c r="O54" s="2740">
        <f t="shared" si="63"/>
        <v>3.9114251466784385E-2</v>
      </c>
      <c r="P54" s="2740">
        <f t="shared" si="64"/>
        <v>2.1433929911049188E-2</v>
      </c>
      <c r="Q54" s="2740">
        <f t="shared" si="64"/>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2616</v>
      </c>
      <c r="B55" s="2707">
        <v>138</v>
      </c>
      <c r="C55" s="2707">
        <v>131</v>
      </c>
      <c r="D55" s="2707">
        <f t="shared" si="39"/>
        <v>131</v>
      </c>
      <c r="E55" s="2707">
        <v>155</v>
      </c>
      <c r="F55" s="2708">
        <v>114</v>
      </c>
      <c r="G55" s="3480">
        <v>2005</v>
      </c>
      <c r="H55" s="2699">
        <v>4</v>
      </c>
      <c r="I55" s="2699">
        <v>3.29</v>
      </c>
      <c r="J55" s="2699">
        <v>1.44</v>
      </c>
      <c r="K55" s="2699">
        <v>0.66</v>
      </c>
      <c r="L55" s="2700">
        <v>7.78</v>
      </c>
      <c r="N55" s="2736">
        <f t="shared" ref="N55:O58" si="67">I55/SUM(I$55:I$58)*(B$55/B$59-1)</f>
        <v>9.9404603216919935E-2</v>
      </c>
      <c r="O55" s="2737">
        <f t="shared" si="67"/>
        <v>4.7636550760861554E-2</v>
      </c>
      <c r="P55" s="2737">
        <f t="shared" ref="P55:Q58" si="68">K55/SUM(K$55:K$58)*(E$55/E$59-1)</f>
        <v>8.3756345177664976E-2</v>
      </c>
      <c r="Q55" s="2737">
        <f t="shared" si="68"/>
        <v>5.2148766661559584E-2</v>
      </c>
      <c r="R55" s="2690"/>
      <c r="S55" s="2691"/>
      <c r="T55" s="2692"/>
      <c r="U55" s="2692"/>
      <c r="V55" s="2692"/>
      <c r="X55" s="2738"/>
      <c r="Y55" s="2738"/>
      <c r="Z55" s="2738"/>
    </row>
    <row r="56" spans="1:26">
      <c r="A56" s="2679" t="s">
        <v>2617</v>
      </c>
      <c r="B56" s="2693">
        <f t="shared" ref="B56:C58" si="69">B57+(B$55-B$59)*I56/SUM(I$55:I$58)</f>
        <v>125.9720430107527</v>
      </c>
      <c r="C56" s="2693">
        <f t="shared" si="69"/>
        <v>125.1883408071749</v>
      </c>
      <c r="D56" s="2693">
        <f t="shared" si="39"/>
        <v>125.1883408071749</v>
      </c>
      <c r="E56" s="2693">
        <f t="shared" ref="E56:F58" si="70">E57+(E$55-E$59)*K56/SUM(K$55:K$58)</f>
        <v>144.61421319796952</v>
      </c>
      <c r="F56" s="2693">
        <f t="shared" si="70"/>
        <v>108.42008196721311</v>
      </c>
      <c r="G56" s="3481">
        <v>2005</v>
      </c>
      <c r="H56" s="2704">
        <v>3</v>
      </c>
      <c r="I56" s="2704">
        <v>0.46</v>
      </c>
      <c r="J56" s="2704">
        <v>0.32</v>
      </c>
      <c r="K56" s="2704">
        <v>0.42</v>
      </c>
      <c r="L56" s="2705">
        <v>0.64</v>
      </c>
      <c r="N56" s="2736">
        <f t="shared" si="67"/>
        <v>1.3898515951301874E-2</v>
      </c>
      <c r="O56" s="2737">
        <f t="shared" si="67"/>
        <v>1.0585900169080346E-2</v>
      </c>
      <c r="P56" s="2737">
        <f t="shared" si="68"/>
        <v>5.3299492385786795E-2</v>
      </c>
      <c r="Q56" s="2737">
        <f t="shared" si="68"/>
        <v>4.2898728359123568E-3</v>
      </c>
      <c r="R56" s="2690"/>
      <c r="S56" s="2688"/>
      <c r="T56" s="2689"/>
      <c r="U56" s="2689"/>
      <c r="V56" s="2689"/>
      <c r="X56" s="2738"/>
      <c r="Y56" s="2738"/>
      <c r="Z56" s="2738"/>
    </row>
    <row r="57" spans="1:26">
      <c r="A57" s="2679" t="s">
        <v>2618</v>
      </c>
      <c r="B57" s="2693">
        <f t="shared" si="69"/>
        <v>124.29032258064517</v>
      </c>
      <c r="C57" s="2693">
        <f t="shared" si="69"/>
        <v>123.8968609865471</v>
      </c>
      <c r="D57" s="2693">
        <f t="shared" si="39"/>
        <v>123.8968609865471</v>
      </c>
      <c r="E57" s="2693">
        <f t="shared" si="70"/>
        <v>138.00507614213197</v>
      </c>
      <c r="F57" s="2693">
        <f t="shared" si="70"/>
        <v>107.96106557377048</v>
      </c>
      <c r="G57" s="3481">
        <v>2005</v>
      </c>
      <c r="H57" s="2684">
        <v>2</v>
      </c>
      <c r="I57" s="2684">
        <v>0.47</v>
      </c>
      <c r="J57" s="2684">
        <v>0.1</v>
      </c>
      <c r="K57" s="2684">
        <v>0.52</v>
      </c>
      <c r="L57" s="2695">
        <v>0.79</v>
      </c>
      <c r="N57" s="2736">
        <f t="shared" si="67"/>
        <v>1.420065760241713E-2</v>
      </c>
      <c r="O57" s="2737">
        <f t="shared" si="67"/>
        <v>3.3080938028376083E-3</v>
      </c>
      <c r="P57" s="2737">
        <f t="shared" si="68"/>
        <v>6.598984771573603E-2</v>
      </c>
      <c r="Q57" s="2737">
        <f t="shared" si="68"/>
        <v>5.2953117818293153E-3</v>
      </c>
      <c r="R57" s="2690"/>
      <c r="S57" s="2688"/>
      <c r="T57" s="2689"/>
      <c r="U57" s="2689"/>
      <c r="V57" s="2689"/>
      <c r="X57" s="2738"/>
      <c r="Y57" s="2738"/>
      <c r="Z57" s="2738"/>
    </row>
    <row r="58" spans="1:26">
      <c r="A58" s="2679" t="s">
        <v>2619</v>
      </c>
      <c r="B58" s="2693">
        <f t="shared" si="69"/>
        <v>122.57204301075269</v>
      </c>
      <c r="C58" s="2693">
        <f t="shared" si="69"/>
        <v>123.4932735426009</v>
      </c>
      <c r="D58" s="2693">
        <f t="shared" si="39"/>
        <v>123.4932735426009</v>
      </c>
      <c r="E58" s="2693">
        <f t="shared" si="70"/>
        <v>129.82233502538071</v>
      </c>
      <c r="F58" s="2693">
        <f t="shared" si="70"/>
        <v>107.39446721311475</v>
      </c>
      <c r="G58" s="3482">
        <v>2005</v>
      </c>
      <c r="H58" s="2683">
        <v>1</v>
      </c>
      <c r="I58" s="2683">
        <v>0.43</v>
      </c>
      <c r="J58" s="2683">
        <v>0.37</v>
      </c>
      <c r="K58" s="2683">
        <v>0.37</v>
      </c>
      <c r="L58" s="2694">
        <v>0.55000000000000004</v>
      </c>
      <c r="N58" s="2739">
        <f t="shared" si="67"/>
        <v>1.2992090997956099E-2</v>
      </c>
      <c r="O58" s="2740">
        <f t="shared" si="67"/>
        <v>1.2239947070499151E-2</v>
      </c>
      <c r="P58" s="2740">
        <f t="shared" si="68"/>
        <v>4.6954314720812178E-2</v>
      </c>
      <c r="Q58" s="2740">
        <f t="shared" si="68"/>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2620</v>
      </c>
      <c r="B59" s="2723">
        <v>121</v>
      </c>
      <c r="C59" s="2723">
        <v>122</v>
      </c>
      <c r="D59" s="2723">
        <f t="shared" si="39"/>
        <v>122</v>
      </c>
      <c r="E59" s="2723">
        <v>124</v>
      </c>
      <c r="F59" s="2724">
        <v>107</v>
      </c>
      <c r="G59" s="3480">
        <v>2004</v>
      </c>
      <c r="H59" s="2699">
        <v>4</v>
      </c>
      <c r="I59" s="2699">
        <v>0.33</v>
      </c>
      <c r="J59" s="2699">
        <v>0.5</v>
      </c>
      <c r="K59" s="2699">
        <v>0.5</v>
      </c>
      <c r="L59" s="2700">
        <v>0</v>
      </c>
      <c r="N59" s="2736">
        <f t="shared" ref="N59:O62" si="71">I59/SUM(I$59:I$62)*(B$59/B$63-1)</f>
        <v>1.3391770148526898E-2</v>
      </c>
      <c r="O59" s="2737">
        <f t="shared" si="71"/>
        <v>1.063264221158958E-2</v>
      </c>
      <c r="P59" s="2737">
        <f t="shared" ref="P59:Q62" si="72">K59/SUM(K$59:K$62)*(E$59/E$63-1)</f>
        <v>2.2244466688911134E-2</v>
      </c>
      <c r="Q59" s="2737">
        <f t="shared" si="72"/>
        <v>0</v>
      </c>
      <c r="R59" s="2690"/>
      <c r="S59" s="2691"/>
      <c r="T59" s="2692"/>
      <c r="U59" s="2692"/>
      <c r="V59" s="2692"/>
      <c r="X59" s="2738"/>
      <c r="Y59" s="2738"/>
      <c r="Z59" s="2738"/>
    </row>
    <row r="60" spans="1:26">
      <c r="A60" s="2679" t="s">
        <v>2621</v>
      </c>
      <c r="B60" s="2693">
        <f t="shared" ref="B60:C62" si="73">B61+(B$59-B$63)*I60/SUM(I$59:I$62)</f>
        <v>119.51351351351352</v>
      </c>
      <c r="C60" s="2693">
        <f t="shared" si="73"/>
        <v>120.7878787878788</v>
      </c>
      <c r="D60" s="2693">
        <f t="shared" si="39"/>
        <v>120.7878787878788</v>
      </c>
      <c r="E60" s="2693">
        <f t="shared" ref="E60:F62" si="74">E61+(E$59-E$63)*K60/SUM(K$59:K$62)</f>
        <v>121.5975975975976</v>
      </c>
      <c r="F60" s="2693">
        <f t="shared" si="74"/>
        <v>107</v>
      </c>
      <c r="G60" s="3481">
        <v>2004</v>
      </c>
      <c r="H60" s="2704">
        <v>3</v>
      </c>
      <c r="I60" s="2704">
        <v>0.56000000000000005</v>
      </c>
      <c r="J60" s="2704">
        <v>0.8</v>
      </c>
      <c r="K60" s="2704">
        <v>0.83</v>
      </c>
      <c r="L60" s="2705">
        <v>0.06</v>
      </c>
      <c r="N60" s="2736">
        <f t="shared" si="71"/>
        <v>2.2725428130833527E-2</v>
      </c>
      <c r="O60" s="2737">
        <f t="shared" si="71"/>
        <v>1.7012227538543329E-2</v>
      </c>
      <c r="P60" s="2737">
        <f t="shared" si="72"/>
        <v>3.6925814703592477E-2</v>
      </c>
      <c r="Q60" s="2737">
        <f t="shared" si="72"/>
        <v>2.8846153846153744E-2</v>
      </c>
      <c r="R60" s="2690"/>
      <c r="S60" s="2688"/>
      <c r="T60" s="2689"/>
      <c r="U60" s="2689"/>
      <c r="V60" s="2689"/>
      <c r="X60" s="2738"/>
      <c r="Y60" s="2738"/>
      <c r="Z60" s="2738"/>
    </row>
    <row r="61" spans="1:26">
      <c r="A61" s="2679" t="s">
        <v>2622</v>
      </c>
      <c r="B61" s="2693">
        <f t="shared" si="73"/>
        <v>116.99099099099099</v>
      </c>
      <c r="C61" s="2693">
        <f t="shared" si="73"/>
        <v>118.84848484848486</v>
      </c>
      <c r="D61" s="2693">
        <f t="shared" si="39"/>
        <v>118.84848484848486</v>
      </c>
      <c r="E61" s="2693">
        <f t="shared" si="74"/>
        <v>117.60960960960961</v>
      </c>
      <c r="F61" s="2693">
        <f t="shared" si="74"/>
        <v>104</v>
      </c>
      <c r="G61" s="3481">
        <v>2004</v>
      </c>
      <c r="H61" s="2684">
        <v>2</v>
      </c>
      <c r="I61" s="2684">
        <v>1</v>
      </c>
      <c r="J61" s="2684">
        <v>1.5</v>
      </c>
      <c r="K61" s="2684">
        <v>1.5</v>
      </c>
      <c r="L61" s="2695">
        <v>0</v>
      </c>
      <c r="N61" s="2736">
        <f t="shared" si="71"/>
        <v>4.0581121662202721E-2</v>
      </c>
      <c r="O61" s="2737">
        <f t="shared" si="71"/>
        <v>3.1897926634768738E-2</v>
      </c>
      <c r="P61" s="2737">
        <f t="shared" si="72"/>
        <v>6.6733400066733395E-2</v>
      </c>
      <c r="Q61" s="2737">
        <f t="shared" si="72"/>
        <v>0</v>
      </c>
      <c r="R61" s="2690"/>
      <c r="S61" s="2688"/>
      <c r="T61" s="2689"/>
      <c r="U61" s="2689"/>
      <c r="V61" s="2689"/>
      <c r="X61" s="2738"/>
      <c r="Y61" s="2738"/>
      <c r="Z61" s="2738"/>
    </row>
    <row r="62" spans="1:26" s="2729" customFormat="1" ht="13.5" thickBot="1">
      <c r="A62" s="2679" t="s">
        <v>2623</v>
      </c>
      <c r="B62" s="2726">
        <f t="shared" si="73"/>
        <v>112.48648648648648</v>
      </c>
      <c r="C62" s="2726">
        <f t="shared" si="73"/>
        <v>115.21212121212122</v>
      </c>
      <c r="D62" s="2726">
        <f t="shared" si="39"/>
        <v>115.21212121212122</v>
      </c>
      <c r="E62" s="2726">
        <f t="shared" si="74"/>
        <v>110.4024024024024</v>
      </c>
      <c r="F62" s="2726">
        <f t="shared" si="74"/>
        <v>104</v>
      </c>
      <c r="G62" s="3482">
        <v>2004</v>
      </c>
      <c r="H62" s="2727">
        <v>1</v>
      </c>
      <c r="I62" s="2727">
        <v>0.33</v>
      </c>
      <c r="J62" s="2727">
        <v>0.5</v>
      </c>
      <c r="K62" s="2727">
        <v>0.5</v>
      </c>
      <c r="L62" s="2728">
        <v>0</v>
      </c>
      <c r="N62" s="2741">
        <f t="shared" si="71"/>
        <v>1.3391770148526898E-2</v>
      </c>
      <c r="O62" s="2742">
        <f t="shared" si="71"/>
        <v>1.063264221158958E-2</v>
      </c>
      <c r="P62" s="2742">
        <f t="shared" si="72"/>
        <v>2.2244466688911134E-2</v>
      </c>
      <c r="Q62" s="2742">
        <f t="shared" si="72"/>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2624</v>
      </c>
      <c r="B63" s="2744">
        <v>111</v>
      </c>
      <c r="C63" s="2744">
        <v>114</v>
      </c>
      <c r="D63" s="2744">
        <f t="shared" si="39"/>
        <v>114</v>
      </c>
      <c r="E63" s="2744">
        <v>108</v>
      </c>
      <c r="F63" s="2745">
        <v>104</v>
      </c>
      <c r="G63" s="3480">
        <v>2003</v>
      </c>
      <c r="H63" s="2734">
        <v>4</v>
      </c>
      <c r="I63" s="2746"/>
      <c r="J63" s="2746"/>
      <c r="K63" s="2746"/>
      <c r="L63" s="2746"/>
      <c r="N63" s="2747"/>
      <c r="O63" s="2746"/>
      <c r="P63" s="2746"/>
      <c r="Q63" s="2746"/>
      <c r="S63" s="2747"/>
      <c r="T63" s="2746"/>
      <c r="U63" s="2746"/>
      <c r="V63" s="2746"/>
      <c r="X63" s="2738"/>
      <c r="Y63" s="2738"/>
      <c r="Z63" s="2738"/>
    </row>
    <row r="64" spans="1:26">
      <c r="A64" s="2679" t="s">
        <v>2625</v>
      </c>
      <c r="B64" s="2748">
        <f t="shared" ref="B64:C66" si="75">B65+(B$63-B$67)/4</f>
        <v>109.75</v>
      </c>
      <c r="C64" s="2748">
        <f t="shared" si="75"/>
        <v>112.25</v>
      </c>
      <c r="D64" s="2748">
        <f t="shared" si="39"/>
        <v>112.25</v>
      </c>
      <c r="E64" s="2748">
        <f t="shared" ref="E64:F66" si="76">E65+(E$63-E$67)/4</f>
        <v>107.25</v>
      </c>
      <c r="F64" s="2748">
        <f t="shared" si="76"/>
        <v>103.5</v>
      </c>
      <c r="G64" s="3481">
        <v>2003</v>
      </c>
      <c r="H64" s="2704">
        <v>3</v>
      </c>
      <c r="I64" s="2746"/>
      <c r="J64" s="2746"/>
      <c r="K64" s="2746"/>
      <c r="L64" s="2746"/>
      <c r="X64" s="2738"/>
      <c r="Y64" s="2738"/>
      <c r="Z64" s="2738"/>
    </row>
    <row r="65" spans="1:26">
      <c r="A65" s="2679" t="s">
        <v>2626</v>
      </c>
      <c r="B65" s="2748">
        <f t="shared" si="75"/>
        <v>108.5</v>
      </c>
      <c r="C65" s="2748">
        <f t="shared" si="75"/>
        <v>110.5</v>
      </c>
      <c r="D65" s="2748">
        <f t="shared" si="39"/>
        <v>110.5</v>
      </c>
      <c r="E65" s="2748">
        <f t="shared" si="76"/>
        <v>106.5</v>
      </c>
      <c r="F65" s="2748">
        <f t="shared" si="76"/>
        <v>103</v>
      </c>
      <c r="G65" s="3481">
        <v>2003</v>
      </c>
      <c r="H65" s="2684">
        <v>2</v>
      </c>
      <c r="I65" s="2746"/>
      <c r="J65" s="2746"/>
      <c r="K65" s="2746"/>
      <c r="L65" s="2746"/>
      <c r="X65" s="2738"/>
      <c r="Y65" s="2738"/>
      <c r="Z65" s="2738"/>
    </row>
    <row r="66" spans="1:26" ht="13.5" thickBot="1">
      <c r="A66" s="2679" t="s">
        <v>2627</v>
      </c>
      <c r="B66" s="2748">
        <f t="shared" si="75"/>
        <v>107.25</v>
      </c>
      <c r="C66" s="2748">
        <f t="shared" si="75"/>
        <v>108.75</v>
      </c>
      <c r="D66" s="2748">
        <f t="shared" si="39"/>
        <v>108.75</v>
      </c>
      <c r="E66" s="2748">
        <f t="shared" si="76"/>
        <v>105.75</v>
      </c>
      <c r="F66" s="2748">
        <f t="shared" si="76"/>
        <v>102.5</v>
      </c>
      <c r="G66" s="3482">
        <v>2003</v>
      </c>
      <c r="H66" s="2749">
        <v>1</v>
      </c>
      <c r="I66" s="2746"/>
      <c r="J66" s="2746"/>
      <c r="K66" s="2746"/>
      <c r="L66" s="2746"/>
      <c r="S66" s="2688"/>
      <c r="T66" s="2689"/>
      <c r="U66" s="2689"/>
      <c r="X66" s="2738"/>
      <c r="Y66" s="2738"/>
      <c r="Z66" s="2738"/>
    </row>
    <row r="67" spans="1:26" ht="13.5" thickBot="1">
      <c r="A67" s="2679" t="s">
        <v>2628</v>
      </c>
      <c r="B67" s="2750">
        <v>106</v>
      </c>
      <c r="C67" s="2750">
        <v>107</v>
      </c>
      <c r="D67" s="2750">
        <f t="shared" si="39"/>
        <v>107</v>
      </c>
      <c r="E67" s="2750">
        <v>105</v>
      </c>
      <c r="F67" s="2751">
        <v>102</v>
      </c>
      <c r="G67" s="3480">
        <v>2002</v>
      </c>
      <c r="H67" s="2699">
        <v>4</v>
      </c>
      <c r="I67" s="2746"/>
      <c r="J67" s="2746"/>
      <c r="K67" s="2746"/>
      <c r="L67" s="2746"/>
      <c r="N67" s="2747"/>
      <c r="O67" s="2746"/>
      <c r="P67" s="2746"/>
      <c r="Q67" s="2746"/>
      <c r="S67" s="2747"/>
      <c r="T67" s="2746"/>
      <c r="U67" s="2746"/>
      <c r="V67" s="2746"/>
      <c r="X67" s="2738"/>
      <c r="Y67" s="2738"/>
      <c r="Z67" s="2738"/>
    </row>
    <row r="68" spans="1:26">
      <c r="A68" s="2679" t="s">
        <v>2629</v>
      </c>
      <c r="B68" s="2748">
        <f t="shared" ref="B68:C70" si="77">B69+(B$67-B$71)/4</f>
        <v>105</v>
      </c>
      <c r="C68" s="2748">
        <f t="shared" si="77"/>
        <v>106</v>
      </c>
      <c r="D68" s="2748">
        <f t="shared" si="39"/>
        <v>106</v>
      </c>
      <c r="E68" s="2748">
        <f t="shared" ref="E68:F70" si="78">E69+(E$67-E$71)/4</f>
        <v>104.5</v>
      </c>
      <c r="F68" s="2748">
        <f t="shared" si="78"/>
        <v>101.5</v>
      </c>
      <c r="G68" s="3481">
        <v>2002</v>
      </c>
      <c r="H68" s="2704">
        <v>3</v>
      </c>
      <c r="I68" s="2746"/>
      <c r="J68" s="2746"/>
      <c r="K68" s="2746"/>
      <c r="L68" s="2746"/>
      <c r="X68" s="2738"/>
      <c r="Y68" s="2738"/>
      <c r="Z68" s="2738"/>
    </row>
    <row r="69" spans="1:26">
      <c r="A69" s="2679" t="s">
        <v>2630</v>
      </c>
      <c r="B69" s="2748">
        <f t="shared" si="77"/>
        <v>104</v>
      </c>
      <c r="C69" s="2748">
        <f t="shared" si="77"/>
        <v>105</v>
      </c>
      <c r="D69" s="2748">
        <f t="shared" si="39"/>
        <v>105</v>
      </c>
      <c r="E69" s="2748">
        <f t="shared" si="78"/>
        <v>104</v>
      </c>
      <c r="F69" s="2748">
        <f t="shared" si="78"/>
        <v>101</v>
      </c>
      <c r="G69" s="3481">
        <v>2002</v>
      </c>
      <c r="H69" s="2684">
        <v>2</v>
      </c>
      <c r="I69" s="2746"/>
      <c r="J69" s="2746"/>
      <c r="K69" s="2746"/>
      <c r="L69" s="2746"/>
      <c r="X69" s="2738"/>
      <c r="Y69" s="2738"/>
      <c r="Z69" s="2738"/>
    </row>
    <row r="70" spans="1:26" s="2715" customFormat="1" ht="13.5" thickBot="1">
      <c r="A70" s="2711" t="s">
        <v>2631</v>
      </c>
      <c r="B70" s="2752">
        <f t="shared" si="77"/>
        <v>103</v>
      </c>
      <c r="C70" s="2752">
        <f t="shared" si="77"/>
        <v>104</v>
      </c>
      <c r="D70" s="2752">
        <f t="shared" si="39"/>
        <v>104</v>
      </c>
      <c r="E70" s="2752">
        <f t="shared" si="78"/>
        <v>103.5</v>
      </c>
      <c r="F70" s="2752">
        <f t="shared" si="78"/>
        <v>100.5</v>
      </c>
      <c r="G70" s="3482">
        <v>2002</v>
      </c>
      <c r="H70" s="2753">
        <v>1</v>
      </c>
      <c r="I70" s="2754"/>
      <c r="J70" s="2754"/>
      <c r="K70" s="2754"/>
      <c r="L70" s="2754"/>
      <c r="N70" s="2755"/>
      <c r="S70" s="2755"/>
      <c r="X70" s="2756"/>
      <c r="Y70" s="2756"/>
      <c r="Z70" s="2756"/>
    </row>
    <row r="71" spans="1:26" ht="13.5" thickBot="1">
      <c r="B71" s="2757">
        <v>102</v>
      </c>
      <c r="C71" s="2758">
        <v>103</v>
      </c>
      <c r="D71" s="2758">
        <f t="shared" si="3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2632</v>
      </c>
      <c r="G73" s="2762"/>
      <c r="N73" s="2762"/>
      <c r="S73" s="2762"/>
    </row>
    <row r="74" spans="1:26" s="2761" customFormat="1">
      <c r="A74" s="2761" t="s">
        <v>2633</v>
      </c>
      <c r="G74" s="2762"/>
      <c r="N74" s="2762"/>
      <c r="S74" s="2762"/>
    </row>
    <row r="75" spans="1:26" s="2761" customFormat="1">
      <c r="A75" s="2761" t="s">
        <v>2634</v>
      </c>
      <c r="G75" s="2762"/>
      <c r="I75" s="2763"/>
      <c r="J75" s="2763"/>
      <c r="K75" s="2763"/>
      <c r="L75" s="2763"/>
      <c r="N75" s="2764"/>
      <c r="O75" s="2763"/>
      <c r="P75" s="2763"/>
      <c r="Q75" s="2763"/>
      <c r="S75" s="2764"/>
      <c r="T75" s="2763"/>
      <c r="U75" s="2763"/>
      <c r="V75" s="2763"/>
    </row>
    <row r="76" spans="1:26" s="2761" customFormat="1">
      <c r="A76" s="2761" t="s">
        <v>2635</v>
      </c>
      <c r="G76" s="2762"/>
      <c r="N76" s="2762"/>
      <c r="S76" s="2762"/>
    </row>
    <row r="83" spans="7:22" ht="13.5" thickBot="1"/>
    <row r="84" spans="7:22">
      <c r="G84" s="2687"/>
      <c r="S84" s="2765" t="s">
        <v>2636</v>
      </c>
      <c r="T84" s="2766" t="s">
        <v>2637</v>
      </c>
      <c r="U84" s="2766" t="s">
        <v>2638</v>
      </c>
      <c r="V84" s="2766" t="s">
        <v>2639</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3" sqref="D33"/>
    </sheetView>
  </sheetViews>
  <sheetFormatPr defaultColWidth="9" defaultRowHeight="15"/>
  <cols>
    <col min="1" max="1" width="9" style="2060" customWidth="1"/>
    <col min="2" max="2" width="20.625" style="2099" customWidth="1"/>
    <col min="3" max="3" width="14.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3008</v>
      </c>
      <c r="D1" s="3152" t="s">
        <v>3016</v>
      </c>
      <c r="E1" s="2411" t="s">
        <v>2375</v>
      </c>
      <c r="F1" s="2412">
        <f ca="1">J53</f>
        <v>47.31</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0</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0</v>
      </c>
      <c r="D5" s="2520" t="s">
        <v>2462</v>
      </c>
      <c r="E5" s="2514"/>
      <c r="F5" s="2515"/>
      <c r="G5" s="1591"/>
      <c r="H5" s="781">
        <v>1</v>
      </c>
      <c r="I5" s="782" t="s">
        <v>2459</v>
      </c>
      <c r="J5" s="55">
        <f ca="1">J6+J10+J12</f>
        <v>0</v>
      </c>
      <c r="K5" s="2520" t="s">
        <v>2462</v>
      </c>
      <c r="L5" s="2514"/>
      <c r="M5" s="2515"/>
    </row>
    <row r="6" spans="1:33" ht="18" customHeight="1">
      <c r="A6" s="1830" t="s">
        <v>1824</v>
      </c>
      <c r="B6" s="3474" t="s">
        <v>2464</v>
      </c>
      <c r="C6" s="783">
        <f ca="1">ROUND(F6*F8*F7*(1-F9)/10000,0)</f>
        <v>0</v>
      </c>
      <c r="D6" s="2521" t="s">
        <v>2463</v>
      </c>
      <c r="E6" s="784" t="s">
        <v>1738</v>
      </c>
      <c r="F6" s="785">
        <f ca="1">INDIRECT("'数据-取费表'!u"&amp;$G$1)</f>
        <v>2.5</v>
      </c>
      <c r="G6" s="1591"/>
      <c r="H6" s="2528" t="s">
        <v>2469</v>
      </c>
      <c r="I6" s="3474" t="s">
        <v>2464</v>
      </c>
      <c r="J6" s="783">
        <f ca="1">ROUND(M6*M8*M7*(1-M9)/10000,0)</f>
        <v>0</v>
      </c>
      <c r="K6" s="341" t="s">
        <v>1737</v>
      </c>
      <c r="L6" s="784" t="s">
        <v>1738</v>
      </c>
      <c r="M6" s="785">
        <f ca="1">INDIRECT("'数据-取费表'!z"&amp;$G$1)</f>
        <v>0</v>
      </c>
    </row>
    <row r="7" spans="1:33" ht="18" customHeight="1">
      <c r="A7" s="2524"/>
      <c r="B7" s="3475"/>
      <c r="C7" s="788"/>
      <c r="D7" s="789"/>
      <c r="E7" s="784" t="s">
        <v>1739</v>
      </c>
      <c r="F7" s="785">
        <f ca="1">IF(INDIRECT("'数据-取费表'!ah"&amp;$G$1)="",INDIRECT("'数据-取费表'!k"&amp;$G$1),INDIRECT("'数据-取费表'!ah"&amp;$G$1))</f>
        <v>0</v>
      </c>
      <c r="G7" s="1591"/>
      <c r="H7" s="2513"/>
      <c r="I7" s="3475"/>
      <c r="J7" s="788"/>
      <c r="K7" s="789"/>
      <c r="L7" s="784" t="s">
        <v>1739</v>
      </c>
      <c r="M7" s="785">
        <f ca="1">F7</f>
        <v>0</v>
      </c>
    </row>
    <row r="8" spans="1:33" ht="18" customHeight="1">
      <c r="A8" s="2517"/>
      <c r="B8" s="3476"/>
      <c r="C8" s="788"/>
      <c r="D8" s="789"/>
      <c r="E8" s="784" t="s">
        <v>1740</v>
      </c>
      <c r="F8" s="785">
        <f ca="1">INDIRECT("'数据-取费表'!ai"&amp;$G$1)</f>
        <v>365</v>
      </c>
      <c r="G8" s="1591"/>
      <c r="H8" s="2513"/>
      <c r="I8" s="3476"/>
      <c r="J8" s="788"/>
      <c r="K8" s="789"/>
      <c r="L8" s="784" t="s">
        <v>1740</v>
      </c>
      <c r="M8" s="785">
        <f ca="1">INDIRECT("'数据-取费表'!ai"&amp;$G$1)</f>
        <v>365</v>
      </c>
    </row>
    <row r="9" spans="1:33" ht="18" customHeight="1">
      <c r="A9" s="786"/>
      <c r="B9" s="3477"/>
      <c r="C9" s="788"/>
      <c r="D9" s="789"/>
      <c r="E9" s="784" t="s">
        <v>1741</v>
      </c>
      <c r="F9" s="794">
        <f ca="1">INDIRECT("'数据-取费表'!w"&amp;$G$1)</f>
        <v>0.1</v>
      </c>
      <c r="G9" s="1591"/>
      <c r="H9" s="2529"/>
      <c r="I9" s="3476"/>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3223" t="s">
        <v>3017</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0</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0</v>
      </c>
      <c r="D14" s="3177" t="s">
        <v>1745</v>
      </c>
      <c r="E14" s="3176"/>
      <c r="F14" s="805"/>
      <c r="G14" s="1591"/>
      <c r="H14" s="1648" t="s">
        <v>1830</v>
      </c>
      <c r="I14" s="2231" t="s">
        <v>2826</v>
      </c>
      <c r="J14" s="53">
        <f ca="1">C29</f>
        <v>0</v>
      </c>
      <c r="K14" s="26"/>
      <c r="L14" s="801"/>
      <c r="M14" s="802"/>
    </row>
    <row r="15" spans="1:33" s="2064" customFormat="1" ht="18" customHeight="1" thickBot="1">
      <c r="A15" s="1647" t="s">
        <v>1885</v>
      </c>
      <c r="B15" s="784" t="s">
        <v>646</v>
      </c>
      <c r="C15" s="53">
        <f ca="1">ROUND(C14*F15,0)</f>
        <v>0</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0</v>
      </c>
      <c r="K16" s="1821" t="s">
        <v>1750</v>
      </c>
      <c r="L16" s="3179"/>
      <c r="M16" s="2515"/>
    </row>
    <row r="17" spans="1:33" s="2064"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3177" t="s">
        <v>1753</v>
      </c>
      <c r="L17" s="317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0</v>
      </c>
      <c r="D19" s="261" t="s">
        <v>1757</v>
      </c>
      <c r="E19" s="3181"/>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4"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v>
      </c>
      <c r="D21" s="812" t="s">
        <v>2298</v>
      </c>
      <c r="E21" s="784" t="s">
        <v>1765</v>
      </c>
      <c r="F21" s="809">
        <f>'数据-取费表'!B38</f>
        <v>0.02</v>
      </c>
      <c r="G21" s="1592"/>
      <c r="H21" s="2530"/>
      <c r="I21" s="793"/>
      <c r="J21" s="69"/>
      <c r="K21" s="816"/>
      <c r="L21" s="784" t="s">
        <v>1766</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3181"/>
      <c r="F22" s="56"/>
      <c r="G22" s="1591"/>
      <c r="H22" s="1648" t="s">
        <v>1889</v>
      </c>
      <c r="I22" s="784" t="s">
        <v>1768</v>
      </c>
      <c r="J22" s="53">
        <f ca="1">ROUND(J14*M22,0)</f>
        <v>0</v>
      </c>
      <c r="K22" s="317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0</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317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81"/>
      <c r="F25" s="56"/>
      <c r="G25" s="1591"/>
      <c r="H25" s="1829" t="s">
        <v>1776</v>
      </c>
      <c r="I25" s="3034" t="s">
        <v>2822</v>
      </c>
      <c r="J25" s="792">
        <f ca="1">J5-J16</f>
        <v>0</v>
      </c>
      <c r="K25" s="2572" t="s">
        <v>1777</v>
      </c>
      <c r="L25" s="2573"/>
      <c r="M25" s="2574"/>
    </row>
    <row r="26" spans="1:33" ht="18" customHeight="1">
      <c r="A26" s="1647" t="s">
        <v>1831</v>
      </c>
      <c r="B26" s="784" t="s">
        <v>2439</v>
      </c>
      <c r="C26" s="53">
        <f ca="1">ROUND((C19+C20)*F26,0)</f>
        <v>0</v>
      </c>
      <c r="D26" s="812" t="s">
        <v>1778</v>
      </c>
      <c r="E26" s="795" t="s">
        <v>1779</v>
      </c>
      <c r="F26" s="794">
        <f ca="1">INDIRECT("'数据-取费表'!q"&amp;$G$1)</f>
        <v>0.05</v>
      </c>
      <c r="G26" s="1591"/>
      <c r="H26" s="2526" t="s">
        <v>1780</v>
      </c>
      <c r="I26" s="2232" t="s">
        <v>2827</v>
      </c>
      <c r="J26" s="783">
        <f ca="1">IF(J5&lt;&gt;0,ROUND(J25*(1-((1+M28)/(1+M26))^M27)/(M26-M28),0),0)</f>
        <v>0</v>
      </c>
      <c r="K26" s="814" t="s">
        <v>1781</v>
      </c>
      <c r="L26" s="784" t="s">
        <v>2420</v>
      </c>
      <c r="M26" s="794">
        <f ca="1">INDIRECT("'数据-取费表'!I"&amp;$G$1)</f>
        <v>5.5E-2</v>
      </c>
    </row>
    <row r="27" spans="1:33" ht="18" customHeight="1">
      <c r="A27" s="1647" t="s">
        <v>1832</v>
      </c>
      <c r="B27" s="784" t="s">
        <v>685</v>
      </c>
      <c r="C27" s="53">
        <f ca="1">ROUND(F21*F26,4)</f>
        <v>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0</v>
      </c>
      <c r="D29" s="2569"/>
      <c r="E29" s="2570"/>
      <c r="F29" s="2571"/>
      <c r="G29" s="1592"/>
      <c r="H29" s="823" t="s">
        <v>1787</v>
      </c>
      <c r="I29" s="824" t="s">
        <v>1788</v>
      </c>
      <c r="J29" s="825">
        <f ca="1">ROUND(J26/(1+F40)^F41,0)</f>
        <v>0</v>
      </c>
      <c r="K29" s="826" t="s">
        <v>1789</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0</v>
      </c>
      <c r="D30" s="1821" t="s">
        <v>1791</v>
      </c>
      <c r="E30" s="3179"/>
      <c r="F30" s="2515"/>
      <c r="G30" s="2062"/>
      <c r="H30" s="2065"/>
      <c r="I30" s="2066"/>
      <c r="J30" s="2067"/>
      <c r="K30" s="2068"/>
      <c r="L30" s="2069"/>
      <c r="M30" s="2070"/>
    </row>
    <row r="31" spans="1:33" ht="18" customHeight="1">
      <c r="A31" s="1648" t="s">
        <v>1830</v>
      </c>
      <c r="B31" s="784" t="s">
        <v>655</v>
      </c>
      <c r="C31" s="53">
        <f ca="1">ROUND(IF(项目基本情况!B11="自然人",C5*F31,C32+C33+C34),1)</f>
        <v>0</v>
      </c>
      <c r="D31" s="3177" t="s">
        <v>1792</v>
      </c>
      <c r="E31" s="3178"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0</v>
      </c>
      <c r="D32" s="3178"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0</v>
      </c>
      <c r="D33" s="811" t="s">
        <v>3379</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0</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0</v>
      </c>
      <c r="G35" s="2062"/>
      <c r="H35" s="2065"/>
      <c r="I35" s="837" t="s">
        <v>1814</v>
      </c>
      <c r="J35" s="838">
        <f ca="1">ROUND(C13*J36,0)</f>
        <v>0</v>
      </c>
      <c r="K35" s="2078"/>
      <c r="L35" s="2077"/>
      <c r="M35" s="2077"/>
    </row>
    <row r="36" spans="1:18" ht="18" customHeight="1">
      <c r="A36" s="1648" t="s">
        <v>1889</v>
      </c>
      <c r="B36" s="784" t="s">
        <v>1802</v>
      </c>
      <c r="C36" s="53">
        <f ca="1">ROUND(C29*F36,1)</f>
        <v>0</v>
      </c>
      <c r="D36" s="3178"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v>
      </c>
      <c r="D37" s="3178"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0</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0</v>
      </c>
      <c r="D39" s="2572" t="s">
        <v>1806</v>
      </c>
      <c r="E39" s="2573"/>
      <c r="F39" s="2574"/>
      <c r="G39" s="2062"/>
      <c r="H39" s="2077"/>
      <c r="I39" s="837" t="s">
        <v>1818</v>
      </c>
      <c r="J39" s="845" t="e">
        <f ca="1">ROUND(J35/C39,3)</f>
        <v>#DIV/0!</v>
      </c>
      <c r="K39" s="2083"/>
      <c r="L39" s="2077"/>
      <c r="M39" s="2077"/>
    </row>
    <row r="40" spans="1:18" ht="18" customHeight="1">
      <c r="A40" s="781" t="s">
        <v>1895</v>
      </c>
      <c r="B40" s="2232" t="s">
        <v>2301</v>
      </c>
      <c r="C40" s="783">
        <f ca="1">ROUND(C39*(1-((1+F42)/(1+F40))^F41)/(F40-F42),0)</f>
        <v>0</v>
      </c>
      <c r="D40" s="814" t="s">
        <v>1807</v>
      </c>
      <c r="E40" s="784" t="s">
        <v>2420</v>
      </c>
      <c r="F40" s="794">
        <f ca="1">INDIRECT("'数据-取费表'!I"&amp;$G$1)</f>
        <v>5.5E-2</v>
      </c>
      <c r="G40" s="2062"/>
      <c r="H40" s="2062"/>
      <c r="I40" s="837" t="s">
        <v>1819</v>
      </c>
      <c r="J40" s="845" t="e">
        <f ca="1">1-J39</f>
        <v>#DIV/0!</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47.31</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t="e">
        <f ca="1">ROUND(C13/C40,3)</f>
        <v>#DIV/0!</v>
      </c>
      <c r="K42" s="2082"/>
      <c r="L42" s="1988"/>
      <c r="M42" s="1988"/>
    </row>
    <row r="43" spans="1:18" ht="18" customHeight="1" thickBot="1">
      <c r="A43" s="823" t="s">
        <v>1787</v>
      </c>
      <c r="B43" s="824" t="s">
        <v>1810</v>
      </c>
      <c r="C43" s="825" t="e">
        <f ca="1">ROUND(C40*10000/F43,0)</f>
        <v>#DIV/0!</v>
      </c>
      <c r="D43" s="826" t="s">
        <v>1811</v>
      </c>
      <c r="E43" s="827" t="s">
        <v>1812</v>
      </c>
      <c r="F43" s="828">
        <f ca="1">INDIRECT("'数据-取费表'!k"&amp;$G$1)</f>
        <v>0</v>
      </c>
      <c r="G43" s="2062"/>
      <c r="H43" s="1988"/>
      <c r="I43" s="847" t="s">
        <v>1822</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0</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3018</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49.31</v>
      </c>
      <c r="O48" s="2422" t="s">
        <v>2380</v>
      </c>
      <c r="P48" s="2423" t="s">
        <v>2406</v>
      </c>
      <c r="Q48" s="2424">
        <f ca="1">C40+J29</f>
        <v>0</v>
      </c>
      <c r="R48" s="2423" t="s">
        <v>2381</v>
      </c>
    </row>
    <row r="49" spans="1:18" s="2059" customFormat="1" ht="18" customHeight="1" thickBot="1">
      <c r="A49" s="786"/>
      <c r="B49" s="787"/>
      <c r="C49" s="788"/>
      <c r="D49" s="789"/>
      <c r="E49" s="784" t="s">
        <v>1739</v>
      </c>
      <c r="F49" s="785">
        <f ca="1">F7</f>
        <v>0</v>
      </c>
      <c r="G49" s="2090"/>
      <c r="H49" s="2093"/>
      <c r="I49" s="2383" t="s">
        <v>2346</v>
      </c>
      <c r="J49" s="2393">
        <v>2021</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0</v>
      </c>
      <c r="R50" s="2423" t="s">
        <v>2381</v>
      </c>
    </row>
    <row r="51" spans="1:18" s="2059" customFormat="1" ht="18" customHeight="1" thickBot="1">
      <c r="A51" s="786"/>
      <c r="B51" s="787"/>
      <c r="C51" s="788"/>
      <c r="D51" s="789"/>
      <c r="E51" s="784" t="s">
        <v>639</v>
      </c>
      <c r="F51" s="2371"/>
      <c r="H51" s="2093"/>
      <c r="I51" s="2384" t="s">
        <v>2348</v>
      </c>
      <c r="J51" s="2397">
        <f>IF(J49="",J50,J49+J50-YEAR('数据-取费表'!B2))</f>
        <v>63</v>
      </c>
      <c r="K51" s="2383" t="s">
        <v>2355</v>
      </c>
      <c r="L51" s="2398">
        <f ca="1">ROUND(-PV(INDIRECT("'数据-取费表'!h"&amp;$G$1),L48,(C39-C13*J36),0),0)</f>
        <v>0</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47.31</v>
      </c>
      <c r="K53" s="3490" t="s">
        <v>2966</v>
      </c>
      <c r="L53" s="3491"/>
      <c r="O53" s="2425" t="s">
        <v>2389</v>
      </c>
      <c r="P53" s="2423" t="s">
        <v>2390</v>
      </c>
      <c r="Q53" s="2424">
        <f ca="1">J53</f>
        <v>47.31</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0</v>
      </c>
      <c r="R54" s="2427" t="s">
        <v>2393</v>
      </c>
    </row>
    <row r="55" spans="1:18" s="2059" customFormat="1" ht="18" customHeight="1" thickTop="1" thickBot="1">
      <c r="A55" s="797">
        <v>2</v>
      </c>
      <c r="B55" s="798" t="s">
        <v>643</v>
      </c>
      <c r="C55" s="799">
        <f ca="1">C13</f>
        <v>0</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0</v>
      </c>
      <c r="D56" s="3178"/>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0</v>
      </c>
      <c r="D57" s="26" t="s">
        <v>1750</v>
      </c>
      <c r="E57" s="3181"/>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0</v>
      </c>
      <c r="R57" s="2423" t="s">
        <v>2381</v>
      </c>
    </row>
    <row r="58" spans="1:18" s="2059" customFormat="1" ht="28.5" customHeight="1" thickBot="1">
      <c r="A58" s="1648" t="s">
        <v>1824</v>
      </c>
      <c r="B58" s="784" t="s">
        <v>655</v>
      </c>
      <c r="C58" s="53">
        <f ca="1">ROUND(IF(项目基本情况!B11="自然人",C47*F58,C59+C60+C61),1)</f>
        <v>0</v>
      </c>
      <c r="D58" s="3177" t="s">
        <v>656</v>
      </c>
      <c r="E58" s="3178"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3178"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0</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0</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0</v>
      </c>
      <c r="D63" s="3178" t="s">
        <v>1803</v>
      </c>
      <c r="E63" s="784" t="s">
        <v>1747</v>
      </c>
      <c r="F63" s="817">
        <f t="shared" ca="1" si="0"/>
        <v>1.4999999999999999E-2</v>
      </c>
      <c r="I63" s="2409" t="s">
        <v>2371</v>
      </c>
      <c r="J63" s="2410">
        <v>70</v>
      </c>
      <c r="K63" s="2410">
        <v>50</v>
      </c>
      <c r="L63" s="2410">
        <v>80</v>
      </c>
      <c r="M63" s="3126">
        <v>0.02</v>
      </c>
      <c r="O63" s="2422" t="s">
        <v>2392</v>
      </c>
      <c r="P63" s="2423" t="s">
        <v>2409</v>
      </c>
      <c r="Q63" s="2424">
        <f ca="1">Q57+Q58</f>
        <v>0</v>
      </c>
      <c r="R63" s="2427" t="s">
        <v>2393</v>
      </c>
    </row>
    <row r="64" spans="1:18" s="2059" customFormat="1" ht="16.5" thickBot="1">
      <c r="A64" s="1648" t="s">
        <v>1890</v>
      </c>
      <c r="B64" s="784" t="s">
        <v>678</v>
      </c>
      <c r="C64" s="53">
        <f ca="1">ROUND(C55*F64,1)</f>
        <v>0</v>
      </c>
      <c r="D64" s="3178"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3178"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0</v>
      </c>
      <c r="D66" s="3177" t="s">
        <v>699</v>
      </c>
      <c r="E66" s="3175"/>
      <c r="F66" s="820"/>
      <c r="K66" s="2086"/>
      <c r="O66" s="2422" t="s">
        <v>2380</v>
      </c>
      <c r="P66" s="2423" t="s">
        <v>2410</v>
      </c>
      <c r="Q66" s="2424">
        <f ca="1">C40+J29</f>
        <v>0</v>
      </c>
      <c r="R66" s="2423" t="s">
        <v>2381</v>
      </c>
    </row>
    <row r="67" spans="1:18" s="2059" customFormat="1" ht="20.25" thickBot="1">
      <c r="A67" s="781" t="s">
        <v>1780</v>
      </c>
      <c r="B67" s="2232" t="s">
        <v>2301</v>
      </c>
      <c r="C67" s="783">
        <f ca="1">ROUND(C66*(1-((1+F69)/(1+F67))^F68)/(F67-F69),0)</f>
        <v>0</v>
      </c>
      <c r="D67" s="814" t="s">
        <v>703</v>
      </c>
      <c r="E67" s="784" t="s">
        <v>704</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47.31</v>
      </c>
      <c r="O68" s="2425" t="s">
        <v>2384</v>
      </c>
      <c r="P68" s="2423" t="s">
        <v>2414</v>
      </c>
      <c r="Q68" s="2429">
        <f ca="1">L51</f>
        <v>0</v>
      </c>
      <c r="R68" s="2430" t="s">
        <v>2417</v>
      </c>
    </row>
    <row r="69" spans="1:18" ht="20.25" thickBot="1">
      <c r="A69" s="790"/>
      <c r="B69" s="791"/>
      <c r="C69" s="792"/>
      <c r="D69" s="816"/>
      <c r="E69" s="784" t="s">
        <v>709</v>
      </c>
      <c r="F69" s="2371"/>
      <c r="O69" s="2425" t="s">
        <v>2385</v>
      </c>
      <c r="P69" s="2431" t="s">
        <v>2399</v>
      </c>
      <c r="Q69" s="2424">
        <f ca="1">ROUND(Q70-Q71*Q72,0)</f>
        <v>0</v>
      </c>
      <c r="R69" s="2427"/>
    </row>
    <row r="70" spans="1:18" ht="15.75" thickBot="1">
      <c r="A70" s="823" t="s">
        <v>1787</v>
      </c>
      <c r="B70" s="824" t="s">
        <v>1810</v>
      </c>
      <c r="C70" s="825" t="e">
        <f ca="1">ROUND(C67*10000/F70,0)</f>
        <v>#DIV/0!</v>
      </c>
      <c r="D70" s="826" t="s">
        <v>1811</v>
      </c>
      <c r="E70" s="827" t="s">
        <v>1812</v>
      </c>
      <c r="F70" s="828">
        <f ca="1">F43</f>
        <v>0</v>
      </c>
      <c r="O70" s="2425" t="s">
        <v>2400</v>
      </c>
      <c r="P70" s="2431" t="s">
        <v>2401</v>
      </c>
      <c r="Q70" s="2424">
        <f ca="1">C39</f>
        <v>0</v>
      </c>
      <c r="R70" s="2423" t="s">
        <v>2381</v>
      </c>
    </row>
    <row r="71" spans="1:18" ht="15.75" thickBot="1">
      <c r="O71" s="2425" t="s">
        <v>2402</v>
      </c>
      <c r="P71" s="2431" t="s">
        <v>2403</v>
      </c>
      <c r="Q71" s="2424">
        <f ca="1">C13</f>
        <v>0</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0</v>
      </c>
      <c r="R76" s="242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31" sqref="H31:K33"/>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35</v>
      </c>
      <c r="D1" s="3152" t="s">
        <v>3016</v>
      </c>
      <c r="E1" s="2411" t="s">
        <v>2375</v>
      </c>
      <c r="F1" s="2412">
        <f ca="1">J53</f>
        <v>47.31</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35020</v>
      </c>
      <c r="C2" s="2057"/>
      <c r="D2" s="2055"/>
      <c r="E2" s="2056"/>
      <c r="F2" s="2056"/>
      <c r="G2" s="1589"/>
      <c r="H2" s="2057"/>
      <c r="I2" s="2057"/>
      <c r="J2" s="2057"/>
      <c r="K2" s="2058"/>
      <c r="L2" s="2057"/>
      <c r="M2" s="2057"/>
    </row>
    <row r="3" spans="1:33" ht="18" customHeight="1" thickBot="1">
      <c r="A3" s="833" t="s">
        <v>1727</v>
      </c>
      <c r="B3" s="834">
        <f ca="1">IF(ISERROR(B2*10000/F43),0,ROUND(B2*10000/F43,0))</f>
        <v>9006</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1898</v>
      </c>
      <c r="D5" s="2520" t="s">
        <v>2462</v>
      </c>
      <c r="E5" s="2514"/>
      <c r="F5" s="2515"/>
      <c r="G5" s="1591"/>
      <c r="H5" s="781">
        <v>1</v>
      </c>
      <c r="I5" s="782" t="s">
        <v>2459</v>
      </c>
      <c r="J5" s="55">
        <f ca="1">J6+J10+J12</f>
        <v>0</v>
      </c>
      <c r="K5" s="2520" t="s">
        <v>2462</v>
      </c>
      <c r="L5" s="2514"/>
      <c r="M5" s="2515"/>
    </row>
    <row r="6" spans="1:33" ht="18" customHeight="1">
      <c r="A6" s="1830" t="s">
        <v>1824</v>
      </c>
      <c r="B6" s="3474" t="s">
        <v>2464</v>
      </c>
      <c r="C6" s="783">
        <f ca="1">ROUND(F6*F8*F7*(1-F9)/10000,0)</f>
        <v>1898</v>
      </c>
      <c r="D6" s="2521" t="s">
        <v>2463</v>
      </c>
      <c r="E6" s="784" t="s">
        <v>1738</v>
      </c>
      <c r="F6" s="785">
        <f ca="1">INDIRECT("'数据-取费表'!u"&amp;$G$1)</f>
        <v>1500</v>
      </c>
      <c r="G6" s="1591"/>
      <c r="H6" s="2528" t="s">
        <v>2469</v>
      </c>
      <c r="I6" s="3474" t="s">
        <v>2464</v>
      </c>
      <c r="J6" s="783">
        <f ca="1">ROUND(M6*M8*M7*(1-M9)/10000,0)</f>
        <v>0</v>
      </c>
      <c r="K6" s="341" t="s">
        <v>1737</v>
      </c>
      <c r="L6" s="784" t="s">
        <v>1738</v>
      </c>
      <c r="M6" s="785">
        <f ca="1">INDIRECT("'数据-取费表'!z"&amp;$G$1)</f>
        <v>0</v>
      </c>
    </row>
    <row r="7" spans="1:33" ht="18" customHeight="1">
      <c r="A7" s="2524"/>
      <c r="B7" s="3475"/>
      <c r="C7" s="788"/>
      <c r="D7" s="789"/>
      <c r="E7" s="784" t="s">
        <v>1739</v>
      </c>
      <c r="F7" s="785">
        <f ca="1">IF(INDIRECT("'数据-取费表'!ah"&amp;$G$1)="",INDIRECT("'数据-取费表'!k"&amp;$G$1),INDIRECT("'数据-取费表'!ah"&amp;$G$1))</f>
        <v>1110</v>
      </c>
      <c r="G7" s="1591"/>
      <c r="H7" s="2513"/>
      <c r="I7" s="3475"/>
      <c r="J7" s="788"/>
      <c r="K7" s="789"/>
      <c r="L7" s="784" t="s">
        <v>1739</v>
      </c>
      <c r="M7" s="785">
        <f ca="1">F7</f>
        <v>1110</v>
      </c>
    </row>
    <row r="8" spans="1:33" ht="18" customHeight="1">
      <c r="A8" s="2517"/>
      <c r="B8" s="3476"/>
      <c r="C8" s="788"/>
      <c r="D8" s="789"/>
      <c r="E8" s="784" t="s">
        <v>1740</v>
      </c>
      <c r="F8" s="785">
        <f ca="1">INDIRECT("'数据-取费表'!ai"&amp;$G$1)</f>
        <v>12</v>
      </c>
      <c r="G8" s="1591"/>
      <c r="H8" s="2513"/>
      <c r="I8" s="3476"/>
      <c r="J8" s="788"/>
      <c r="K8" s="789"/>
      <c r="L8" s="784" t="s">
        <v>1740</v>
      </c>
      <c r="M8" s="785">
        <f ca="1">INDIRECT("'数据-取费表'!ai"&amp;$G$1)</f>
        <v>12</v>
      </c>
    </row>
    <row r="9" spans="1:33" ht="18" customHeight="1">
      <c r="A9" s="786"/>
      <c r="B9" s="3477"/>
      <c r="C9" s="788"/>
      <c r="D9" s="789"/>
      <c r="E9" s="784" t="s">
        <v>1741</v>
      </c>
      <c r="F9" s="794">
        <f ca="1">INDIRECT("'数据-取费表'!w"&amp;$G$1)</f>
        <v>0.05</v>
      </c>
      <c r="G9" s="1591"/>
      <c r="H9" s="2529"/>
      <c r="I9" s="3476"/>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2645" t="s">
        <v>3019</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14601</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11009</v>
      </c>
      <c r="D14" s="3177" t="s">
        <v>1745</v>
      </c>
      <c r="E14" s="3176"/>
      <c r="F14" s="805"/>
      <c r="G14" s="1591"/>
      <c r="H14" s="1648" t="s">
        <v>1830</v>
      </c>
      <c r="I14" s="2231" t="s">
        <v>2826</v>
      </c>
      <c r="J14" s="53">
        <f ca="1">C29</f>
        <v>14601</v>
      </c>
      <c r="K14" s="26"/>
      <c r="L14" s="801"/>
      <c r="M14" s="802"/>
    </row>
    <row r="15" spans="1:33" s="2064" customFormat="1" ht="18" customHeight="1" thickBot="1">
      <c r="A15" s="1647" t="s">
        <v>1885</v>
      </c>
      <c r="B15" s="784" t="s">
        <v>646</v>
      </c>
      <c r="C15" s="53">
        <f ca="1">ROUND(C14*F15,0)</f>
        <v>330</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345</v>
      </c>
      <c r="K16" s="1821" t="s">
        <v>1750</v>
      </c>
      <c r="L16" s="3179"/>
      <c r="M16" s="2515"/>
    </row>
    <row r="17" spans="1:33" s="2064" customFormat="1" ht="18" customHeight="1">
      <c r="A17" s="1647" t="s">
        <v>1887</v>
      </c>
      <c r="B17" s="784" t="s">
        <v>652</v>
      </c>
      <c r="C17" s="53">
        <f ca="1">ROUND(F17*(F43+INDIRECT("'数据-取费表'!S"&amp;$G$1))/10000,0)</f>
        <v>786</v>
      </c>
      <c r="D17" s="784" t="s">
        <v>1751</v>
      </c>
      <c r="E17" s="784" t="s">
        <v>1752</v>
      </c>
      <c r="F17" s="56">
        <f>'数据-取费表'!B35</f>
        <v>200</v>
      </c>
      <c r="G17" s="1592"/>
      <c r="H17" s="1648" t="s">
        <v>1830</v>
      </c>
      <c r="I17" s="784" t="s">
        <v>655</v>
      </c>
      <c r="J17" s="53">
        <f ca="1">ROUND(IF(项目基本情况!B11="自然人",J5*M17,J18+J19+J20),0)</f>
        <v>126</v>
      </c>
      <c r="K17" s="3177" t="s">
        <v>1753</v>
      </c>
      <c r="L17" s="317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165</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12290</v>
      </c>
      <c r="D19" s="261" t="s">
        <v>1757</v>
      </c>
      <c r="E19" s="3181"/>
      <c r="F19" s="56"/>
      <c r="G19" s="1591"/>
      <c r="H19" s="1647" t="s">
        <v>1885</v>
      </c>
      <c r="I19" s="784" t="s">
        <v>1758</v>
      </c>
      <c r="J19" s="53">
        <f ca="1">IF(K19="按租金收入计税",ROUND(J5*M19,1),ROUND(C29*F33*0.7,1))</f>
        <v>122.6</v>
      </c>
      <c r="K19" s="811" t="s">
        <v>664</v>
      </c>
      <c r="L19" s="784" t="s">
        <v>1747</v>
      </c>
      <c r="M19" s="809">
        <f>IF(K19="按租金收入计税",'数据-取费表'!B51,'数据-取费表'!B50)</f>
        <v>1.2E-2</v>
      </c>
    </row>
    <row r="20" spans="1:33" s="2064" customFormat="1" ht="18" customHeight="1">
      <c r="A20" s="1648" t="s">
        <v>1889</v>
      </c>
      <c r="B20" s="784" t="s">
        <v>665</v>
      </c>
      <c r="C20" s="53">
        <f ca="1">ROUND(C19*F20,0)</f>
        <v>246</v>
      </c>
      <c r="D20" s="812" t="s">
        <v>1759</v>
      </c>
      <c r="E20" s="784" t="s">
        <v>1747</v>
      </c>
      <c r="F20" s="809">
        <f>'数据-取费表'!B37</f>
        <v>0.02</v>
      </c>
      <c r="G20" s="1592"/>
      <c r="H20" s="1650" t="s">
        <v>1880</v>
      </c>
      <c r="I20" s="341" t="s">
        <v>1760</v>
      </c>
      <c r="J20" s="54">
        <f ca="1">ROUND(M20*M21/10000,0)</f>
        <v>3</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v>
      </c>
      <c r="D21" s="812" t="s">
        <v>2298</v>
      </c>
      <c r="E21" s="784" t="s">
        <v>1765</v>
      </c>
      <c r="F21" s="809">
        <f>'数据-取费表'!B38</f>
        <v>0.02</v>
      </c>
      <c r="G21" s="1592"/>
      <c r="H21" s="2530"/>
      <c r="I21" s="793"/>
      <c r="J21" s="69"/>
      <c r="K21" s="816"/>
      <c r="L21" s="784" t="s">
        <v>1766</v>
      </c>
      <c r="M21" s="785">
        <f ca="1">INDIRECT("'数据-取费表'!r"&amp;$G$1)</f>
        <v>10793.92</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3181"/>
      <c r="F22" s="56"/>
      <c r="G22" s="1591"/>
      <c r="H22" s="1648" t="s">
        <v>1889</v>
      </c>
      <c r="I22" s="784" t="s">
        <v>1768</v>
      </c>
      <c r="J22" s="53">
        <f ca="1">ROUND(J14*M22,0)</f>
        <v>219</v>
      </c>
      <c r="K22" s="317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595</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317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81"/>
      <c r="F25" s="56"/>
      <c r="G25" s="1591"/>
      <c r="H25" s="1829" t="s">
        <v>1776</v>
      </c>
      <c r="I25" s="3034" t="s">
        <v>2822</v>
      </c>
      <c r="J25" s="792">
        <f ca="1">J5-J16</f>
        <v>-345</v>
      </c>
      <c r="K25" s="2572" t="s">
        <v>1777</v>
      </c>
      <c r="L25" s="2573"/>
      <c r="M25" s="2574"/>
    </row>
    <row r="26" spans="1:33" ht="18" customHeight="1">
      <c r="A26" s="1647" t="s">
        <v>1831</v>
      </c>
      <c r="B26" s="784" t="s">
        <v>2439</v>
      </c>
      <c r="C26" s="53">
        <f ca="1">ROUND((C19+C20)*F26,0)</f>
        <v>376</v>
      </c>
      <c r="D26" s="812" t="s">
        <v>1778</v>
      </c>
      <c r="E26" s="795" t="s">
        <v>1779</v>
      </c>
      <c r="F26" s="794">
        <f ca="1">INDIRECT("'数据-取费表'!q"&amp;$G$1)</f>
        <v>0.03</v>
      </c>
      <c r="G26" s="1591"/>
      <c r="H26" s="2526" t="s">
        <v>1780</v>
      </c>
      <c r="I26" s="2232" t="s">
        <v>2827</v>
      </c>
      <c r="J26" s="783">
        <f ca="1">IF(J5&lt;&gt;0,ROUND(J25*(1-((1+M28)/(1+M26))^M27)/(M26-M28),0),0)</f>
        <v>0</v>
      </c>
      <c r="K26" s="814" t="s">
        <v>1781</v>
      </c>
      <c r="L26" s="784" t="s">
        <v>2420</v>
      </c>
      <c r="M26" s="794">
        <f ca="1">INDIRECT("'数据-取费表'!I"&amp;$G$1)</f>
        <v>5.5E-2</v>
      </c>
    </row>
    <row r="27" spans="1:33" ht="18" customHeight="1">
      <c r="A27" s="1647" t="s">
        <v>1832</v>
      </c>
      <c r="B27" s="784" t="s">
        <v>685</v>
      </c>
      <c r="C27" s="53">
        <f ca="1">ROUND(F21*F26,4)</f>
        <v>5.9999999999999995E-4</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14601</v>
      </c>
      <c r="D29" s="2569"/>
      <c r="E29" s="2570"/>
      <c r="F29" s="2571"/>
      <c r="G29" s="1592"/>
      <c r="H29" s="823" t="s">
        <v>1787</v>
      </c>
      <c r="I29" s="824" t="s">
        <v>1788</v>
      </c>
      <c r="J29" s="825">
        <f ca="1">ROUND(J26/(1+F40)^F41,0)</f>
        <v>0</v>
      </c>
      <c r="K29" s="826" t="s">
        <v>1789</v>
      </c>
      <c r="L29" s="827"/>
      <c r="M29" s="828">
        <f ca="1">INDIRECT("'数据-取费表'!k"&amp;$G$1)</f>
        <v>38883.97</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487</v>
      </c>
      <c r="D30" s="1821" t="s">
        <v>1791</v>
      </c>
      <c r="E30" s="3179"/>
      <c r="F30" s="2515"/>
      <c r="G30" s="2062"/>
      <c r="H30" s="2065"/>
      <c r="I30" s="2066"/>
      <c r="J30" s="2067"/>
      <c r="K30" s="2068"/>
      <c r="L30" s="2069"/>
      <c r="M30" s="2070"/>
    </row>
    <row r="31" spans="1:33" ht="18" customHeight="1">
      <c r="A31" s="1648" t="s">
        <v>1830</v>
      </c>
      <c r="B31" s="784" t="s">
        <v>655</v>
      </c>
      <c r="C31" s="53">
        <f ca="1">ROUND(IF(项目基本情况!B11="自然人",C5*F31,C32+C33+C34),1)</f>
        <v>227</v>
      </c>
      <c r="D31" s="3177" t="s">
        <v>1792</v>
      </c>
      <c r="E31" s="3178"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101.2</v>
      </c>
      <c r="D32" s="3178"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122.6</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3.2</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10793.92</v>
      </c>
      <c r="G35" s="2062"/>
      <c r="H35" s="2065"/>
      <c r="I35" s="837" t="s">
        <v>1814</v>
      </c>
      <c r="J35" s="838">
        <f ca="1">ROUND(C13*J36,0)</f>
        <v>1241</v>
      </c>
      <c r="K35" s="2078"/>
      <c r="L35" s="2077"/>
      <c r="M35" s="2077"/>
    </row>
    <row r="36" spans="1:18" ht="18" customHeight="1">
      <c r="A36" s="1648" t="s">
        <v>1889</v>
      </c>
      <c r="B36" s="784" t="s">
        <v>1802</v>
      </c>
      <c r="C36" s="53">
        <f ca="1">ROUND(C29*F36,1)</f>
        <v>219</v>
      </c>
      <c r="D36" s="3178"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21.9</v>
      </c>
      <c r="D37" s="3178"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19</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1411</v>
      </c>
      <c r="D39" s="2572" t="s">
        <v>1806</v>
      </c>
      <c r="E39" s="2573"/>
      <c r="F39" s="2574"/>
      <c r="G39" s="2062"/>
      <c r="H39" s="2077"/>
      <c r="I39" s="837" t="s">
        <v>1818</v>
      </c>
      <c r="J39" s="845">
        <f ca="1">ROUND(J35/C39,3)</f>
        <v>0.88</v>
      </c>
      <c r="K39" s="2083"/>
      <c r="L39" s="2077"/>
      <c r="M39" s="2077"/>
    </row>
    <row r="40" spans="1:18" ht="18" customHeight="1">
      <c r="A40" s="781" t="s">
        <v>1895</v>
      </c>
      <c r="B40" s="2232" t="s">
        <v>2301</v>
      </c>
      <c r="C40" s="783">
        <f ca="1">ROUND(C39*(1-((1+F42)/(1+F40))^F41)/(F40-F42),0)</f>
        <v>35020</v>
      </c>
      <c r="D40" s="814" t="s">
        <v>1807</v>
      </c>
      <c r="E40" s="784" t="s">
        <v>2420</v>
      </c>
      <c r="F40" s="794">
        <f ca="1">INDIRECT("'数据-取费表'!I"&amp;$G$1)</f>
        <v>5.5E-2</v>
      </c>
      <c r="G40" s="2062"/>
      <c r="H40" s="2062"/>
      <c r="I40" s="837" t="s">
        <v>1819</v>
      </c>
      <c r="J40" s="845">
        <f ca="1">1-J39</f>
        <v>0.12</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47.31</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0.41699999999999998</v>
      </c>
      <c r="K42" s="2082"/>
      <c r="L42" s="1988"/>
      <c r="M42" s="1988"/>
    </row>
    <row r="43" spans="1:18" ht="18" customHeight="1" thickBot="1">
      <c r="A43" s="823" t="s">
        <v>1787</v>
      </c>
      <c r="B43" s="824" t="s">
        <v>1810</v>
      </c>
      <c r="C43" s="825">
        <f ca="1">ROUND(C40*10000/F43,0)</f>
        <v>9006</v>
      </c>
      <c r="D43" s="826" t="s">
        <v>1811</v>
      </c>
      <c r="E43" s="827" t="s">
        <v>1812</v>
      </c>
      <c r="F43" s="828">
        <f ca="1">INDIRECT("'数据-取费表'!k"&amp;$G$1)</f>
        <v>38883.97</v>
      </c>
      <c r="G43" s="2062"/>
      <c r="H43" s="1988"/>
      <c r="I43" s="847" t="s">
        <v>1822</v>
      </c>
      <c r="J43" s="848">
        <f ca="1">1-J42</f>
        <v>0.58299999999999996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-41163</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3018</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49.31</v>
      </c>
      <c r="O48" s="2422" t="s">
        <v>2380</v>
      </c>
      <c r="P48" s="2423" t="s">
        <v>2406</v>
      </c>
      <c r="Q48" s="2424">
        <f ca="1">C40+J29</f>
        <v>35020</v>
      </c>
      <c r="R48" s="2423" t="s">
        <v>2381</v>
      </c>
    </row>
    <row r="49" spans="1:18" s="2059" customFormat="1" ht="18" customHeight="1" thickBot="1">
      <c r="A49" s="786"/>
      <c r="B49" s="787"/>
      <c r="C49" s="788"/>
      <c r="D49" s="789"/>
      <c r="E49" s="784" t="s">
        <v>1739</v>
      </c>
      <c r="F49" s="785">
        <f ca="1">F7</f>
        <v>1110</v>
      </c>
      <c r="G49" s="2090"/>
      <c r="H49" s="2093"/>
      <c r="I49" s="2383" t="s">
        <v>2346</v>
      </c>
      <c r="J49" s="2393">
        <v>2021</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12</v>
      </c>
      <c r="G50" s="2095"/>
      <c r="H50" s="2093"/>
      <c r="I50" s="2383" t="s">
        <v>2347</v>
      </c>
      <c r="J50" s="2396">
        <f>SUMPRODUCT((I63:I65=J47)*(J62:L62=J48)*(J63:L65))</f>
        <v>60</v>
      </c>
      <c r="K50" s="2394" t="s">
        <v>2354</v>
      </c>
      <c r="L50" s="2395"/>
      <c r="O50" s="2425" t="s">
        <v>2384</v>
      </c>
      <c r="P50" s="2423" t="s">
        <v>2408</v>
      </c>
      <c r="Q50" s="2424">
        <f ca="1">C29</f>
        <v>14601</v>
      </c>
      <c r="R50" s="2423" t="s">
        <v>2381</v>
      </c>
    </row>
    <row r="51" spans="1:18" s="2059" customFormat="1" ht="18" customHeight="1" thickBot="1">
      <c r="A51" s="786"/>
      <c r="B51" s="787"/>
      <c r="C51" s="788"/>
      <c r="D51" s="789"/>
      <c r="E51" s="784" t="s">
        <v>639</v>
      </c>
      <c r="F51" s="2371"/>
      <c r="H51" s="2093"/>
      <c r="I51" s="2384" t="s">
        <v>2348</v>
      </c>
      <c r="J51" s="2397">
        <f>IF(J49="",J50,J49+J50-YEAR('数据-取费表'!B2))</f>
        <v>63</v>
      </c>
      <c r="K51" s="2383" t="s">
        <v>2355</v>
      </c>
      <c r="L51" s="2398">
        <f ca="1">ROUND(-PV(INDIRECT("'数据-取费表'!h"&amp;$G$1),L48,(C39-C13*J36),0),0)</f>
        <v>3092</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47.31</v>
      </c>
      <c r="K53" s="3490" t="s">
        <v>2966</v>
      </c>
      <c r="L53" s="3491"/>
      <c r="O53" s="2425" t="s">
        <v>2389</v>
      </c>
      <c r="P53" s="2423" t="s">
        <v>2390</v>
      </c>
      <c r="Q53" s="2424">
        <f ca="1">J53</f>
        <v>47.31</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35020</v>
      </c>
      <c r="R54" s="2427" t="s">
        <v>2393</v>
      </c>
    </row>
    <row r="55" spans="1:18" s="2059" customFormat="1" ht="18" customHeight="1" thickTop="1" thickBot="1">
      <c r="A55" s="797">
        <v>2</v>
      </c>
      <c r="B55" s="798" t="s">
        <v>643</v>
      </c>
      <c r="C55" s="799">
        <f ca="1">C13</f>
        <v>14601</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14601</v>
      </c>
      <c r="D56" s="3178"/>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367</v>
      </c>
      <c r="D57" s="26" t="s">
        <v>1750</v>
      </c>
      <c r="E57" s="3181"/>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35020</v>
      </c>
      <c r="R57" s="2423" t="s">
        <v>2381</v>
      </c>
    </row>
    <row r="58" spans="1:18" s="2059" customFormat="1" ht="28.5" customHeight="1" thickBot="1">
      <c r="A58" s="1648" t="s">
        <v>1824</v>
      </c>
      <c r="B58" s="784" t="s">
        <v>655</v>
      </c>
      <c r="C58" s="53">
        <f ca="1">ROUND(IF(项目基本情况!B11="自然人",C47*F58,C59+C60+C61),1)</f>
        <v>125.8</v>
      </c>
      <c r="D58" s="3177" t="s">
        <v>656</v>
      </c>
      <c r="E58" s="3178"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3178"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122.6</v>
      </c>
      <c r="D60" s="3178"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3.2</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10793.92</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219</v>
      </c>
      <c r="D63" s="3178" t="s">
        <v>1803</v>
      </c>
      <c r="E63" s="784" t="s">
        <v>1747</v>
      </c>
      <c r="F63" s="817">
        <f t="shared" ca="1" si="0"/>
        <v>1.4999999999999999E-2</v>
      </c>
      <c r="I63" s="2409" t="s">
        <v>2371</v>
      </c>
      <c r="J63" s="2410">
        <v>70</v>
      </c>
      <c r="K63" s="2410">
        <v>50</v>
      </c>
      <c r="L63" s="2410">
        <v>80</v>
      </c>
      <c r="M63" s="3126">
        <v>0.02</v>
      </c>
      <c r="O63" s="2422" t="s">
        <v>2392</v>
      </c>
      <c r="P63" s="2423" t="s">
        <v>2409</v>
      </c>
      <c r="Q63" s="2424">
        <f ca="1">Q57+Q58</f>
        <v>35020</v>
      </c>
      <c r="R63" s="2427" t="s">
        <v>2393</v>
      </c>
    </row>
    <row r="64" spans="1:18" s="2059" customFormat="1" ht="16.5" thickBot="1">
      <c r="A64" s="1648" t="s">
        <v>1890</v>
      </c>
      <c r="B64" s="784" t="s">
        <v>678</v>
      </c>
      <c r="C64" s="53">
        <f ca="1">ROUND(C55*F64,1)</f>
        <v>21.9</v>
      </c>
      <c r="D64" s="3178"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3178"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-367</v>
      </c>
      <c r="D66" s="3177" t="s">
        <v>699</v>
      </c>
      <c r="E66" s="3175"/>
      <c r="F66" s="820"/>
      <c r="K66" s="2086"/>
      <c r="O66" s="2422" t="s">
        <v>2380</v>
      </c>
      <c r="P66" s="2423" t="s">
        <v>2410</v>
      </c>
      <c r="Q66" s="2424">
        <f ca="1">C40+J29</f>
        <v>35020</v>
      </c>
      <c r="R66" s="2423" t="s">
        <v>2381</v>
      </c>
    </row>
    <row r="67" spans="1:18" s="2059" customFormat="1" ht="20.25" thickBot="1">
      <c r="A67" s="781" t="s">
        <v>1780</v>
      </c>
      <c r="B67" s="2232" t="s">
        <v>2301</v>
      </c>
      <c r="C67" s="783">
        <f ca="1">ROUND(C66*(1-((1+F69)/(1+F67))^F68)/(F67-F69),0)</f>
        <v>-6143</v>
      </c>
      <c r="D67" s="814" t="s">
        <v>703</v>
      </c>
      <c r="E67" s="784" t="s">
        <v>704</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47.31</v>
      </c>
      <c r="O68" s="2425" t="s">
        <v>2384</v>
      </c>
      <c r="P68" s="2423" t="s">
        <v>2414</v>
      </c>
      <c r="Q68" s="2429">
        <f ca="1">L51</f>
        <v>3092</v>
      </c>
      <c r="R68" s="2430" t="s">
        <v>2417</v>
      </c>
    </row>
    <row r="69" spans="1:18" ht="20.25" thickBot="1">
      <c r="A69" s="790"/>
      <c r="B69" s="791"/>
      <c r="C69" s="792"/>
      <c r="D69" s="816"/>
      <c r="E69" s="784" t="s">
        <v>709</v>
      </c>
      <c r="F69" s="2371"/>
      <c r="O69" s="2425" t="s">
        <v>2385</v>
      </c>
      <c r="P69" s="2431" t="s">
        <v>2399</v>
      </c>
      <c r="Q69" s="2424">
        <f ca="1">ROUND(Q70-Q71*Q72,0)</f>
        <v>170</v>
      </c>
      <c r="R69" s="2427"/>
    </row>
    <row r="70" spans="1:18" ht="15.75" thickBot="1">
      <c r="A70" s="823" t="s">
        <v>1787</v>
      </c>
      <c r="B70" s="824" t="s">
        <v>1810</v>
      </c>
      <c r="C70" s="825">
        <f ca="1">ROUND(C67*10000/F70,0)</f>
        <v>-1580</v>
      </c>
      <c r="D70" s="826" t="s">
        <v>1811</v>
      </c>
      <c r="E70" s="827" t="s">
        <v>1812</v>
      </c>
      <c r="F70" s="828">
        <f ca="1">F43</f>
        <v>38883.97</v>
      </c>
      <c r="O70" s="2425" t="s">
        <v>2400</v>
      </c>
      <c r="P70" s="2431" t="s">
        <v>2401</v>
      </c>
      <c r="Q70" s="2424">
        <f ca="1">C39</f>
        <v>1411</v>
      </c>
      <c r="R70" s="2423" t="s">
        <v>2381</v>
      </c>
    </row>
    <row r="71" spans="1:18" ht="15.75" thickBot="1">
      <c r="O71" s="2425" t="s">
        <v>2402</v>
      </c>
      <c r="P71" s="2431" t="s">
        <v>2403</v>
      </c>
      <c r="Q71" s="2424">
        <f ca="1">C13</f>
        <v>14601</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35020</v>
      </c>
      <c r="R76" s="242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D46" sqref="D46"/>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3006</v>
      </c>
      <c r="D1" s="3152" t="s">
        <v>3016</v>
      </c>
      <c r="E1" s="2411" t="s">
        <v>2375</v>
      </c>
      <c r="F1" s="2412">
        <f ca="1">J53</f>
        <v>37.299999999999997</v>
      </c>
      <c r="G1" s="774">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0</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0</v>
      </c>
      <c r="D5" s="2520" t="s">
        <v>2462</v>
      </c>
      <c r="E5" s="2514"/>
      <c r="F5" s="2515"/>
      <c r="G5" s="1591"/>
      <c r="H5" s="781">
        <v>1</v>
      </c>
      <c r="I5" s="782" t="s">
        <v>2459</v>
      </c>
      <c r="J5" s="55">
        <f ca="1">J6+J10+J12</f>
        <v>0</v>
      </c>
      <c r="K5" s="2520" t="s">
        <v>2462</v>
      </c>
      <c r="L5" s="2514"/>
      <c r="M5" s="2515"/>
    </row>
    <row r="6" spans="1:33" ht="18" customHeight="1">
      <c r="A6" s="1830" t="s">
        <v>1824</v>
      </c>
      <c r="B6" s="3474" t="s">
        <v>2464</v>
      </c>
      <c r="C6" s="783">
        <f ca="1">ROUND(F6*F8*F7*(1-F9)/10000,0)</f>
        <v>0</v>
      </c>
      <c r="D6" s="2521" t="s">
        <v>2463</v>
      </c>
      <c r="E6" s="784" t="s">
        <v>1738</v>
      </c>
      <c r="F6" s="785">
        <f ca="1">INDIRECT("'数据-取费表'!u"&amp;$G$1)</f>
        <v>5</v>
      </c>
      <c r="G6" s="1591"/>
      <c r="H6" s="2528" t="s">
        <v>2469</v>
      </c>
      <c r="I6" s="3474" t="s">
        <v>2464</v>
      </c>
      <c r="J6" s="783">
        <f ca="1">ROUND(M6*M8*M7*(1-M9)/10000,0)</f>
        <v>0</v>
      </c>
      <c r="K6" s="341" t="s">
        <v>1737</v>
      </c>
      <c r="L6" s="784" t="s">
        <v>1738</v>
      </c>
      <c r="M6" s="785">
        <f ca="1">INDIRECT("'数据-取费表'!z"&amp;$G$1)</f>
        <v>0</v>
      </c>
    </row>
    <row r="7" spans="1:33" ht="18" customHeight="1">
      <c r="A7" s="2524"/>
      <c r="B7" s="3475"/>
      <c r="C7" s="788"/>
      <c r="D7" s="789"/>
      <c r="E7" s="784" t="s">
        <v>1739</v>
      </c>
      <c r="F7" s="785">
        <f ca="1">IF(INDIRECT("'数据-取费表'!ah"&amp;$G$1)="",INDIRECT("'数据-取费表'!k"&amp;$G$1),INDIRECT("'数据-取费表'!ah"&amp;$G$1))</f>
        <v>0</v>
      </c>
      <c r="G7" s="1591"/>
      <c r="H7" s="2513"/>
      <c r="I7" s="3475"/>
      <c r="J7" s="788"/>
      <c r="K7" s="789"/>
      <c r="L7" s="784" t="s">
        <v>1739</v>
      </c>
      <c r="M7" s="785">
        <f ca="1">F7</f>
        <v>0</v>
      </c>
    </row>
    <row r="8" spans="1:33" ht="18" customHeight="1">
      <c r="A8" s="2517"/>
      <c r="B8" s="3476"/>
      <c r="C8" s="788"/>
      <c r="D8" s="789"/>
      <c r="E8" s="784" t="s">
        <v>1740</v>
      </c>
      <c r="F8" s="785">
        <f ca="1">INDIRECT("'数据-取费表'!ai"&amp;$G$1)</f>
        <v>365</v>
      </c>
      <c r="G8" s="1591"/>
      <c r="H8" s="2513"/>
      <c r="I8" s="3476"/>
      <c r="J8" s="788"/>
      <c r="K8" s="789"/>
      <c r="L8" s="784" t="s">
        <v>1740</v>
      </c>
      <c r="M8" s="785">
        <f ca="1">INDIRECT("'数据-取费表'!ai"&amp;$G$1)</f>
        <v>365</v>
      </c>
    </row>
    <row r="9" spans="1:33" ht="18" customHeight="1">
      <c r="A9" s="786"/>
      <c r="B9" s="3477"/>
      <c r="C9" s="788"/>
      <c r="D9" s="789"/>
      <c r="E9" s="784" t="s">
        <v>1741</v>
      </c>
      <c r="F9" s="794">
        <f ca="1">INDIRECT("'数据-取费表'!w"&amp;$G$1)</f>
        <v>0.05</v>
      </c>
      <c r="G9" s="1591"/>
      <c r="H9" s="2529"/>
      <c r="I9" s="3476"/>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2645" t="s">
        <v>3017</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0</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0</v>
      </c>
      <c r="D14" s="1979" t="s">
        <v>1745</v>
      </c>
      <c r="E14" s="1980"/>
      <c r="F14" s="805"/>
      <c r="G14" s="1591"/>
      <c r="H14" s="1648" t="s">
        <v>1830</v>
      </c>
      <c r="I14" s="2231" t="s">
        <v>2826</v>
      </c>
      <c r="J14" s="53">
        <f ca="1">C29</f>
        <v>0</v>
      </c>
      <c r="K14" s="26"/>
      <c r="L14" s="801"/>
      <c r="M14" s="802"/>
    </row>
    <row r="15" spans="1:33" s="2064" customFormat="1" ht="18" customHeight="1" thickBot="1">
      <c r="A15" s="1647" t="s">
        <v>1885</v>
      </c>
      <c r="B15" s="784" t="s">
        <v>646</v>
      </c>
      <c r="C15" s="53">
        <f ca="1">ROUND(C14*F15,0)</f>
        <v>0</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0</v>
      </c>
      <c r="K16" s="1821" t="s">
        <v>1750</v>
      </c>
      <c r="L16" s="2510"/>
      <c r="M16" s="2515"/>
    </row>
    <row r="17" spans="1:33" s="2064"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0</v>
      </c>
      <c r="D19" s="261" t="s">
        <v>1757</v>
      </c>
      <c r="E19" s="1982"/>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4"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2298</v>
      </c>
      <c r="E21" s="784" t="s">
        <v>1765</v>
      </c>
      <c r="F21" s="809">
        <f>'数据-取费表'!B38</f>
        <v>0.02</v>
      </c>
      <c r="G21" s="1592"/>
      <c r="H21" s="2530"/>
      <c r="I21" s="793"/>
      <c r="J21" s="69"/>
      <c r="K21" s="816"/>
      <c r="L21" s="784" t="s">
        <v>1766</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0</v>
      </c>
      <c r="K22" s="250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0</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34" t="s">
        <v>2822</v>
      </c>
      <c r="J25" s="792">
        <f ca="1">J5-J16</f>
        <v>0</v>
      </c>
      <c r="K25" s="2572" t="s">
        <v>1777</v>
      </c>
      <c r="L25" s="2573"/>
      <c r="M25" s="2574"/>
    </row>
    <row r="26" spans="1:33" ht="18" customHeight="1">
      <c r="A26" s="1647" t="s">
        <v>1831</v>
      </c>
      <c r="B26" s="784" t="s">
        <v>2439</v>
      </c>
      <c r="C26" s="53">
        <f ca="1">ROUND((C19+C20)*F26,0)</f>
        <v>0</v>
      </c>
      <c r="D26" s="812" t="s">
        <v>1778</v>
      </c>
      <c r="E26" s="795" t="s">
        <v>1779</v>
      </c>
      <c r="F26" s="794">
        <f ca="1">INDIRECT("'数据-取费表'!q"&amp;$G$1)</f>
        <v>0.15</v>
      </c>
      <c r="G26" s="1591"/>
      <c r="H26" s="2526" t="s">
        <v>1780</v>
      </c>
      <c r="I26" s="2232" t="s">
        <v>2827</v>
      </c>
      <c r="J26" s="783">
        <f ca="1">IF(J5&lt;&gt;0,ROUND(J25*(1-((1+M28)/(1+M26))^M27)/(M26-M28),0),0)</f>
        <v>0</v>
      </c>
      <c r="K26" s="814" t="s">
        <v>1781</v>
      </c>
      <c r="L26" s="784" t="s">
        <v>2420</v>
      </c>
      <c r="M26" s="794">
        <f ca="1">INDIRECT("'数据-取费表'!I"&amp;$G$1)</f>
        <v>0.06</v>
      </c>
    </row>
    <row r="27" spans="1:33" ht="18" customHeight="1">
      <c r="A27" s="1647" t="s">
        <v>1832</v>
      </c>
      <c r="B27" s="784" t="s">
        <v>685</v>
      </c>
      <c r="C27" s="53">
        <f ca="1">ROUND(F21*F26,4)</f>
        <v>3.0000000000000001E-3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0</v>
      </c>
      <c r="D29" s="2569"/>
      <c r="E29" s="2570"/>
      <c r="F29" s="2571"/>
      <c r="G29" s="1592"/>
      <c r="H29" s="823" t="s">
        <v>1787</v>
      </c>
      <c r="I29" s="824" t="s">
        <v>1788</v>
      </c>
      <c r="J29" s="825">
        <f ca="1">ROUND(J26/(1+F40)^F41,0)</f>
        <v>0</v>
      </c>
      <c r="K29" s="826" t="s">
        <v>1789</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0</v>
      </c>
      <c r="D30" s="1821" t="s">
        <v>1791</v>
      </c>
      <c r="E30" s="2510"/>
      <c r="F30" s="2515"/>
      <c r="G30" s="2062"/>
      <c r="H30" s="2065"/>
      <c r="I30" s="2066"/>
      <c r="J30" s="2067"/>
      <c r="K30" s="2068"/>
      <c r="L30" s="2069"/>
      <c r="M30" s="2070"/>
    </row>
    <row r="31" spans="1:33" ht="18" customHeight="1">
      <c r="A31" s="1648" t="s">
        <v>1830</v>
      </c>
      <c r="B31" s="784" t="s">
        <v>655</v>
      </c>
      <c r="C31" s="53">
        <f ca="1">ROUND(IF(项目基本情况!B11="自然人",C5*F31,C32+C33+C34),1)</f>
        <v>0</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0</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0</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0</v>
      </c>
      <c r="G35" s="2062"/>
      <c r="H35" s="2065"/>
      <c r="I35" s="837" t="s">
        <v>1814</v>
      </c>
      <c r="J35" s="838">
        <f ca="1">ROUND(C13*J36,0)</f>
        <v>0</v>
      </c>
      <c r="K35" s="2078"/>
      <c r="L35" s="2077"/>
      <c r="M35" s="2077"/>
    </row>
    <row r="36" spans="1:18" ht="18" customHeight="1">
      <c r="A36" s="1648" t="s">
        <v>1889</v>
      </c>
      <c r="B36" s="784" t="s">
        <v>1802</v>
      </c>
      <c r="C36" s="53">
        <f ca="1">ROUND(C29*F36,1)</f>
        <v>0</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0</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0</v>
      </c>
      <c r="D39" s="2572" t="s">
        <v>1806</v>
      </c>
      <c r="E39" s="2573"/>
      <c r="F39" s="2574"/>
      <c r="G39" s="2062"/>
      <c r="H39" s="2077"/>
      <c r="I39" s="837" t="s">
        <v>1818</v>
      </c>
      <c r="J39" s="845" t="e">
        <f ca="1">ROUND(J35/C39,3)</f>
        <v>#DIV/0!</v>
      </c>
      <c r="K39" s="2083"/>
      <c r="L39" s="2077"/>
      <c r="M39" s="2077"/>
    </row>
    <row r="40" spans="1:18" ht="18" customHeight="1">
      <c r="A40" s="781" t="s">
        <v>1895</v>
      </c>
      <c r="B40" s="2232" t="s">
        <v>2301</v>
      </c>
      <c r="C40" s="783">
        <f ca="1">ROUND(C39*(1-((1+F42)/(1+F40))^F41)/(F40-F42),0)</f>
        <v>0</v>
      </c>
      <c r="D40" s="814" t="s">
        <v>1807</v>
      </c>
      <c r="E40" s="784" t="s">
        <v>2420</v>
      </c>
      <c r="F40" s="794">
        <f ca="1">INDIRECT("'数据-取费表'!I"&amp;$G$1)</f>
        <v>0.06</v>
      </c>
      <c r="G40" s="2062"/>
      <c r="H40" s="2062"/>
      <c r="I40" s="837" t="s">
        <v>1819</v>
      </c>
      <c r="J40" s="845" t="e">
        <f ca="1">1-J39</f>
        <v>#DIV/0!</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37.299999999999997</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t="e">
        <f ca="1">ROUND(C13/C40,3)</f>
        <v>#DIV/0!</v>
      </c>
      <c r="K42" s="2082"/>
      <c r="L42" s="1988"/>
      <c r="M42" s="1988"/>
    </row>
    <row r="43" spans="1:18" ht="18" customHeight="1" thickBot="1">
      <c r="A43" s="823" t="s">
        <v>1787</v>
      </c>
      <c r="B43" s="824" t="s">
        <v>1810</v>
      </c>
      <c r="C43" s="825" t="e">
        <f ca="1">ROUND(C40*10000/F43,0)</f>
        <v>#DIV/0!</v>
      </c>
      <c r="D43" s="826" t="s">
        <v>1811</v>
      </c>
      <c r="E43" s="827" t="s">
        <v>1812</v>
      </c>
      <c r="F43" s="828">
        <f ca="1">INDIRECT("'数据-取费表'!k"&amp;$G$1)</f>
        <v>0</v>
      </c>
      <c r="G43" s="2062"/>
      <c r="H43" s="1988"/>
      <c r="I43" s="847" t="s">
        <v>1822</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0</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3018</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39.299999999999997</v>
      </c>
      <c r="O48" s="2422" t="s">
        <v>2380</v>
      </c>
      <c r="P48" s="2423" t="s">
        <v>2406</v>
      </c>
      <c r="Q48" s="2424">
        <f ca="1">C40+J29</f>
        <v>0</v>
      </c>
      <c r="R48" s="2423" t="s">
        <v>2381</v>
      </c>
    </row>
    <row r="49" spans="1:18" s="2059" customFormat="1" ht="18" customHeight="1" thickBot="1">
      <c r="A49" s="786"/>
      <c r="B49" s="787"/>
      <c r="C49" s="788"/>
      <c r="D49" s="789"/>
      <c r="E49" s="784" t="s">
        <v>1739</v>
      </c>
      <c r="F49" s="785">
        <f ca="1">F7</f>
        <v>0</v>
      </c>
      <c r="G49" s="2090"/>
      <c r="H49" s="2093"/>
      <c r="I49" s="2383" t="s">
        <v>2346</v>
      </c>
      <c r="J49" s="2393"/>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0</v>
      </c>
      <c r="R50" s="2423" t="s">
        <v>2381</v>
      </c>
    </row>
    <row r="51" spans="1:18" s="2059" customFormat="1" ht="18" customHeight="1" thickBot="1">
      <c r="A51" s="786"/>
      <c r="B51" s="787"/>
      <c r="C51" s="788"/>
      <c r="D51" s="789"/>
      <c r="E51" s="784" t="s">
        <v>639</v>
      </c>
      <c r="F51" s="2371"/>
      <c r="H51" s="2093"/>
      <c r="I51" s="2384" t="s">
        <v>2348</v>
      </c>
      <c r="J51" s="2397">
        <f>IF(J49="",J50,J49+J50-YEAR('数据-取费表'!B2))</f>
        <v>60</v>
      </c>
      <c r="K51" s="2383" t="s">
        <v>2355</v>
      </c>
      <c r="L51" s="2398">
        <f ca="1">ROUND(-PV(INDIRECT("'数据-取费表'!h"&amp;$G$1),L48,(C39-C13*J36),0),0)</f>
        <v>0</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37.299999999999997</v>
      </c>
      <c r="K53" s="3490" t="s">
        <v>2966</v>
      </c>
      <c r="L53" s="3491"/>
      <c r="O53" s="2425" t="s">
        <v>2389</v>
      </c>
      <c r="P53" s="2423" t="s">
        <v>2390</v>
      </c>
      <c r="Q53" s="2424">
        <f ca="1">J53</f>
        <v>37.299999999999997</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0</v>
      </c>
      <c r="R54" s="2427" t="s">
        <v>2393</v>
      </c>
    </row>
    <row r="55" spans="1:18" s="2059" customFormat="1" ht="18" customHeight="1" thickTop="1" thickBot="1">
      <c r="A55" s="797">
        <v>2</v>
      </c>
      <c r="B55" s="798" t="s">
        <v>643</v>
      </c>
      <c r="C55" s="799">
        <f ca="1">C13</f>
        <v>0</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0</v>
      </c>
      <c r="D56" s="2663"/>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0</v>
      </c>
      <c r="D57" s="26" t="s">
        <v>1750</v>
      </c>
      <c r="E57" s="2664"/>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0</v>
      </c>
      <c r="R57" s="2423" t="s">
        <v>2381</v>
      </c>
    </row>
    <row r="58" spans="1:18" s="2059" customFormat="1" ht="28.5" customHeight="1" thickBot="1">
      <c r="A58" s="1648" t="s">
        <v>1824</v>
      </c>
      <c r="B58" s="784" t="s">
        <v>655</v>
      </c>
      <c r="C58" s="53">
        <f ca="1">ROUND(IF(项目基本情况!B11="自然人",C47*F58,C59+C60+C61),1)</f>
        <v>0</v>
      </c>
      <c r="D58" s="2662" t="s">
        <v>656</v>
      </c>
      <c r="E58" s="2663"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2663"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0</v>
      </c>
      <c r="D60" s="2663"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0</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0</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0</v>
      </c>
      <c r="D63" s="2663" t="s">
        <v>1803</v>
      </c>
      <c r="E63" s="784" t="s">
        <v>1747</v>
      </c>
      <c r="F63" s="817">
        <f t="shared" ca="1" si="0"/>
        <v>1.4999999999999999E-2</v>
      </c>
      <c r="I63" s="2409" t="s">
        <v>2371</v>
      </c>
      <c r="J63" s="2410">
        <v>70</v>
      </c>
      <c r="K63" s="2410">
        <v>50</v>
      </c>
      <c r="L63" s="2410">
        <v>80</v>
      </c>
      <c r="M63" s="3126">
        <v>0.02</v>
      </c>
      <c r="O63" s="2422" t="s">
        <v>2392</v>
      </c>
      <c r="P63" s="2423" t="s">
        <v>2409</v>
      </c>
      <c r="Q63" s="2424">
        <f ca="1">Q57+Q58</f>
        <v>0</v>
      </c>
      <c r="R63" s="2427" t="s">
        <v>2393</v>
      </c>
    </row>
    <row r="64" spans="1:18" s="2059" customFormat="1" ht="16.5" thickBot="1">
      <c r="A64" s="1648" t="s">
        <v>1890</v>
      </c>
      <c r="B64" s="784" t="s">
        <v>678</v>
      </c>
      <c r="C64" s="53">
        <f ca="1">ROUND(C55*F64,1)</f>
        <v>0</v>
      </c>
      <c r="D64" s="2663"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2663"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0</v>
      </c>
      <c r="D66" s="2662" t="s">
        <v>699</v>
      </c>
      <c r="E66" s="2661"/>
      <c r="F66" s="820"/>
      <c r="K66" s="2086"/>
      <c r="O66" s="2422" t="s">
        <v>2380</v>
      </c>
      <c r="P66" s="2423" t="s">
        <v>2410</v>
      </c>
      <c r="Q66" s="2424">
        <f ca="1">C40+J29</f>
        <v>0</v>
      </c>
      <c r="R66" s="2423" t="s">
        <v>2381</v>
      </c>
    </row>
    <row r="67" spans="1:18" s="2059" customFormat="1" ht="20.25" thickBot="1">
      <c r="A67" s="781" t="s">
        <v>1780</v>
      </c>
      <c r="B67" s="2232" t="s">
        <v>2301</v>
      </c>
      <c r="C67" s="783">
        <f ca="1">ROUND(C66*(1-((1+F69)/(1+F67))^F68)/(F67-F69),0)</f>
        <v>0</v>
      </c>
      <c r="D67" s="814" t="s">
        <v>703</v>
      </c>
      <c r="E67" s="784" t="s">
        <v>704</v>
      </c>
      <c r="F67" s="794">
        <f ca="1">F40</f>
        <v>0.06</v>
      </c>
      <c r="K67" s="2086"/>
      <c r="O67" s="2422" t="s">
        <v>2382</v>
      </c>
      <c r="P67" s="2423" t="s">
        <v>2413</v>
      </c>
      <c r="Q67" s="2424">
        <f ca="1">L60</f>
        <v>0</v>
      </c>
      <c r="R67" s="2427" t="s">
        <v>2415</v>
      </c>
    </row>
    <row r="68" spans="1:18" ht="21.75" thickBot="1">
      <c r="A68" s="786"/>
      <c r="B68" s="787"/>
      <c r="C68" s="788"/>
      <c r="D68" s="821" t="s">
        <v>1808</v>
      </c>
      <c r="E68" s="784" t="s">
        <v>1784</v>
      </c>
      <c r="F68" s="822">
        <f ca="1">F41</f>
        <v>37.299999999999997</v>
      </c>
      <c r="O68" s="2425" t="s">
        <v>2384</v>
      </c>
      <c r="P68" s="2423" t="s">
        <v>2414</v>
      </c>
      <c r="Q68" s="2429">
        <f ca="1">L51</f>
        <v>0</v>
      </c>
      <c r="R68" s="2430" t="s">
        <v>2417</v>
      </c>
    </row>
    <row r="69" spans="1:18" ht="20.25" thickBot="1">
      <c r="A69" s="790"/>
      <c r="B69" s="791"/>
      <c r="C69" s="792"/>
      <c r="D69" s="816"/>
      <c r="E69" s="784" t="s">
        <v>709</v>
      </c>
      <c r="F69" s="2371"/>
      <c r="O69" s="2425" t="s">
        <v>2385</v>
      </c>
      <c r="P69" s="2431" t="s">
        <v>2399</v>
      </c>
      <c r="Q69" s="2424">
        <f ca="1">ROUND(Q70-Q71*Q72,0)</f>
        <v>0</v>
      </c>
      <c r="R69" s="2427"/>
    </row>
    <row r="70" spans="1:18" ht="15.75" thickBot="1">
      <c r="A70" s="823" t="s">
        <v>1787</v>
      </c>
      <c r="B70" s="824" t="s">
        <v>1810</v>
      </c>
      <c r="C70" s="825" t="e">
        <f ca="1">ROUND(C67*10000/F70,0)</f>
        <v>#DIV/0!</v>
      </c>
      <c r="D70" s="826" t="s">
        <v>1811</v>
      </c>
      <c r="E70" s="827" t="s">
        <v>1812</v>
      </c>
      <c r="F70" s="828">
        <f ca="1">F43</f>
        <v>0</v>
      </c>
      <c r="O70" s="2425" t="s">
        <v>2400</v>
      </c>
      <c r="P70" s="2431" t="s">
        <v>2401</v>
      </c>
      <c r="Q70" s="2424">
        <f ca="1">C39</f>
        <v>0</v>
      </c>
      <c r="R70" s="2423" t="s">
        <v>2381</v>
      </c>
    </row>
    <row r="71" spans="1:18" ht="15.75" thickBot="1">
      <c r="O71" s="2425" t="s">
        <v>2402</v>
      </c>
      <c r="P71" s="2431" t="s">
        <v>2403</v>
      </c>
      <c r="Q71" s="2424">
        <f ca="1">C13</f>
        <v>0</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0</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2" t="s">
        <v>2472</v>
      </c>
      <c r="B1" s="3493"/>
      <c r="C1" s="3494"/>
      <c r="D1" s="3495">
        <f>SUM(I10,I15,I20,I21,I23)</f>
        <v>0</v>
      </c>
      <c r="E1" s="3495"/>
      <c r="F1" s="3495"/>
      <c r="G1" s="3495"/>
      <c r="H1" s="3495"/>
      <c r="I1" s="3496"/>
    </row>
    <row r="2" spans="1:9">
      <c r="A2" s="3497" t="s">
        <v>2473</v>
      </c>
      <c r="B2" s="3498" t="s">
        <v>2474</v>
      </c>
      <c r="C2" s="3498"/>
      <c r="D2" s="2531" t="s">
        <v>2475</v>
      </c>
      <c r="E2" s="2531" t="s">
        <v>2476</v>
      </c>
      <c r="F2" s="2531" t="s">
        <v>2477</v>
      </c>
      <c r="G2" s="2531" t="s">
        <v>2478</v>
      </c>
      <c r="H2" s="2531" t="s">
        <v>2479</v>
      </c>
      <c r="I2" s="2532" t="s">
        <v>2480</v>
      </c>
    </row>
    <row r="3" spans="1:9">
      <c r="A3" s="3497"/>
      <c r="B3" s="3498" t="s">
        <v>2481</v>
      </c>
      <c r="C3" s="3498"/>
      <c r="D3" s="2533"/>
      <c r="E3" s="2531"/>
      <c r="F3" s="2534"/>
      <c r="G3" s="2534"/>
      <c r="H3" s="2535"/>
      <c r="I3" s="2536">
        <f>ROUND(D3*E3*F3*G3*H3/10000,0)</f>
        <v>0</v>
      </c>
    </row>
    <row r="4" spans="1:9">
      <c r="A4" s="3497"/>
      <c r="B4" s="3498" t="s">
        <v>2482</v>
      </c>
      <c r="C4" s="3498"/>
      <c r="D4" s="2533"/>
      <c r="E4" s="2531"/>
      <c r="F4" s="2534"/>
      <c r="G4" s="2534"/>
      <c r="H4" s="2535"/>
      <c r="I4" s="2536">
        <f t="shared" ref="I4:I9" si="0">ROUND(D4*E4*F4*G4*H4/10000,0)</f>
        <v>0</v>
      </c>
    </row>
    <row r="5" spans="1:9">
      <c r="A5" s="3497"/>
      <c r="B5" s="3498" t="s">
        <v>2483</v>
      </c>
      <c r="C5" s="3498"/>
      <c r="D5" s="2533"/>
      <c r="E5" s="2531"/>
      <c r="F5" s="2534"/>
      <c r="G5" s="2534"/>
      <c r="H5" s="2535"/>
      <c r="I5" s="2536">
        <f t="shared" si="0"/>
        <v>0</v>
      </c>
    </row>
    <row r="6" spans="1:9">
      <c r="A6" s="3497"/>
      <c r="B6" s="3498" t="s">
        <v>2484</v>
      </c>
      <c r="C6" s="3498"/>
      <c r="D6" s="2533"/>
      <c r="E6" s="2531"/>
      <c r="F6" s="2534"/>
      <c r="G6" s="2534"/>
      <c r="H6" s="2535"/>
      <c r="I6" s="2536">
        <f t="shared" si="0"/>
        <v>0</v>
      </c>
    </row>
    <row r="7" spans="1:9">
      <c r="A7" s="3497"/>
      <c r="B7" s="3498" t="s">
        <v>2485</v>
      </c>
      <c r="C7" s="3498"/>
      <c r="D7" s="2533"/>
      <c r="E7" s="2531"/>
      <c r="F7" s="2534"/>
      <c r="G7" s="2534"/>
      <c r="H7" s="2535"/>
      <c r="I7" s="2536">
        <f t="shared" si="0"/>
        <v>0</v>
      </c>
    </row>
    <row r="8" spans="1:9">
      <c r="A8" s="3497"/>
      <c r="B8" s="3498" t="s">
        <v>2486</v>
      </c>
      <c r="C8" s="3498"/>
      <c r="D8" s="2533"/>
      <c r="E8" s="2531"/>
      <c r="F8" s="2534"/>
      <c r="G8" s="2534"/>
      <c r="H8" s="2535"/>
      <c r="I8" s="2536">
        <f t="shared" si="0"/>
        <v>0</v>
      </c>
    </row>
    <row r="9" spans="1:9">
      <c r="A9" s="3497"/>
      <c r="B9" s="3498" t="s">
        <v>2487</v>
      </c>
      <c r="C9" s="3498"/>
      <c r="D9" s="2533"/>
      <c r="E9" s="2531"/>
      <c r="F9" s="2534"/>
      <c r="G9" s="2534"/>
      <c r="H9" s="2535"/>
      <c r="I9" s="2536">
        <f t="shared" si="0"/>
        <v>0</v>
      </c>
    </row>
    <row r="10" spans="1:9">
      <c r="A10" s="3497"/>
      <c r="B10" s="3499" t="s">
        <v>2488</v>
      </c>
      <c r="C10" s="3499"/>
      <c r="D10" s="2537">
        <v>527</v>
      </c>
      <c r="E10" s="2537" t="e">
        <f>ROUND(D1*10000/D10/H9,0)</f>
        <v>#DIV/0!</v>
      </c>
      <c r="F10" s="2538"/>
      <c r="G10" s="2538"/>
      <c r="H10" s="2539"/>
      <c r="I10" s="2540">
        <f>SUM(I3:I9)</f>
        <v>0</v>
      </c>
    </row>
    <row r="11" spans="1:9" ht="14.25">
      <c r="A11" s="3497" t="s">
        <v>2489</v>
      </c>
      <c r="B11" s="3498" t="s">
        <v>2490</v>
      </c>
      <c r="C11" s="3498"/>
      <c r="D11" s="2533" t="s">
        <v>2491</v>
      </c>
      <c r="E11" s="2533" t="s">
        <v>2492</v>
      </c>
      <c r="F11" s="2534" t="s">
        <v>2493</v>
      </c>
      <c r="G11" s="2534" t="s">
        <v>2494</v>
      </c>
      <c r="H11" s="2541" t="s">
        <v>2495</v>
      </c>
      <c r="I11" s="2532" t="s">
        <v>2496</v>
      </c>
    </row>
    <row r="12" spans="1:9">
      <c r="A12" s="3497"/>
      <c r="B12" s="3498" t="s">
        <v>2497</v>
      </c>
      <c r="C12" s="3498"/>
      <c r="D12" s="2533"/>
      <c r="E12" s="2533"/>
      <c r="F12" s="2534"/>
      <c r="G12" s="2535"/>
      <c r="H12" s="2542"/>
      <c r="I12" s="2532">
        <f>ROUND(D12*E12*F12*G12/10000,0)</f>
        <v>0</v>
      </c>
    </row>
    <row r="13" spans="1:9">
      <c r="A13" s="3497"/>
      <c r="B13" s="3498" t="s">
        <v>2498</v>
      </c>
      <c r="C13" s="3498"/>
      <c r="D13" s="2533"/>
      <c r="E13" s="2533"/>
      <c r="F13" s="2534"/>
      <c r="G13" s="2535"/>
      <c r="H13" s="2542"/>
      <c r="I13" s="2532">
        <f>ROUND(D13*E13*F13*G13/10000,0)</f>
        <v>0</v>
      </c>
    </row>
    <row r="14" spans="1:9">
      <c r="A14" s="3497"/>
      <c r="B14" s="3498" t="s">
        <v>2499</v>
      </c>
      <c r="C14" s="3498"/>
      <c r="D14" s="2533"/>
      <c r="E14" s="2533"/>
      <c r="F14" s="2534"/>
      <c r="G14" s="2535"/>
      <c r="H14" s="2542"/>
      <c r="I14" s="2532">
        <f>ROUND(D14*E14*F14*G14/10000,0)</f>
        <v>0</v>
      </c>
    </row>
    <row r="15" spans="1:9">
      <c r="A15" s="3497"/>
      <c r="B15" s="3499" t="s">
        <v>2488</v>
      </c>
      <c r="C15" s="3499"/>
      <c r="D15" s="2537"/>
      <c r="E15" s="2537">
        <f>SUM(E12:E14)</f>
        <v>0</v>
      </c>
      <c r="F15" s="2538"/>
      <c r="G15" s="2535"/>
      <c r="H15" s="2542"/>
      <c r="I15" s="2543">
        <f>SUM(I12:I14)</f>
        <v>0</v>
      </c>
    </row>
    <row r="16" spans="1:9" ht="24">
      <c r="A16" s="3497" t="s">
        <v>2500</v>
      </c>
      <c r="B16" s="3498" t="s">
        <v>2501</v>
      </c>
      <c r="C16" s="3498"/>
      <c r="D16" s="2533" t="s">
        <v>2502</v>
      </c>
      <c r="E16" s="2544" t="s">
        <v>2503</v>
      </c>
      <c r="F16" s="2534" t="s">
        <v>2504</v>
      </c>
      <c r="G16" s="2535" t="s">
        <v>2494</v>
      </c>
      <c r="H16" s="2541" t="s">
        <v>2495</v>
      </c>
      <c r="I16" s="2532" t="s">
        <v>2496</v>
      </c>
    </row>
    <row r="17" spans="1:9" ht="14.25">
      <c r="A17" s="3497"/>
      <c r="B17" s="3498" t="s">
        <v>2505</v>
      </c>
      <c r="C17" s="3498"/>
      <c r="D17" s="2533"/>
      <c r="E17" s="2533"/>
      <c r="F17" s="2534"/>
      <c r="G17" s="2535"/>
      <c r="H17" s="2545"/>
      <c r="I17" s="2546">
        <f>ROUND(D17*E17*F17*G17/10000,0)</f>
        <v>0</v>
      </c>
    </row>
    <row r="18" spans="1:9" ht="14.25">
      <c r="A18" s="3497"/>
      <c r="B18" s="3498" t="s">
        <v>2506</v>
      </c>
      <c r="C18" s="3498"/>
      <c r="D18" s="2533"/>
      <c r="E18" s="2533"/>
      <c r="F18" s="2534"/>
      <c r="G18" s="2535"/>
      <c r="H18" s="2545"/>
      <c r="I18" s="2546">
        <f>ROUND(D18*E18*F18*G18/10000,0)</f>
        <v>0</v>
      </c>
    </row>
    <row r="19" spans="1:9" ht="14.25">
      <c r="A19" s="3497"/>
      <c r="B19" s="3498" t="s">
        <v>2507</v>
      </c>
      <c r="C19" s="3498"/>
      <c r="D19" s="2533"/>
      <c r="E19" s="2533"/>
      <c r="F19" s="2534"/>
      <c r="G19" s="2535"/>
      <c r="H19" s="2545"/>
      <c r="I19" s="2546">
        <f>ROUND(D19*E19*F19*G19/10000,0)</f>
        <v>0</v>
      </c>
    </row>
    <row r="20" spans="1:9">
      <c r="A20" s="3497"/>
      <c r="B20" s="3499" t="s">
        <v>2488</v>
      </c>
      <c r="C20" s="3499"/>
      <c r="D20" s="2537">
        <f>SUM(D17:D19)</f>
        <v>0</v>
      </c>
      <c r="E20" s="2537"/>
      <c r="F20" s="2538"/>
      <c r="G20" s="2535"/>
      <c r="H20" s="2542"/>
      <c r="I20" s="2543">
        <f>SUM(I17:I19)</f>
        <v>0</v>
      </c>
    </row>
    <row r="21" spans="1:9">
      <c r="A21" s="3497" t="s">
        <v>2508</v>
      </c>
      <c r="B21" s="3501"/>
      <c r="C21" s="3501"/>
      <c r="D21" s="3501"/>
      <c r="E21" s="3501"/>
      <c r="F21" s="3501"/>
      <c r="G21" s="3501"/>
      <c r="H21" s="2547">
        <v>0.1</v>
      </c>
      <c r="I21" s="2540">
        <f>ROUND(I10*H21,0)</f>
        <v>0</v>
      </c>
    </row>
    <row r="22" spans="1:9" ht="14.25">
      <c r="A22" s="3502" t="s">
        <v>2509</v>
      </c>
      <c r="B22" s="3503"/>
      <c r="C22" s="3504"/>
      <c r="D22" s="2548" t="s">
        <v>2510</v>
      </c>
      <c r="E22" s="2548" t="s">
        <v>2511</v>
      </c>
      <c r="F22" s="2549" t="s">
        <v>2512</v>
      </c>
      <c r="G22" s="2549" t="s">
        <v>2513</v>
      </c>
      <c r="H22" s="2541" t="s">
        <v>2514</v>
      </c>
      <c r="I22" s="2532" t="s">
        <v>2515</v>
      </c>
    </row>
    <row r="23" spans="1:9" ht="14.25" thickBot="1">
      <c r="A23" s="3505"/>
      <c r="B23" s="3506"/>
      <c r="C23" s="3507"/>
      <c r="D23" s="2550"/>
      <c r="E23" s="2550"/>
      <c r="F23" s="2550"/>
      <c r="G23" s="2551"/>
      <c r="H23" s="2552"/>
      <c r="I23" s="2553">
        <f>ROUND(E23*D23*F23*(1-G23)/10000,0)</f>
        <v>0</v>
      </c>
    </row>
    <row r="26" spans="1:9">
      <c r="A26" s="2554" t="s">
        <v>2516</v>
      </c>
      <c r="B26" s="2554"/>
      <c r="C26" s="2554"/>
      <c r="D26" s="2554"/>
      <c r="E26" s="3508">
        <f>C27-C30-C31-C32</f>
        <v>0</v>
      </c>
      <c r="F26" s="3508"/>
      <c r="G26" s="3508"/>
      <c r="H26" s="3065" t="s">
        <v>2843</v>
      </c>
    </row>
    <row r="27" spans="1:9">
      <c r="A27" s="2555">
        <v>1</v>
      </c>
      <c r="B27" s="2556" t="s">
        <v>2517</v>
      </c>
      <c r="C27" s="2556"/>
      <c r="D27" s="2556"/>
      <c r="E27" s="3509"/>
      <c r="F27" s="3509"/>
      <c r="G27" s="3509"/>
    </row>
    <row r="28" spans="1:9">
      <c r="A28" s="2557" t="s">
        <v>2518</v>
      </c>
      <c r="B28" s="2556" t="s">
        <v>2519</v>
      </c>
      <c r="C28" s="2556"/>
      <c r="D28" s="2556"/>
      <c r="E28" s="3509"/>
      <c r="F28" s="3509"/>
      <c r="G28" s="3509"/>
    </row>
    <row r="29" spans="1:9">
      <c r="A29" s="2557" t="s">
        <v>2520</v>
      </c>
      <c r="B29" s="2556" t="s">
        <v>2461</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500"/>
      <c r="F32" s="3500"/>
      <c r="G32" s="3500"/>
    </row>
    <row r="33" spans="1:7" hidden="1">
      <c r="A33" s="3510" t="s">
        <v>2527</v>
      </c>
      <c r="B33" s="3511"/>
      <c r="C33" s="3511"/>
      <c r="D33" s="3512"/>
      <c r="E33" s="3508"/>
      <c r="F33" s="3508"/>
      <c r="G33" s="3508"/>
    </row>
    <row r="34" spans="1:7" hidden="1">
      <c r="A34" s="2559">
        <v>1</v>
      </c>
      <c r="B34" s="2556" t="s">
        <v>2528</v>
      </c>
      <c r="C34" s="2556"/>
      <c r="D34" s="2556"/>
      <c r="E34" s="3509"/>
      <c r="F34" s="3509"/>
      <c r="G34" s="3509"/>
    </row>
    <row r="35" spans="1:7" hidden="1">
      <c r="A35" s="2559">
        <v>2</v>
      </c>
      <c r="B35" s="2556" t="s">
        <v>2529</v>
      </c>
      <c r="C35" s="2556"/>
      <c r="D35" s="2556"/>
      <c r="E35" s="3509"/>
      <c r="F35" s="3509"/>
      <c r="G35" s="3509"/>
    </row>
    <row r="36" spans="1:7" hidden="1">
      <c r="A36" s="2559">
        <v>3</v>
      </c>
      <c r="B36" s="2556" t="s">
        <v>2530</v>
      </c>
      <c r="C36" s="2556"/>
      <c r="D36" s="2556"/>
      <c r="E36" s="3509"/>
      <c r="F36" s="3509"/>
      <c r="G36" s="3509"/>
    </row>
    <row r="37" spans="1:7" hidden="1">
      <c r="A37" s="2559">
        <v>4</v>
      </c>
      <c r="B37" s="2556" t="s">
        <v>2531</v>
      </c>
      <c r="C37" s="2556"/>
      <c r="D37" s="2556"/>
      <c r="E37" s="3509"/>
      <c r="F37" s="3509"/>
      <c r="G37" s="3509"/>
    </row>
    <row r="38" spans="1:7" hidden="1">
      <c r="A38" s="3510" t="s">
        <v>2532</v>
      </c>
      <c r="B38" s="3511"/>
      <c r="C38" s="3511"/>
      <c r="D38" s="3512"/>
      <c r="E38" s="3508"/>
      <c r="F38" s="3508"/>
      <c r="G38" s="35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93">
        <v>1</v>
      </c>
      <c r="B7" s="748" t="s">
        <v>608</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612</v>
      </c>
      <c r="C10" s="749">
        <f>C11+C14+C15</f>
        <v>0</v>
      </c>
      <c r="D10" s="760">
        <f>'数据-汇总表'!E3</f>
        <v>152440.46</v>
      </c>
      <c r="E10" s="749">
        <f>'数据-取费表'!B31</f>
        <v>130</v>
      </c>
      <c r="F10" s="761"/>
      <c r="G10" s="759" t="s">
        <v>613</v>
      </c>
    </row>
    <row r="11" spans="1:25" s="2183" customFormat="1" ht="13.5" customHeight="1">
      <c r="A11" s="2493" t="s">
        <v>2441</v>
      </c>
      <c r="B11" s="752" t="s">
        <v>609</v>
      </c>
      <c r="C11" s="753">
        <f>'数据-取费表'!B29</f>
        <v>0</v>
      </c>
      <c r="D11" s="754"/>
      <c r="E11" s="753"/>
      <c r="F11" s="755"/>
      <c r="G11" s="2502" t="s">
        <v>2452</v>
      </c>
    </row>
    <row r="12" spans="1:25" s="2183" customFormat="1" ht="13.5" customHeight="1">
      <c r="A12" s="2500" t="s">
        <v>2449</v>
      </c>
      <c r="B12" s="756" t="s">
        <v>610</v>
      </c>
      <c r="C12" s="757">
        <f>ROUND(D12*E12/10000,0)</f>
        <v>1790</v>
      </c>
      <c r="D12" s="758">
        <f>'数据-汇总表'!E5</f>
        <v>111874.03000000001</v>
      </c>
      <c r="E12" s="757">
        <f>'数据-取费表'!B27</f>
        <v>160</v>
      </c>
      <c r="F12" s="755"/>
      <c r="G12" s="759"/>
    </row>
    <row r="13" spans="1:25" s="2183" customFormat="1" ht="13.5" customHeight="1">
      <c r="A13" s="2500" t="s">
        <v>2448</v>
      </c>
      <c r="B13" s="756" t="s">
        <v>611</v>
      </c>
      <c r="C13" s="757">
        <f>ROUND(D13*E13/10000,0)</f>
        <v>811</v>
      </c>
      <c r="D13" s="758">
        <f>'数据-汇总表'!E6</f>
        <v>40566.429999999978</v>
      </c>
      <c r="E13" s="757">
        <f>'数据-取费表'!B28</f>
        <v>200</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614</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615</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616</v>
      </c>
      <c r="C18" s="749">
        <f>ROUND((C7+C10+C16)*F18,0)</f>
        <v>0</v>
      </c>
      <c r="D18" s="762"/>
      <c r="E18" s="763"/>
      <c r="F18" s="761">
        <f>'数据-取费表'!Q16</f>
        <v>7.0000000000000007E-2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624</v>
      </c>
      <c r="C22" s="749">
        <f ca="1">ROUND(C21*F22,0)</f>
        <v>0</v>
      </c>
      <c r="D22" s="760"/>
      <c r="E22" s="749"/>
      <c r="F22" s="766">
        <f>'数据-取费表'!AP16</f>
        <v>0.92800000000000005</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97" sqref="C97:F102"/>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7" t="s">
        <v>718</v>
      </c>
      <c r="C1" s="2648" t="s">
        <v>719</v>
      </c>
      <c r="D1" s="2649"/>
      <c r="E1" s="2650"/>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46"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t="e">
        <f>C49</f>
        <v>#DIV/0!</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402" t="s">
        <v>521</v>
      </c>
      <c r="D4" s="3403"/>
      <c r="E4" s="3441" t="s">
        <v>522</v>
      </c>
      <c r="F4" s="3442"/>
      <c r="G4" s="3402" t="s">
        <v>523</v>
      </c>
      <c r="H4" s="3403"/>
      <c r="I4" s="3402" t="s">
        <v>524</v>
      </c>
      <c r="J4" s="3403"/>
      <c r="K4" s="853" t="s">
        <v>525</v>
      </c>
      <c r="L4" s="2133"/>
      <c r="M4" s="2134"/>
      <c r="N4" s="2134"/>
      <c r="O4" s="2134"/>
      <c r="P4" s="3404" t="s">
        <v>526</v>
      </c>
      <c r="Q4" s="3405"/>
      <c r="R4" s="3410" t="s">
        <v>522</v>
      </c>
      <c r="S4" s="3411"/>
      <c r="T4" s="3410" t="s">
        <v>523</v>
      </c>
      <c r="U4" s="3411"/>
      <c r="V4" s="3397" t="s">
        <v>524</v>
      </c>
      <c r="W4" s="3397"/>
      <c r="X4" s="1566"/>
      <c r="Y4" s="3410" t="s">
        <v>526</v>
      </c>
      <c r="Z4" s="3411"/>
      <c r="AA4" s="3399" t="s">
        <v>522</v>
      </c>
      <c r="AB4" s="3399" t="s">
        <v>523</v>
      </c>
      <c r="AC4" s="3399" t="s">
        <v>524</v>
      </c>
    </row>
    <row r="5" spans="1:29" ht="15">
      <c r="A5" s="515"/>
      <c r="B5" s="516"/>
      <c r="C5" s="3435" t="s">
        <v>2926</v>
      </c>
      <c r="D5" s="3436"/>
      <c r="E5" s="3443" t="s">
        <v>2927</v>
      </c>
      <c r="F5" s="3444"/>
      <c r="G5" s="3435" t="s">
        <v>2928</v>
      </c>
      <c r="H5" s="3436"/>
      <c r="I5" s="3435" t="s">
        <v>2929</v>
      </c>
      <c r="J5" s="3436"/>
      <c r="K5" s="854"/>
      <c r="L5" s="2133"/>
      <c r="M5" s="2134"/>
      <c r="N5" s="2134"/>
      <c r="O5" s="2134"/>
      <c r="P5" s="3406"/>
      <c r="Q5" s="3407"/>
      <c r="R5" s="3412"/>
      <c r="S5" s="3413"/>
      <c r="T5" s="3412"/>
      <c r="U5" s="3413"/>
      <c r="V5" s="3397"/>
      <c r="W5" s="3397"/>
      <c r="X5" s="1566"/>
      <c r="Y5" s="3412"/>
      <c r="Z5" s="3413"/>
      <c r="AA5" s="3400"/>
      <c r="AB5" s="3400"/>
      <c r="AC5" s="3400"/>
    </row>
    <row r="6" spans="1:29" ht="15.75" thickBot="1">
      <c r="A6" s="517"/>
      <c r="B6" s="518"/>
      <c r="C6" s="3437" t="s">
        <v>2930</v>
      </c>
      <c r="D6" s="3438"/>
      <c r="E6" s="3439" t="s">
        <v>2930</v>
      </c>
      <c r="F6" s="3440"/>
      <c r="G6" s="3437" t="s">
        <v>2930</v>
      </c>
      <c r="H6" s="3438"/>
      <c r="I6" s="3437" t="s">
        <v>2930</v>
      </c>
      <c r="J6" s="3438"/>
      <c r="K6" s="854" t="s">
        <v>527</v>
      </c>
      <c r="L6" s="2133"/>
      <c r="M6" s="2134"/>
      <c r="N6" s="2134"/>
      <c r="O6" s="2134"/>
      <c r="P6" s="3408"/>
      <c r="Q6" s="3409"/>
      <c r="R6" s="3412"/>
      <c r="S6" s="3413"/>
      <c r="T6" s="3414"/>
      <c r="U6" s="3415"/>
      <c r="V6" s="3397"/>
      <c r="W6" s="3397"/>
      <c r="X6" s="1566"/>
      <c r="Y6" s="3414"/>
      <c r="Z6" s="3415"/>
      <c r="AA6" s="3401"/>
      <c r="AB6" s="3401"/>
      <c r="AC6" s="3401"/>
    </row>
    <row r="7" spans="1:29" s="1220" customFormat="1" ht="15.75" thickBot="1">
      <c r="A7" s="2936"/>
      <c r="B7" s="2943" t="s">
        <v>528</v>
      </c>
      <c r="C7" s="519">
        <f>'数据-取费表'!B2</f>
        <v>43348</v>
      </c>
      <c r="D7" s="520">
        <v>100</v>
      </c>
      <c r="E7" s="521"/>
      <c r="F7" s="522">
        <f>SUMIF(58:58,YEAR(E7)&amp;"-"&amp;MONTH(E7),59:59)</f>
        <v>0</v>
      </c>
      <c r="G7" s="523"/>
      <c r="H7" s="520">
        <f>SUMIF(58:58,YEAR(G7)&amp;"-"&amp;MONTH(G7),59:59)</f>
        <v>0</v>
      </c>
      <c r="I7" s="523"/>
      <c r="J7" s="520">
        <f>SUMIF(58:58,YEAR(I7)&amp;"-"&amp;MONTH(I7),59:59)</f>
        <v>0</v>
      </c>
      <c r="K7" s="855"/>
      <c r="L7" s="2135"/>
      <c r="M7" s="2136"/>
      <c r="N7" s="2136"/>
      <c r="O7" s="2136"/>
      <c r="P7" s="3428" t="s">
        <v>529</v>
      </c>
      <c r="Q7" s="3430"/>
      <c r="R7" s="1567" t="s">
        <v>13</v>
      </c>
      <c r="S7" s="1568">
        <f t="shared" ref="S7:S15" si="0">F7</f>
        <v>0</v>
      </c>
      <c r="T7" s="1567" t="s">
        <v>13</v>
      </c>
      <c r="U7" s="1568">
        <f t="shared" ref="U7:U15" si="1">H7</f>
        <v>0</v>
      </c>
      <c r="V7" s="1567" t="s">
        <v>13</v>
      </c>
      <c r="W7" s="1568">
        <f t="shared" ref="W7:W15" si="2">J7</f>
        <v>0</v>
      </c>
      <c r="X7" s="1569"/>
      <c r="Y7" s="3428" t="s">
        <v>529</v>
      </c>
      <c r="Z7" s="3429"/>
      <c r="AA7" s="1570" t="e">
        <f>D7/F7</f>
        <v>#DIV/0!</v>
      </c>
      <c r="AB7" s="1570" t="e">
        <f>D7/H7</f>
        <v>#DIV/0!</v>
      </c>
      <c r="AC7" s="1570" t="e">
        <f>D7/J7</f>
        <v>#DIV/0!</v>
      </c>
    </row>
    <row r="8" spans="1:29" s="1220" customFormat="1" ht="15.75" thickBot="1">
      <c r="A8" s="2937"/>
      <c r="B8" s="2944" t="s">
        <v>530</v>
      </c>
      <c r="C8" s="525" t="s">
        <v>575</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428" t="s">
        <v>532</v>
      </c>
      <c r="Q8" s="3429"/>
      <c r="R8" s="1567" t="s">
        <v>13</v>
      </c>
      <c r="S8" s="1568">
        <f t="shared" si="0"/>
        <v>0</v>
      </c>
      <c r="T8" s="1567" t="s">
        <v>13</v>
      </c>
      <c r="U8" s="1568">
        <f t="shared" si="1"/>
        <v>0</v>
      </c>
      <c r="V8" s="1567" t="s">
        <v>13</v>
      </c>
      <c r="W8" s="1568">
        <f t="shared" si="2"/>
        <v>0</v>
      </c>
      <c r="X8" s="1569"/>
      <c r="Y8" s="3428" t="s">
        <v>532</v>
      </c>
      <c r="Z8" s="3429"/>
      <c r="AA8" s="1570" t="e">
        <f t="shared" ref="AA8:AA46" si="3">D8/F8</f>
        <v>#DIV/0!</v>
      </c>
      <c r="AB8" s="1570" t="e">
        <f t="shared" ref="AB8:AB46" si="4">D8/H8</f>
        <v>#DIV/0!</v>
      </c>
      <c r="AC8" s="1570" t="e">
        <f t="shared" ref="AC8:AC46" si="5">D8/J8</f>
        <v>#DIV/0!</v>
      </c>
    </row>
    <row r="9" spans="1:29" s="1220" customFormat="1" ht="15">
      <c r="A9" s="2938"/>
      <c r="B9" s="2945" t="s">
        <v>2756</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96" t="s">
        <v>534</v>
      </c>
      <c r="Q9" s="1151" t="str">
        <f t="shared" ref="Q9:Q15" si="6">B9</f>
        <v>用途</v>
      </c>
      <c r="R9" s="1567" t="s">
        <v>8</v>
      </c>
      <c r="S9" s="1568">
        <f t="shared" si="0"/>
        <v>100</v>
      </c>
      <c r="T9" s="1567" t="s">
        <v>8</v>
      </c>
      <c r="U9" s="1568">
        <f t="shared" si="1"/>
        <v>100</v>
      </c>
      <c r="V9" s="1567" t="s">
        <v>8</v>
      </c>
      <c r="W9" s="1568">
        <f t="shared" si="2"/>
        <v>100</v>
      </c>
      <c r="X9" s="1569"/>
      <c r="Y9" s="3342"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96"/>
      <c r="Q10" s="1151" t="str">
        <f t="shared" si="6"/>
        <v>土地使用年限（年）</v>
      </c>
      <c r="R10" s="1567" t="s">
        <v>8</v>
      </c>
      <c r="S10" s="1568">
        <f t="shared" si="0"/>
        <v>100</v>
      </c>
      <c r="T10" s="1567" t="s">
        <v>8</v>
      </c>
      <c r="U10" s="1568">
        <f t="shared" si="1"/>
        <v>100</v>
      </c>
      <c r="V10" s="1567" t="s">
        <v>8</v>
      </c>
      <c r="W10" s="1568">
        <f t="shared" si="2"/>
        <v>100</v>
      </c>
      <c r="X10" s="1569"/>
      <c r="Y10" s="3342"/>
      <c r="Z10" s="1150" t="str">
        <f t="shared" si="7"/>
        <v>土地使用年限（年）</v>
      </c>
      <c r="AA10" s="1570">
        <f t="shared" si="3"/>
        <v>1</v>
      </c>
      <c r="AB10" s="1570">
        <f t="shared" si="4"/>
        <v>1</v>
      </c>
      <c r="AC10" s="1570">
        <f t="shared" si="5"/>
        <v>1</v>
      </c>
    </row>
    <row r="11" spans="1:29" ht="15">
      <c r="A11" s="2940"/>
      <c r="B11" s="2944"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96"/>
      <c r="Q11" s="1151" t="str">
        <f t="shared" si="6"/>
        <v>容积率</v>
      </c>
      <c r="R11" s="1567" t="s">
        <v>11</v>
      </c>
      <c r="S11" s="1568" t="e">
        <f t="shared" si="0"/>
        <v>#N/A</v>
      </c>
      <c r="T11" s="1567" t="s">
        <v>11</v>
      </c>
      <c r="U11" s="1568" t="e">
        <f t="shared" si="1"/>
        <v>#N/A</v>
      </c>
      <c r="V11" s="1567" t="s">
        <v>11</v>
      </c>
      <c r="W11" s="1568" t="e">
        <f t="shared" si="2"/>
        <v>#N/A</v>
      </c>
      <c r="X11" s="1569"/>
      <c r="Y11" s="3342"/>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96"/>
      <c r="Q12" s="1151">
        <f t="shared" si="6"/>
        <v>111</v>
      </c>
      <c r="R12" s="1567" t="s">
        <v>11</v>
      </c>
      <c r="S12" s="1568">
        <f t="shared" si="0"/>
        <v>100</v>
      </c>
      <c r="T12" s="1567" t="s">
        <v>11</v>
      </c>
      <c r="U12" s="1568">
        <f t="shared" si="1"/>
        <v>100</v>
      </c>
      <c r="V12" s="1567" t="s">
        <v>11</v>
      </c>
      <c r="W12" s="1568">
        <f t="shared" si="2"/>
        <v>100</v>
      </c>
      <c r="X12" s="1569"/>
      <c r="Y12" s="3342"/>
      <c r="Z12" s="1150">
        <f t="shared" si="7"/>
        <v>111</v>
      </c>
      <c r="AA12" s="1570">
        <f>D12/F12</f>
        <v>1</v>
      </c>
      <c r="AB12" s="1570">
        <f>D12/H12</f>
        <v>1</v>
      </c>
      <c r="AC12" s="1570">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96"/>
      <c r="Q13" s="1151">
        <f t="shared" si="6"/>
        <v>111</v>
      </c>
      <c r="R13" s="1567" t="s">
        <v>11</v>
      </c>
      <c r="S13" s="1568">
        <f t="shared" si="0"/>
        <v>100</v>
      </c>
      <c r="T13" s="1567" t="s">
        <v>11</v>
      </c>
      <c r="U13" s="1568">
        <f t="shared" si="1"/>
        <v>100</v>
      </c>
      <c r="V13" s="1567" t="s">
        <v>11</v>
      </c>
      <c r="W13" s="1568">
        <f t="shared" si="2"/>
        <v>100</v>
      </c>
      <c r="X13" s="1569"/>
      <c r="Y13" s="3342"/>
      <c r="Z13" s="1150">
        <f t="shared" si="7"/>
        <v>111</v>
      </c>
      <c r="AA13" s="1570">
        <f t="shared" si="3"/>
        <v>1</v>
      </c>
      <c r="AB13" s="1570">
        <f t="shared" si="4"/>
        <v>1</v>
      </c>
      <c r="AC13" s="1570">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96"/>
      <c r="Q14" s="1151">
        <f t="shared" si="6"/>
        <v>111</v>
      </c>
      <c r="R14" s="1567" t="s">
        <v>11</v>
      </c>
      <c r="S14" s="1568">
        <f t="shared" si="0"/>
        <v>100</v>
      </c>
      <c r="T14" s="1567" t="s">
        <v>11</v>
      </c>
      <c r="U14" s="1568">
        <f t="shared" si="1"/>
        <v>100</v>
      </c>
      <c r="V14" s="1567" t="s">
        <v>11</v>
      </c>
      <c r="W14" s="1568">
        <f t="shared" si="2"/>
        <v>100</v>
      </c>
      <c r="X14" s="1569"/>
      <c r="Y14" s="3342"/>
      <c r="Z14" s="1150">
        <f t="shared" si="7"/>
        <v>111</v>
      </c>
      <c r="AA14" s="1570">
        <f t="shared" si="3"/>
        <v>1</v>
      </c>
      <c r="AB14" s="1570">
        <f t="shared" si="4"/>
        <v>1</v>
      </c>
      <c r="AC14" s="1570">
        <f t="shared" si="5"/>
        <v>1</v>
      </c>
    </row>
    <row r="15" spans="1:29" ht="99.75">
      <c r="A15" s="2934" t="s">
        <v>2754</v>
      </c>
      <c r="B15" s="166" t="s">
        <v>294</v>
      </c>
      <c r="C15" s="867" t="str">
        <f>估价对象房地状况!C3</f>
        <v>估价对象周边居住用地比例较少、有颐风庄园、大牛坊社区等居住项目，综合评价居住社区成熟度一般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31" t="s">
        <v>539</v>
      </c>
      <c r="Q15" s="1571" t="str">
        <f t="shared" si="6"/>
        <v>居住社区成熟度</v>
      </c>
      <c r="R15" s="1572" t="s">
        <v>11</v>
      </c>
      <c r="S15" s="1573">
        <f t="shared" si="0"/>
        <v>100</v>
      </c>
      <c r="T15" s="1572" t="s">
        <v>11</v>
      </c>
      <c r="U15" s="1573">
        <f t="shared" si="1"/>
        <v>100</v>
      </c>
      <c r="V15" s="1572" t="s">
        <v>11</v>
      </c>
      <c r="W15" s="1573">
        <f t="shared" si="2"/>
        <v>100</v>
      </c>
      <c r="X15" s="1566"/>
      <c r="Y15" s="3431" t="s">
        <v>539</v>
      </c>
      <c r="Z15" s="1574" t="str">
        <f t="shared" si="7"/>
        <v>居住社区成熟度</v>
      </c>
      <c r="AA15" s="1575">
        <f t="shared" si="3"/>
        <v>1</v>
      </c>
      <c r="AB15" s="1575">
        <f t="shared" si="4"/>
        <v>1</v>
      </c>
      <c r="AC15" s="1575">
        <f t="shared" si="5"/>
        <v>1</v>
      </c>
    </row>
    <row r="16" spans="1:29" ht="15">
      <c r="A16" s="532"/>
      <c r="B16" s="869"/>
      <c r="C16" s="576"/>
      <c r="D16" s="555"/>
      <c r="E16" s="556"/>
      <c r="F16" s="557"/>
      <c r="G16" s="558"/>
      <c r="H16" s="559"/>
      <c r="I16" s="556"/>
      <c r="J16" s="555"/>
      <c r="K16" s="870"/>
      <c r="L16" s="2142"/>
      <c r="M16" s="2134"/>
      <c r="N16" s="2134"/>
      <c r="O16" s="2141"/>
      <c r="P16" s="3432"/>
      <c r="Q16" s="1571"/>
      <c r="R16" s="1572"/>
      <c r="S16" s="1573"/>
      <c r="T16" s="1572"/>
      <c r="U16" s="1573"/>
      <c r="V16" s="1572"/>
      <c r="W16" s="1573"/>
      <c r="X16" s="1566"/>
      <c r="Y16" s="3432"/>
      <c r="Z16" s="1574"/>
      <c r="AA16" s="1575">
        <v>1</v>
      </c>
      <c r="AB16" s="1575">
        <v>1</v>
      </c>
      <c r="AC16" s="1575">
        <v>1</v>
      </c>
    </row>
    <row r="17" spans="1:29" ht="171">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32"/>
      <c r="Q17" s="1571" t="str">
        <f>B17</f>
        <v>交通便捷度</v>
      </c>
      <c r="R17" s="1572" t="s">
        <v>11</v>
      </c>
      <c r="S17" s="1573">
        <f>F17</f>
        <v>100</v>
      </c>
      <c r="T17" s="1572" t="s">
        <v>11</v>
      </c>
      <c r="U17" s="1573">
        <f>H17</f>
        <v>100</v>
      </c>
      <c r="V17" s="1572" t="s">
        <v>11</v>
      </c>
      <c r="W17" s="1573">
        <f>J17</f>
        <v>100</v>
      </c>
      <c r="X17" s="1566"/>
      <c r="Y17" s="3432"/>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70"/>
      <c r="L18" s="2142"/>
      <c r="M18" s="2134"/>
      <c r="N18" s="2134"/>
      <c r="O18" s="2141"/>
      <c r="P18" s="3432"/>
      <c r="Q18" s="1571"/>
      <c r="R18" s="1572"/>
      <c r="S18" s="1573"/>
      <c r="T18" s="1572"/>
      <c r="U18" s="1573"/>
      <c r="V18" s="1572"/>
      <c r="W18" s="1573"/>
      <c r="X18" s="1566"/>
      <c r="Y18" s="3432"/>
      <c r="Z18" s="1574"/>
      <c r="AA18" s="1575">
        <v>1</v>
      </c>
      <c r="AB18" s="1575">
        <v>1</v>
      </c>
      <c r="AC18" s="1575">
        <v>1</v>
      </c>
    </row>
    <row r="19" spans="1:29" ht="156.75">
      <c r="A19" s="532"/>
      <c r="B19" s="2624"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32"/>
      <c r="Q19" s="1571" t="str">
        <f>B19</f>
        <v>公共配套设施</v>
      </c>
      <c r="R19" s="1572" t="s">
        <v>11</v>
      </c>
      <c r="S19" s="1573">
        <f>F19</f>
        <v>100</v>
      </c>
      <c r="T19" s="1572" t="s">
        <v>11</v>
      </c>
      <c r="U19" s="1573">
        <f>H19</f>
        <v>100</v>
      </c>
      <c r="V19" s="1572" t="s">
        <v>11</v>
      </c>
      <c r="W19" s="1573">
        <f>J19</f>
        <v>100</v>
      </c>
      <c r="X19" s="1566"/>
      <c r="Y19" s="3432"/>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70"/>
      <c r="L20" s="2142"/>
      <c r="M20" s="2134"/>
      <c r="N20" s="2134"/>
      <c r="O20" s="2141"/>
      <c r="P20" s="3432"/>
      <c r="Q20" s="1571"/>
      <c r="R20" s="1572"/>
      <c r="S20" s="1573"/>
      <c r="T20" s="1572"/>
      <c r="U20" s="1573"/>
      <c r="V20" s="1572"/>
      <c r="W20" s="1573"/>
      <c r="X20" s="1566"/>
      <c r="Y20" s="3432"/>
      <c r="Z20" s="1574"/>
      <c r="AA20" s="1575">
        <v>1</v>
      </c>
      <c r="AB20" s="1575">
        <v>1</v>
      </c>
      <c r="AC20" s="1575">
        <v>1</v>
      </c>
    </row>
    <row r="21" spans="1:29" ht="28.5">
      <c r="A21" s="532"/>
      <c r="B21" s="261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32"/>
      <c r="Q21" s="2603" t="str">
        <f>B21</f>
        <v>基础设施水平</v>
      </c>
      <c r="R21" s="1572" t="s">
        <v>11</v>
      </c>
      <c r="S21" s="1573">
        <f>F21</f>
        <v>100</v>
      </c>
      <c r="T21" s="1572" t="s">
        <v>11</v>
      </c>
      <c r="U21" s="1573">
        <f>H21</f>
        <v>100</v>
      </c>
      <c r="V21" s="1572" t="s">
        <v>11</v>
      </c>
      <c r="W21" s="1573">
        <f>J21</f>
        <v>100</v>
      </c>
      <c r="X21" s="2605"/>
      <c r="Y21" s="3432"/>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3"/>
      <c r="L22" s="2142"/>
      <c r="M22" s="2134"/>
      <c r="N22" s="2134"/>
      <c r="O22" s="2141"/>
      <c r="P22" s="3432"/>
      <c r="Q22" s="2603"/>
      <c r="R22" s="1572"/>
      <c r="S22" s="1573"/>
      <c r="T22" s="1572"/>
      <c r="U22" s="1573"/>
      <c r="V22" s="1572"/>
      <c r="W22" s="1573"/>
      <c r="X22" s="2605"/>
      <c r="Y22" s="3432"/>
      <c r="Z22" s="2604"/>
      <c r="AA22" s="1575">
        <v>1</v>
      </c>
      <c r="AB22" s="1575">
        <v>1</v>
      </c>
      <c r="AC22" s="1575">
        <v>1</v>
      </c>
    </row>
    <row r="23" spans="1:29" ht="85.5">
      <c r="A23" s="532"/>
      <c r="B23" s="871" t="s">
        <v>296</v>
      </c>
      <c r="C23" s="872"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32"/>
      <c r="Q23" s="1571" t="str">
        <f>B23</f>
        <v>自然及人文环境</v>
      </c>
      <c r="R23" s="1572" t="s">
        <v>11</v>
      </c>
      <c r="S23" s="1573">
        <f>F23</f>
        <v>100</v>
      </c>
      <c r="T23" s="1572" t="s">
        <v>11</v>
      </c>
      <c r="U23" s="1573">
        <f>H23</f>
        <v>100</v>
      </c>
      <c r="V23" s="1572" t="s">
        <v>11</v>
      </c>
      <c r="W23" s="1573">
        <f>J23</f>
        <v>100</v>
      </c>
      <c r="X23" s="1566"/>
      <c r="Y23" s="3432"/>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70"/>
      <c r="L24" s="2142"/>
      <c r="M24" s="2134"/>
      <c r="N24" s="2134"/>
      <c r="O24" s="2141"/>
      <c r="P24" s="3432"/>
      <c r="Q24" s="1571"/>
      <c r="R24" s="1572"/>
      <c r="S24" s="1573"/>
      <c r="T24" s="1572"/>
      <c r="U24" s="1573"/>
      <c r="V24" s="1572"/>
      <c r="W24" s="1573"/>
      <c r="X24" s="1566"/>
      <c r="Y24" s="3432"/>
      <c r="Z24" s="1574"/>
      <c r="AA24" s="1575">
        <v>1</v>
      </c>
      <c r="AB24" s="1575">
        <v>1</v>
      </c>
      <c r="AC24" s="1575">
        <v>1</v>
      </c>
    </row>
    <row r="25" spans="1:29" ht="15">
      <c r="A25" s="532"/>
      <c r="B25" s="1895" t="s">
        <v>2256</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32"/>
      <c r="Q25" s="1571" t="str">
        <f t="shared" ref="Q25:Q46" si="11">B25</f>
        <v>楼层-1</v>
      </c>
      <c r="R25" s="1572" t="s">
        <v>11</v>
      </c>
      <c r="S25" s="1573">
        <f>F25</f>
        <v>100</v>
      </c>
      <c r="T25" s="1572" t="s">
        <v>11</v>
      </c>
      <c r="U25" s="1573">
        <f>H25</f>
        <v>100</v>
      </c>
      <c r="V25" s="1572" t="s">
        <v>11</v>
      </c>
      <c r="W25" s="1573">
        <f>J25</f>
        <v>100</v>
      </c>
      <c r="X25" s="1566"/>
      <c r="Y25" s="3432"/>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32"/>
      <c r="Q26" s="1571" t="str">
        <f t="shared" si="11"/>
        <v>朝向</v>
      </c>
      <c r="R26" s="1572" t="s">
        <v>11</v>
      </c>
      <c r="S26" s="1573">
        <f>F26</f>
        <v>100</v>
      </c>
      <c r="T26" s="1572" t="s">
        <v>11</v>
      </c>
      <c r="U26" s="1573">
        <f>H26</f>
        <v>100</v>
      </c>
      <c r="V26" s="1572" t="s">
        <v>11</v>
      </c>
      <c r="W26" s="1573">
        <f>J26</f>
        <v>100</v>
      </c>
      <c r="X26" s="1566"/>
      <c r="Y26" s="3432"/>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32"/>
      <c r="Q27" s="1151" t="str">
        <f t="shared" si="11"/>
        <v>道路级别</v>
      </c>
      <c r="R27" s="1567" t="s">
        <v>11</v>
      </c>
      <c r="S27" s="1568">
        <f>F27</f>
        <v>100</v>
      </c>
      <c r="T27" s="1567" t="s">
        <v>11</v>
      </c>
      <c r="U27" s="1568">
        <f>H27</f>
        <v>100</v>
      </c>
      <c r="V27" s="1567" t="s">
        <v>11</v>
      </c>
      <c r="W27" s="1568">
        <f>J27</f>
        <v>100</v>
      </c>
      <c r="X27" s="1569"/>
      <c r="Y27" s="3432"/>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32"/>
      <c r="Q28" s="1571">
        <f t="shared" si="11"/>
        <v>111</v>
      </c>
      <c r="R28" s="1572" t="s">
        <v>11</v>
      </c>
      <c r="S28" s="1573">
        <f t="shared" ref="S28:S46" si="12">F28</f>
        <v>100</v>
      </c>
      <c r="T28" s="1572" t="s">
        <v>11</v>
      </c>
      <c r="U28" s="1573">
        <f t="shared" ref="U28:U46" si="13">H28</f>
        <v>100</v>
      </c>
      <c r="V28" s="1572" t="s">
        <v>11</v>
      </c>
      <c r="W28" s="1573">
        <f t="shared" ref="W28:W46" si="14">J28</f>
        <v>100</v>
      </c>
      <c r="X28" s="1566"/>
      <c r="Y28" s="3432"/>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32"/>
      <c r="Q29" s="1571">
        <f t="shared" si="11"/>
        <v>111</v>
      </c>
      <c r="R29" s="1572" t="s">
        <v>11</v>
      </c>
      <c r="S29" s="1573">
        <f t="shared" si="12"/>
        <v>100</v>
      </c>
      <c r="T29" s="1572" t="s">
        <v>11</v>
      </c>
      <c r="U29" s="1573">
        <f t="shared" si="13"/>
        <v>100</v>
      </c>
      <c r="V29" s="1572" t="s">
        <v>11</v>
      </c>
      <c r="W29" s="1573">
        <f t="shared" si="14"/>
        <v>100</v>
      </c>
      <c r="X29" s="1566"/>
      <c r="Y29" s="3432"/>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32"/>
      <c r="Q30" s="1571">
        <f t="shared" si="11"/>
        <v>111</v>
      </c>
      <c r="R30" s="1572" t="s">
        <v>11</v>
      </c>
      <c r="S30" s="1573">
        <f t="shared" si="12"/>
        <v>100</v>
      </c>
      <c r="T30" s="1572" t="s">
        <v>11</v>
      </c>
      <c r="U30" s="1573">
        <f t="shared" si="13"/>
        <v>100</v>
      </c>
      <c r="V30" s="1572" t="s">
        <v>11</v>
      </c>
      <c r="W30" s="1573">
        <f t="shared" si="14"/>
        <v>100</v>
      </c>
      <c r="X30" s="1566"/>
      <c r="Y30" s="3432"/>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32"/>
      <c r="Q31" s="1571">
        <f t="shared" si="11"/>
        <v>111</v>
      </c>
      <c r="R31" s="1572" t="s">
        <v>11</v>
      </c>
      <c r="S31" s="1573">
        <f t="shared" si="12"/>
        <v>100</v>
      </c>
      <c r="T31" s="1572" t="s">
        <v>11</v>
      </c>
      <c r="U31" s="1573">
        <f t="shared" si="13"/>
        <v>100</v>
      </c>
      <c r="V31" s="1572" t="s">
        <v>11</v>
      </c>
      <c r="W31" s="1573">
        <f t="shared" si="14"/>
        <v>100</v>
      </c>
      <c r="X31" s="1566"/>
      <c r="Y31" s="3432"/>
      <c r="Z31" s="1574">
        <f t="shared" si="15"/>
        <v>111</v>
      </c>
      <c r="AA31" s="1575">
        <f t="shared" si="3"/>
        <v>1</v>
      </c>
      <c r="AB31" s="1575">
        <f t="shared" si="4"/>
        <v>1</v>
      </c>
      <c r="AC31" s="1575">
        <f t="shared" si="5"/>
        <v>1</v>
      </c>
    </row>
    <row r="32" spans="1:29" ht="15">
      <c r="A32" s="2931" t="s">
        <v>2755</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33" t="s">
        <v>549</v>
      </c>
      <c r="Q32" s="1571" t="str">
        <f t="shared" si="11"/>
        <v>建筑类型</v>
      </c>
      <c r="R32" s="1572" t="s">
        <v>11</v>
      </c>
      <c r="S32" s="1573">
        <f t="shared" si="12"/>
        <v>100</v>
      </c>
      <c r="T32" s="1572" t="s">
        <v>11</v>
      </c>
      <c r="U32" s="1573">
        <f t="shared" si="13"/>
        <v>100</v>
      </c>
      <c r="V32" s="1572" t="s">
        <v>11</v>
      </c>
      <c r="W32" s="1573">
        <f t="shared" si="14"/>
        <v>100</v>
      </c>
      <c r="X32" s="1566"/>
      <c r="Y32" s="3434" t="s">
        <v>549</v>
      </c>
      <c r="Z32" s="1574" t="str">
        <f t="shared" si="15"/>
        <v>建筑类型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34"/>
      <c r="Q33" s="1604" t="str">
        <f t="shared" si="11"/>
        <v>项目建筑规模</v>
      </c>
      <c r="R33" s="1576" t="s">
        <v>11</v>
      </c>
      <c r="S33" s="1577" t="e">
        <f t="shared" si="12"/>
        <v>#N/A</v>
      </c>
      <c r="T33" s="1576" t="s">
        <v>11</v>
      </c>
      <c r="U33" s="1577" t="e">
        <f t="shared" si="13"/>
        <v>#N/A</v>
      </c>
      <c r="V33" s="1576" t="s">
        <v>11</v>
      </c>
      <c r="W33" s="1577" t="e">
        <f t="shared" si="14"/>
        <v>#N/A</v>
      </c>
      <c r="X33" s="1578"/>
      <c r="Y33" s="3434"/>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34"/>
      <c r="Q34" s="1571" t="str">
        <f t="shared" si="11"/>
        <v>建筑结构</v>
      </c>
      <c r="R34" s="1572" t="s">
        <v>11</v>
      </c>
      <c r="S34" s="1573">
        <f t="shared" si="12"/>
        <v>100</v>
      </c>
      <c r="T34" s="1572" t="s">
        <v>11</v>
      </c>
      <c r="U34" s="1573">
        <f t="shared" si="13"/>
        <v>100</v>
      </c>
      <c r="V34" s="1572" t="s">
        <v>11</v>
      </c>
      <c r="W34" s="1573">
        <f t="shared" si="14"/>
        <v>100</v>
      </c>
      <c r="X34" s="1566"/>
      <c r="Y34" s="3434"/>
      <c r="Z34" s="1574" t="str">
        <f t="shared" si="15"/>
        <v>建筑结构</v>
      </c>
      <c r="AA34" s="1575">
        <f t="shared" si="3"/>
        <v>1</v>
      </c>
      <c r="AB34" s="1575">
        <f t="shared" si="4"/>
        <v>1</v>
      </c>
      <c r="AC34" s="1575">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34"/>
      <c r="Q35" s="1571" t="str">
        <f t="shared" si="11"/>
        <v>建筑品质</v>
      </c>
      <c r="R35" s="1572" t="s">
        <v>11</v>
      </c>
      <c r="S35" s="1573">
        <f t="shared" si="12"/>
        <v>100</v>
      </c>
      <c r="T35" s="1572" t="s">
        <v>11</v>
      </c>
      <c r="U35" s="1573">
        <f t="shared" si="13"/>
        <v>100</v>
      </c>
      <c r="V35" s="1572" t="s">
        <v>11</v>
      </c>
      <c r="W35" s="1573">
        <f t="shared" si="14"/>
        <v>100</v>
      </c>
      <c r="X35" s="1566"/>
      <c r="Y35" s="3434"/>
      <c r="Z35" s="1574" t="str">
        <f t="shared" si="15"/>
        <v>建筑品质</v>
      </c>
      <c r="AA35" s="1575">
        <f t="shared" si="3"/>
        <v>1</v>
      </c>
      <c r="AB35" s="1575">
        <f t="shared" si="4"/>
        <v>1</v>
      </c>
      <c r="AC35" s="1575">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34"/>
      <c r="Q36" s="1571" t="str">
        <f t="shared" si="11"/>
        <v>公共部分装修</v>
      </c>
      <c r="R36" s="1572" t="s">
        <v>11</v>
      </c>
      <c r="S36" s="1573">
        <f t="shared" si="12"/>
        <v>100</v>
      </c>
      <c r="T36" s="1572" t="s">
        <v>11</v>
      </c>
      <c r="U36" s="1573">
        <f t="shared" si="13"/>
        <v>100</v>
      </c>
      <c r="V36" s="1572" t="s">
        <v>11</v>
      </c>
      <c r="W36" s="1573">
        <f t="shared" si="14"/>
        <v>100</v>
      </c>
      <c r="X36" s="1566"/>
      <c r="Y36" s="3434"/>
      <c r="Z36" s="1574" t="str">
        <f t="shared" si="15"/>
        <v>公共部分装修</v>
      </c>
      <c r="AA36" s="1575">
        <f t="shared" si="3"/>
        <v>1</v>
      </c>
      <c r="AB36" s="1575">
        <f t="shared" si="4"/>
        <v>1</v>
      </c>
      <c r="AC36" s="1575">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34"/>
      <c r="Q37" s="1151" t="str">
        <f t="shared" si="11"/>
        <v>成新度</v>
      </c>
      <c r="R37" s="1567" t="s">
        <v>11</v>
      </c>
      <c r="S37" s="1568" t="e">
        <f t="shared" si="12"/>
        <v>#N/A</v>
      </c>
      <c r="T37" s="1567" t="s">
        <v>11</v>
      </c>
      <c r="U37" s="1568" t="e">
        <f t="shared" si="13"/>
        <v>#N/A</v>
      </c>
      <c r="V37" s="1567" t="s">
        <v>11</v>
      </c>
      <c r="W37" s="1568" t="e">
        <f t="shared" si="14"/>
        <v>#N/A</v>
      </c>
      <c r="X37" s="1569"/>
      <c r="Y37" s="3434"/>
      <c r="Z37" s="1150" t="str">
        <f t="shared" si="15"/>
        <v>成新度</v>
      </c>
      <c r="AA37" s="1570" t="e">
        <f t="shared" si="3"/>
        <v>#N/A</v>
      </c>
      <c r="AB37" s="1570" t="e">
        <f t="shared" si="4"/>
        <v>#N/A</v>
      </c>
      <c r="AC37" s="1570"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34" t="s">
        <v>549</v>
      </c>
      <c r="Q38" s="1571" t="str">
        <f t="shared" si="11"/>
        <v>物业管理</v>
      </c>
      <c r="R38" s="1572" t="s">
        <v>11</v>
      </c>
      <c r="S38" s="1573">
        <f t="shared" si="12"/>
        <v>100</v>
      </c>
      <c r="T38" s="1572" t="s">
        <v>11</v>
      </c>
      <c r="U38" s="1573">
        <f t="shared" si="13"/>
        <v>100</v>
      </c>
      <c r="V38" s="1572" t="s">
        <v>11</v>
      </c>
      <c r="W38" s="1573">
        <f t="shared" si="14"/>
        <v>100</v>
      </c>
      <c r="X38" s="1566"/>
      <c r="Y38" s="3434" t="s">
        <v>549</v>
      </c>
      <c r="Z38" s="1574" t="str">
        <f t="shared" si="15"/>
        <v>物业管理</v>
      </c>
      <c r="AA38" s="1575">
        <f t="shared" si="3"/>
        <v>1</v>
      </c>
      <c r="AB38" s="1575">
        <f t="shared" si="4"/>
        <v>1</v>
      </c>
      <c r="AC38" s="1575">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34"/>
      <c r="Q39" s="1571" t="str">
        <f t="shared" si="11"/>
        <v>市政基础设施</v>
      </c>
      <c r="R39" s="1572" t="s">
        <v>11</v>
      </c>
      <c r="S39" s="1573">
        <f t="shared" si="12"/>
        <v>100</v>
      </c>
      <c r="T39" s="1572" t="s">
        <v>11</v>
      </c>
      <c r="U39" s="1573">
        <f t="shared" si="13"/>
        <v>100</v>
      </c>
      <c r="V39" s="1572" t="s">
        <v>11</v>
      </c>
      <c r="W39" s="1573">
        <f t="shared" si="14"/>
        <v>100</v>
      </c>
      <c r="X39" s="1566"/>
      <c r="Y39" s="3434"/>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34"/>
      <c r="Q40" s="1571" t="str">
        <f t="shared" si="11"/>
        <v>房型</v>
      </c>
      <c r="R40" s="1572" t="s">
        <v>11</v>
      </c>
      <c r="S40" s="1573">
        <f t="shared" si="12"/>
        <v>100</v>
      </c>
      <c r="T40" s="1572" t="s">
        <v>11</v>
      </c>
      <c r="U40" s="1573">
        <f t="shared" si="13"/>
        <v>100</v>
      </c>
      <c r="V40" s="1572" t="s">
        <v>11</v>
      </c>
      <c r="W40" s="1573">
        <f t="shared" si="14"/>
        <v>100</v>
      </c>
      <c r="X40" s="1566"/>
      <c r="Y40" s="3434"/>
      <c r="Z40" s="1574" t="str">
        <f t="shared" si="15"/>
        <v>房型</v>
      </c>
      <c r="AA40" s="1575">
        <f t="shared" si="3"/>
        <v>1</v>
      </c>
      <c r="AB40" s="1575">
        <f t="shared" si="4"/>
        <v>1</v>
      </c>
      <c r="AC40" s="1575">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34"/>
      <c r="Q41" s="1604" t="str">
        <f t="shared" si="11"/>
        <v>单套/主力户型建筑面积</v>
      </c>
      <c r="R41" s="1576" t="s">
        <v>11</v>
      </c>
      <c r="S41" s="1577">
        <f t="shared" si="12"/>
        <v>100</v>
      </c>
      <c r="T41" s="1576" t="s">
        <v>11</v>
      </c>
      <c r="U41" s="1577">
        <f t="shared" si="13"/>
        <v>100</v>
      </c>
      <c r="V41" s="1576" t="s">
        <v>11</v>
      </c>
      <c r="W41" s="1577">
        <f t="shared" si="14"/>
        <v>100</v>
      </c>
      <c r="X41" s="1578"/>
      <c r="Y41" s="3434"/>
      <c r="Z41" s="1579" t="str">
        <f t="shared" si="15"/>
        <v>单套/主力户型建筑面积</v>
      </c>
      <c r="AA41" s="1575">
        <f t="shared" si="3"/>
        <v>1</v>
      </c>
      <c r="AB41" s="1575">
        <f t="shared" si="4"/>
        <v>1</v>
      </c>
      <c r="AC41" s="1575">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34"/>
      <c r="Q42" s="1571" t="str">
        <f t="shared" si="11"/>
        <v>内部装修</v>
      </c>
      <c r="R42" s="1572" t="s">
        <v>11</v>
      </c>
      <c r="S42" s="1573">
        <f t="shared" si="12"/>
        <v>100</v>
      </c>
      <c r="T42" s="1572" t="s">
        <v>11</v>
      </c>
      <c r="U42" s="1573">
        <f t="shared" si="13"/>
        <v>100</v>
      </c>
      <c r="V42" s="1572" t="s">
        <v>11</v>
      </c>
      <c r="W42" s="1573">
        <f t="shared" si="14"/>
        <v>100</v>
      </c>
      <c r="X42" s="1566"/>
      <c r="Y42" s="3434"/>
      <c r="Z42" s="1574" t="str">
        <f t="shared" si="15"/>
        <v>内部装修</v>
      </c>
      <c r="AA42" s="1575">
        <f t="shared" si="3"/>
        <v>1</v>
      </c>
      <c r="AB42" s="1575">
        <f t="shared" si="4"/>
        <v>1</v>
      </c>
      <c r="AC42" s="1575">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34"/>
      <c r="Q43" s="1571" t="str">
        <f t="shared" si="11"/>
        <v>内部装修维护情况</v>
      </c>
      <c r="R43" s="1572" t="s">
        <v>11</v>
      </c>
      <c r="S43" s="1573">
        <f t="shared" si="12"/>
        <v>100</v>
      </c>
      <c r="T43" s="1572" t="s">
        <v>11</v>
      </c>
      <c r="U43" s="1573">
        <f t="shared" si="13"/>
        <v>100</v>
      </c>
      <c r="V43" s="1572" t="s">
        <v>11</v>
      </c>
      <c r="W43" s="1573">
        <f t="shared" si="14"/>
        <v>100</v>
      </c>
      <c r="X43" s="1566"/>
      <c r="Y43" s="3434"/>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34"/>
      <c r="Q44" s="1151">
        <f t="shared" si="11"/>
        <v>111</v>
      </c>
      <c r="R44" s="1567" t="s">
        <v>11</v>
      </c>
      <c r="S44" s="1568">
        <f t="shared" si="12"/>
        <v>100</v>
      </c>
      <c r="T44" s="1567" t="s">
        <v>11</v>
      </c>
      <c r="U44" s="1568">
        <f t="shared" si="13"/>
        <v>100</v>
      </c>
      <c r="V44" s="1567" t="s">
        <v>11</v>
      </c>
      <c r="W44" s="1568">
        <f t="shared" si="14"/>
        <v>100</v>
      </c>
      <c r="X44" s="1569"/>
      <c r="Y44" s="3434"/>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34"/>
      <c r="Q45" s="1571">
        <f t="shared" si="11"/>
        <v>111</v>
      </c>
      <c r="R45" s="1572" t="s">
        <v>11</v>
      </c>
      <c r="S45" s="1573">
        <f t="shared" si="12"/>
        <v>100</v>
      </c>
      <c r="T45" s="1572" t="s">
        <v>11</v>
      </c>
      <c r="U45" s="1573">
        <f t="shared" si="13"/>
        <v>100</v>
      </c>
      <c r="V45" s="1572" t="s">
        <v>11</v>
      </c>
      <c r="W45" s="1573">
        <f t="shared" si="14"/>
        <v>100</v>
      </c>
      <c r="X45" s="1566"/>
      <c r="Y45" s="3434"/>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15"/>
      <c r="Q46" s="1571">
        <f t="shared" si="11"/>
        <v>111</v>
      </c>
      <c r="R46" s="1572" t="s">
        <v>10</v>
      </c>
      <c r="S46" s="1573">
        <f t="shared" si="12"/>
        <v>100</v>
      </c>
      <c r="T46" s="1572" t="s">
        <v>10</v>
      </c>
      <c r="U46" s="1573">
        <f t="shared" si="13"/>
        <v>100</v>
      </c>
      <c r="V46" s="1572" t="s">
        <v>10</v>
      </c>
      <c r="W46" s="1573">
        <f t="shared" si="14"/>
        <v>100</v>
      </c>
      <c r="X46" s="1566"/>
      <c r="Y46" s="3515"/>
      <c r="Z46" s="1574">
        <f t="shared" si="15"/>
        <v>111</v>
      </c>
      <c r="AA46" s="1575">
        <f t="shared" si="3"/>
        <v>1</v>
      </c>
      <c r="AB46" s="1575">
        <f t="shared" si="4"/>
        <v>1</v>
      </c>
      <c r="AC46" s="1575">
        <f t="shared" si="5"/>
        <v>1</v>
      </c>
    </row>
    <row r="47" spans="1:29" ht="15">
      <c r="A47" s="607" t="s">
        <v>735</v>
      </c>
      <c r="B47" s="887"/>
      <c r="C47" s="2651" t="s">
        <v>9</v>
      </c>
      <c r="D47" s="2652"/>
      <c r="E47" s="2653"/>
      <c r="F47" s="2654"/>
      <c r="G47" s="2655"/>
      <c r="H47" s="2656"/>
      <c r="I47" s="2653"/>
      <c r="J47" s="2656"/>
      <c r="K47" s="1605"/>
      <c r="L47" s="2144"/>
      <c r="M47" s="2145"/>
      <c r="N47" s="2134"/>
      <c r="O47" s="2145"/>
      <c r="P47" s="3396" t="str">
        <f>A47</f>
        <v>成交单价（元/平方米）</v>
      </c>
      <c r="Q47" s="3396"/>
      <c r="R47" s="3514">
        <f>E47</f>
        <v>0</v>
      </c>
      <c r="S47" s="3514"/>
      <c r="T47" s="3514">
        <f>G47</f>
        <v>0</v>
      </c>
      <c r="U47" s="3514"/>
      <c r="V47" s="3514">
        <f>I47</f>
        <v>0</v>
      </c>
      <c r="W47" s="3514"/>
      <c r="X47" s="1558"/>
      <c r="Y47" s="1580"/>
      <c r="Z47" s="1558"/>
      <c r="AA47" s="1558"/>
      <c r="AB47" s="1558"/>
      <c r="AC47" s="1558"/>
    </row>
    <row r="48" spans="1:29" ht="15.75" thickBot="1">
      <c r="A48" s="615" t="s">
        <v>2760</v>
      </c>
      <c r="B48" s="888"/>
      <c r="C48" s="2657" t="e">
        <f>R49</f>
        <v>#DIV/0!</v>
      </c>
      <c r="D48" s="2658"/>
      <c r="E48" s="2659" t="e">
        <f>R48</f>
        <v>#DIV/0!</v>
      </c>
      <c r="F48" s="2659"/>
      <c r="G48" s="2657" t="e">
        <f>T48</f>
        <v>#DIV/0!</v>
      </c>
      <c r="H48" s="2658"/>
      <c r="I48" s="2659" t="e">
        <f>V48</f>
        <v>#DIV/0!</v>
      </c>
      <c r="J48" s="2658"/>
      <c r="K48" s="1606"/>
      <c r="L48" s="2144"/>
      <c r="M48" s="2145"/>
      <c r="N48" s="2145"/>
      <c r="O48" s="2145"/>
      <c r="P48" s="3396" t="str">
        <f>A48</f>
        <v>比较价格（元/平方米）</v>
      </c>
      <c r="Q48" s="3396"/>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58"/>
      <c r="Y48" s="1558"/>
      <c r="Z48" s="1558"/>
      <c r="AA48" s="1558"/>
      <c r="AB48" s="1558"/>
      <c r="AC48" s="1558"/>
    </row>
    <row r="49" spans="1:29" ht="15.75" thickBot="1">
      <c r="A49" s="621" t="s">
        <v>2932</v>
      </c>
      <c r="B49" s="622"/>
      <c r="C49" s="2660" t="e">
        <f>R49</f>
        <v>#DIV/0!</v>
      </c>
      <c r="D49" s="2660"/>
      <c r="E49" s="2660"/>
      <c r="F49" s="2660"/>
      <c r="G49" s="2660"/>
      <c r="H49" s="2660"/>
      <c r="I49" s="2660"/>
      <c r="J49" s="2660"/>
      <c r="K49" s="1607"/>
      <c r="L49" s="2144"/>
      <c r="M49" s="2145"/>
      <c r="N49" s="2145"/>
      <c r="O49" s="2145"/>
      <c r="P49" s="3393" t="str">
        <f>A49</f>
        <v>估价对象XX用房的比较价格（楼面单价，元/平方米）</v>
      </c>
      <c r="Q49" s="3394"/>
      <c r="R49" s="3513" t="e">
        <f>IF(F1="售价",ROUND(AVERAGE(R48:V48),0),ROUND(AVERAGE(R48:V48),1))</f>
        <v>#DIV/0!</v>
      </c>
      <c r="S49" s="3513"/>
      <c r="T49" s="3513"/>
      <c r="U49" s="3513"/>
      <c r="V49" s="3513"/>
      <c r="W49" s="351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28" t="str">
        <f>YEAR(C7)&amp;"-"&amp;MONTH(C7)</f>
        <v>2018-9</v>
      </c>
      <c r="D58" s="2828">
        <f>EDATE(C58,-1)</f>
        <v>43313</v>
      </c>
      <c r="E58" s="2828">
        <f t="shared" ref="E58:O58" si="16">EDATE(D58,-1)</f>
        <v>43282</v>
      </c>
      <c r="F58" s="2828">
        <f t="shared" si="16"/>
        <v>43252</v>
      </c>
      <c r="G58" s="2828">
        <f t="shared" si="16"/>
        <v>43221</v>
      </c>
      <c r="H58" s="2828">
        <f t="shared" si="16"/>
        <v>43191</v>
      </c>
      <c r="I58" s="2828">
        <f t="shared" si="16"/>
        <v>43160</v>
      </c>
      <c r="J58" s="2828">
        <f t="shared" si="16"/>
        <v>43132</v>
      </c>
      <c r="K58" s="2828">
        <f t="shared" si="16"/>
        <v>43101</v>
      </c>
      <c r="L58" s="2828">
        <f t="shared" si="16"/>
        <v>43070</v>
      </c>
      <c r="M58" s="2828">
        <f t="shared" si="16"/>
        <v>43040</v>
      </c>
      <c r="N58" s="2828">
        <f t="shared" si="16"/>
        <v>43009</v>
      </c>
      <c r="O58" s="2828">
        <f t="shared" si="16"/>
        <v>42979</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0"/>
      <c r="E1" s="506"/>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402" t="s">
        <v>521</v>
      </c>
      <c r="D4" s="3403"/>
      <c r="E4" s="3441" t="s">
        <v>522</v>
      </c>
      <c r="F4" s="3442"/>
      <c r="G4" s="3402" t="s">
        <v>523</v>
      </c>
      <c r="H4" s="3403"/>
      <c r="I4" s="3402" t="s">
        <v>524</v>
      </c>
      <c r="J4" s="3403"/>
      <c r="K4" s="514" t="s">
        <v>525</v>
      </c>
      <c r="L4" s="2133"/>
      <c r="M4" s="2134"/>
      <c r="N4" s="2134"/>
      <c r="O4" s="2134"/>
      <c r="P4" s="3404" t="s">
        <v>526</v>
      </c>
      <c r="Q4" s="3405"/>
      <c r="R4" s="3410" t="s">
        <v>522</v>
      </c>
      <c r="S4" s="3411"/>
      <c r="T4" s="3410" t="s">
        <v>523</v>
      </c>
      <c r="U4" s="3411"/>
      <c r="V4" s="3397" t="s">
        <v>524</v>
      </c>
      <c r="W4" s="3397"/>
      <c r="X4" s="1566"/>
      <c r="Y4" s="3410" t="s">
        <v>526</v>
      </c>
      <c r="Z4" s="3411"/>
      <c r="AA4" s="3399" t="s">
        <v>522</v>
      </c>
      <c r="AB4" s="3397" t="s">
        <v>523</v>
      </c>
      <c r="AC4" s="3399" t="s">
        <v>524</v>
      </c>
    </row>
    <row r="5" spans="1:29" ht="15">
      <c r="A5" s="515"/>
      <c r="B5" s="516"/>
      <c r="C5" s="3435" t="s">
        <v>2926</v>
      </c>
      <c r="D5" s="3436"/>
      <c r="E5" s="3443" t="s">
        <v>2927</v>
      </c>
      <c r="F5" s="3444"/>
      <c r="G5" s="3435" t="s">
        <v>2928</v>
      </c>
      <c r="H5" s="3436"/>
      <c r="I5" s="3435" t="s">
        <v>2929</v>
      </c>
      <c r="J5" s="3436"/>
      <c r="K5" s="514"/>
      <c r="L5" s="2133"/>
      <c r="M5" s="2134"/>
      <c r="N5" s="2134"/>
      <c r="O5" s="2134"/>
      <c r="P5" s="3406"/>
      <c r="Q5" s="3407"/>
      <c r="R5" s="3412"/>
      <c r="S5" s="3413"/>
      <c r="T5" s="3412"/>
      <c r="U5" s="3413"/>
      <c r="V5" s="3397"/>
      <c r="W5" s="3397"/>
      <c r="X5" s="1566"/>
      <c r="Y5" s="3412"/>
      <c r="Z5" s="3413"/>
      <c r="AA5" s="3400"/>
      <c r="AB5" s="3397"/>
      <c r="AC5" s="3400"/>
    </row>
    <row r="6" spans="1:29" ht="15.75" thickBot="1">
      <c r="A6" s="517"/>
      <c r="B6" s="518"/>
      <c r="C6" s="3437" t="s">
        <v>2930</v>
      </c>
      <c r="D6" s="3438"/>
      <c r="E6" s="3439" t="s">
        <v>2930</v>
      </c>
      <c r="F6" s="3440"/>
      <c r="G6" s="3437" t="s">
        <v>2930</v>
      </c>
      <c r="H6" s="3438"/>
      <c r="I6" s="3437" t="s">
        <v>2930</v>
      </c>
      <c r="J6" s="3438"/>
      <c r="K6" s="514" t="s">
        <v>527</v>
      </c>
      <c r="L6" s="2133"/>
      <c r="M6" s="2134"/>
      <c r="N6" s="2134"/>
      <c r="O6" s="2134"/>
      <c r="P6" s="3408"/>
      <c r="Q6" s="3409"/>
      <c r="R6" s="3412"/>
      <c r="S6" s="3413"/>
      <c r="T6" s="3414"/>
      <c r="U6" s="3415"/>
      <c r="V6" s="3397"/>
      <c r="W6" s="3397"/>
      <c r="X6" s="1566"/>
      <c r="Y6" s="3414"/>
      <c r="Z6" s="3415"/>
      <c r="AA6" s="3401"/>
      <c r="AB6" s="3397"/>
      <c r="AC6" s="3401"/>
    </row>
    <row r="7" spans="1:29" s="1220" customFormat="1" ht="15.75" thickBot="1">
      <c r="A7" s="2936"/>
      <c r="B7" s="2943" t="s">
        <v>528</v>
      </c>
      <c r="C7" s="519">
        <f>'数据-取费表'!B2</f>
        <v>43348</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28" t="s">
        <v>529</v>
      </c>
      <c r="Q7" s="3430"/>
      <c r="R7" s="1567" t="s">
        <v>8</v>
      </c>
      <c r="S7" s="1568">
        <f t="shared" ref="S7:S15" si="0">F7</f>
        <v>0</v>
      </c>
      <c r="T7" s="1567" t="s">
        <v>8</v>
      </c>
      <c r="U7" s="1568">
        <f t="shared" ref="U7:U15" si="1">H7</f>
        <v>0</v>
      </c>
      <c r="V7" s="1567" t="s">
        <v>8</v>
      </c>
      <c r="W7" s="1568">
        <f t="shared" ref="W7:W15" si="2">J7</f>
        <v>0</v>
      </c>
      <c r="X7" s="1569"/>
      <c r="Y7" s="3428" t="s">
        <v>529</v>
      </c>
      <c r="Z7" s="3429"/>
      <c r="AA7" s="1570" t="e">
        <f>D7/F7</f>
        <v>#DIV/0!</v>
      </c>
      <c r="AB7" s="1570" t="e">
        <f>D7/H7</f>
        <v>#DIV/0!</v>
      </c>
      <c r="AC7" s="1570" t="e">
        <f>D7/J7</f>
        <v>#DIV/0!</v>
      </c>
    </row>
    <row r="8" spans="1:29" s="1220" customFormat="1" ht="15.75" thickBot="1">
      <c r="A8" s="2937"/>
      <c r="B8" s="2944"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28" t="s">
        <v>532</v>
      </c>
      <c r="Q8" s="3429"/>
      <c r="R8" s="1567" t="s">
        <v>8</v>
      </c>
      <c r="S8" s="1568">
        <f t="shared" si="0"/>
        <v>0</v>
      </c>
      <c r="T8" s="1567" t="s">
        <v>8</v>
      </c>
      <c r="U8" s="1568">
        <f t="shared" si="1"/>
        <v>0</v>
      </c>
      <c r="V8" s="1567" t="s">
        <v>8</v>
      </c>
      <c r="W8" s="1568">
        <f t="shared" si="2"/>
        <v>0</v>
      </c>
      <c r="X8" s="1569"/>
      <c r="Y8" s="3428" t="s">
        <v>532</v>
      </c>
      <c r="Z8" s="3429"/>
      <c r="AA8" s="1570" t="e">
        <f t="shared" ref="AA8:AA46" si="3">D8/F8</f>
        <v>#DIV/0!</v>
      </c>
      <c r="AB8" s="1570" t="e">
        <f t="shared" ref="AB8:AB46" si="4">D8/H8</f>
        <v>#DIV/0!</v>
      </c>
      <c r="AC8" s="1570" t="e">
        <f t="shared" ref="AC8:AC46" si="5">D8/J8</f>
        <v>#DIV/0!</v>
      </c>
    </row>
    <row r="9" spans="1:29" s="1220" customFormat="1" ht="15">
      <c r="A9" s="2938"/>
      <c r="B9" s="2945" t="s">
        <v>2756</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96" t="s">
        <v>534</v>
      </c>
      <c r="Q9" s="1151" t="str">
        <f t="shared" ref="Q9:Q15" si="6">B9</f>
        <v>用途</v>
      </c>
      <c r="R9" s="1567" t="s">
        <v>8</v>
      </c>
      <c r="S9" s="1568">
        <f t="shared" si="0"/>
        <v>100</v>
      </c>
      <c r="T9" s="1567" t="s">
        <v>8</v>
      </c>
      <c r="U9" s="1568">
        <f t="shared" si="1"/>
        <v>100</v>
      </c>
      <c r="V9" s="1567" t="s">
        <v>8</v>
      </c>
      <c r="W9" s="1568">
        <f t="shared" si="2"/>
        <v>100</v>
      </c>
      <c r="X9" s="1569"/>
      <c r="Y9" s="3342"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96"/>
      <c r="Q10" s="1151" t="str">
        <f t="shared" si="6"/>
        <v>土地使用年限（年）</v>
      </c>
      <c r="R10" s="1567" t="s">
        <v>8</v>
      </c>
      <c r="S10" s="1568">
        <f t="shared" si="0"/>
        <v>100</v>
      </c>
      <c r="T10" s="1567" t="s">
        <v>8</v>
      </c>
      <c r="U10" s="1568">
        <f t="shared" si="1"/>
        <v>100</v>
      </c>
      <c r="V10" s="1567" t="s">
        <v>8</v>
      </c>
      <c r="W10" s="1568">
        <f t="shared" si="2"/>
        <v>100</v>
      </c>
      <c r="X10" s="1569"/>
      <c r="Y10" s="3342"/>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96"/>
      <c r="Q11" s="1151" t="str">
        <f t="shared" si="6"/>
        <v>容积率</v>
      </c>
      <c r="R11" s="1567" t="s">
        <v>8</v>
      </c>
      <c r="S11" s="1568" t="e">
        <f t="shared" si="0"/>
        <v>#N/A</v>
      </c>
      <c r="T11" s="1567" t="s">
        <v>8</v>
      </c>
      <c r="U11" s="1568" t="e">
        <f t="shared" si="1"/>
        <v>#N/A</v>
      </c>
      <c r="V11" s="1567" t="s">
        <v>8</v>
      </c>
      <c r="W11" s="1568" t="e">
        <f t="shared" si="2"/>
        <v>#N/A</v>
      </c>
      <c r="X11" s="1569"/>
      <c r="Y11" s="3342"/>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96"/>
      <c r="Q12" s="1151">
        <f t="shared" si="6"/>
        <v>111</v>
      </c>
      <c r="R12" s="1567" t="s">
        <v>8</v>
      </c>
      <c r="S12" s="1568">
        <f t="shared" si="0"/>
        <v>100</v>
      </c>
      <c r="T12" s="1567" t="s">
        <v>8</v>
      </c>
      <c r="U12" s="1568">
        <f t="shared" si="1"/>
        <v>100</v>
      </c>
      <c r="V12" s="1567" t="s">
        <v>8</v>
      </c>
      <c r="W12" s="1568">
        <f t="shared" si="2"/>
        <v>100</v>
      </c>
      <c r="X12" s="1569"/>
      <c r="Y12" s="3342"/>
      <c r="Z12" s="1150">
        <f t="shared" si="7"/>
        <v>111</v>
      </c>
      <c r="AA12" s="1570">
        <f>D12/F12</f>
        <v>1</v>
      </c>
      <c r="AB12" s="1570">
        <f>D12/H12</f>
        <v>1</v>
      </c>
      <c r="AC12" s="1570">
        <f>D12/J12</f>
        <v>1</v>
      </c>
    </row>
    <row r="13" spans="1:29" ht="15">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96"/>
      <c r="Q13" s="1151">
        <f t="shared" si="6"/>
        <v>111</v>
      </c>
      <c r="R13" s="1567" t="s">
        <v>8</v>
      </c>
      <c r="S13" s="1568">
        <f t="shared" si="0"/>
        <v>100</v>
      </c>
      <c r="T13" s="1567" t="s">
        <v>8</v>
      </c>
      <c r="U13" s="1568">
        <f t="shared" si="1"/>
        <v>100</v>
      </c>
      <c r="V13" s="1567" t="s">
        <v>8</v>
      </c>
      <c r="W13" s="1568">
        <f t="shared" si="2"/>
        <v>100</v>
      </c>
      <c r="X13" s="1569"/>
      <c r="Y13" s="3342"/>
      <c r="Z13" s="1150">
        <f t="shared" si="7"/>
        <v>111</v>
      </c>
      <c r="AA13" s="1570">
        <f t="shared" si="3"/>
        <v>1</v>
      </c>
      <c r="AB13" s="1570">
        <f t="shared" si="4"/>
        <v>1</v>
      </c>
      <c r="AC13" s="1570">
        <f t="shared" si="5"/>
        <v>1</v>
      </c>
    </row>
    <row r="14" spans="1:29" ht="15.75"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96"/>
      <c r="Q14" s="1151">
        <f t="shared" si="6"/>
        <v>111</v>
      </c>
      <c r="R14" s="1567" t="s">
        <v>8</v>
      </c>
      <c r="S14" s="1568">
        <f t="shared" si="0"/>
        <v>100</v>
      </c>
      <c r="T14" s="1567" t="s">
        <v>8</v>
      </c>
      <c r="U14" s="1568">
        <f t="shared" si="1"/>
        <v>100</v>
      </c>
      <c r="V14" s="1567" t="s">
        <v>8</v>
      </c>
      <c r="W14" s="1568">
        <f t="shared" si="2"/>
        <v>100</v>
      </c>
      <c r="X14" s="1569"/>
      <c r="Y14" s="3342"/>
      <c r="Z14" s="1150">
        <f t="shared" si="7"/>
        <v>111</v>
      </c>
      <c r="AA14" s="1570">
        <f t="shared" si="3"/>
        <v>1</v>
      </c>
      <c r="AB14" s="1570">
        <f t="shared" si="4"/>
        <v>1</v>
      </c>
      <c r="AC14" s="1570">
        <f t="shared" si="5"/>
        <v>1</v>
      </c>
    </row>
    <row r="15" spans="1:29" ht="71.25">
      <c r="A15" s="2934" t="s">
        <v>2754</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31" t="s">
        <v>539</v>
      </c>
      <c r="Q15" s="1571" t="str">
        <f t="shared" si="6"/>
        <v>商业繁华度</v>
      </c>
      <c r="R15" s="1572" t="s">
        <v>8</v>
      </c>
      <c r="S15" s="1573">
        <f t="shared" si="0"/>
        <v>100</v>
      </c>
      <c r="T15" s="1572" t="s">
        <v>8</v>
      </c>
      <c r="U15" s="1573">
        <f t="shared" si="1"/>
        <v>100</v>
      </c>
      <c r="V15" s="1572" t="s">
        <v>8</v>
      </c>
      <c r="W15" s="1573">
        <f t="shared" si="2"/>
        <v>100</v>
      </c>
      <c r="X15" s="1566"/>
      <c r="Y15" s="3431"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32"/>
      <c r="Q16" s="1571"/>
      <c r="R16" s="1572"/>
      <c r="S16" s="1573"/>
      <c r="T16" s="1572"/>
      <c r="U16" s="1573"/>
      <c r="V16" s="1572"/>
      <c r="W16" s="1573"/>
      <c r="X16" s="1566"/>
      <c r="Y16" s="3432"/>
      <c r="Z16" s="1574"/>
      <c r="AA16" s="1575">
        <v>1</v>
      </c>
      <c r="AB16" s="1575">
        <v>1</v>
      </c>
      <c r="AC16" s="1575">
        <v>1</v>
      </c>
    </row>
    <row r="17" spans="1:29" ht="171">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32"/>
      <c r="Q17" s="1571" t="str">
        <f>B17</f>
        <v>交通便捷度</v>
      </c>
      <c r="R17" s="1572" t="s">
        <v>8</v>
      </c>
      <c r="S17" s="1573">
        <f>F17</f>
        <v>100</v>
      </c>
      <c r="T17" s="1572" t="s">
        <v>8</v>
      </c>
      <c r="U17" s="1573">
        <f>H17</f>
        <v>100</v>
      </c>
      <c r="V17" s="1572" t="s">
        <v>8</v>
      </c>
      <c r="W17" s="1573">
        <f>J17</f>
        <v>100</v>
      </c>
      <c r="X17" s="1566"/>
      <c r="Y17" s="3432"/>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32"/>
      <c r="Q18" s="1571"/>
      <c r="R18" s="1572"/>
      <c r="S18" s="1573"/>
      <c r="T18" s="1572"/>
      <c r="U18" s="1573"/>
      <c r="V18" s="1572"/>
      <c r="W18" s="1573"/>
      <c r="X18" s="1566"/>
      <c r="Y18" s="3432"/>
      <c r="Z18" s="1574"/>
      <c r="AA18" s="1575">
        <v>1</v>
      </c>
      <c r="AB18" s="1575">
        <v>1</v>
      </c>
      <c r="AC18" s="1575">
        <v>1</v>
      </c>
    </row>
    <row r="19" spans="1:29" ht="171">
      <c r="A19" s="532"/>
      <c r="B19" s="2624"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32"/>
      <c r="Q19" s="1571" t="str">
        <f>B19</f>
        <v>公共配套设施</v>
      </c>
      <c r="R19" s="1572" t="s">
        <v>8</v>
      </c>
      <c r="S19" s="1573">
        <f>F19</f>
        <v>100</v>
      </c>
      <c r="T19" s="1572" t="s">
        <v>8</v>
      </c>
      <c r="U19" s="1573">
        <f>H19</f>
        <v>100</v>
      </c>
      <c r="V19" s="1572" t="s">
        <v>8</v>
      </c>
      <c r="W19" s="1573">
        <f>J19</f>
        <v>100</v>
      </c>
      <c r="X19" s="1566"/>
      <c r="Y19" s="3432"/>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32"/>
      <c r="Q20" s="1571"/>
      <c r="R20" s="1572"/>
      <c r="S20" s="1573"/>
      <c r="T20" s="1572"/>
      <c r="U20" s="1573"/>
      <c r="V20" s="1572"/>
      <c r="W20" s="1573"/>
      <c r="X20" s="1566"/>
      <c r="Y20" s="3432"/>
      <c r="Z20" s="1574"/>
      <c r="AA20" s="1575">
        <v>1</v>
      </c>
      <c r="AB20" s="1575">
        <v>1</v>
      </c>
      <c r="AC20" s="1575">
        <v>1</v>
      </c>
    </row>
    <row r="21" spans="1:29" ht="28.5">
      <c r="A21" s="532"/>
      <c r="B21" s="261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32"/>
      <c r="Q21" s="2603" t="str">
        <f>B21</f>
        <v>基础设施水平</v>
      </c>
      <c r="R21" s="1572" t="s">
        <v>8</v>
      </c>
      <c r="S21" s="1573">
        <f>F21</f>
        <v>100</v>
      </c>
      <c r="T21" s="1572" t="s">
        <v>8</v>
      </c>
      <c r="U21" s="1573">
        <f>H21</f>
        <v>100</v>
      </c>
      <c r="V21" s="1572" t="s">
        <v>8</v>
      </c>
      <c r="W21" s="1573">
        <f>J21</f>
        <v>100</v>
      </c>
      <c r="X21" s="2605"/>
      <c r="Y21" s="3432"/>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6"/>
      <c r="L22" s="2142"/>
      <c r="M22" s="2134"/>
      <c r="N22" s="2134"/>
      <c r="O22" s="2141"/>
      <c r="P22" s="3432"/>
      <c r="Q22" s="2603"/>
      <c r="R22" s="1572"/>
      <c r="S22" s="1573"/>
      <c r="T22" s="1572"/>
      <c r="U22" s="1573"/>
      <c r="V22" s="1572"/>
      <c r="W22" s="1573"/>
      <c r="X22" s="2605"/>
      <c r="Y22" s="3432"/>
      <c r="Z22" s="2604"/>
      <c r="AA22" s="1575">
        <v>1</v>
      </c>
      <c r="AB22" s="1575">
        <v>1</v>
      </c>
      <c r="AC22" s="1575">
        <v>1</v>
      </c>
    </row>
    <row r="23" spans="1:29" ht="85.5">
      <c r="A23" s="532"/>
      <c r="B23" s="871" t="s">
        <v>296</v>
      </c>
      <c r="C23" s="900"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32"/>
      <c r="Q23" s="1571" t="str">
        <f>B23</f>
        <v>自然及人文环境</v>
      </c>
      <c r="R23" s="1572" t="s">
        <v>8</v>
      </c>
      <c r="S23" s="1573">
        <f>F23</f>
        <v>100</v>
      </c>
      <c r="T23" s="1572" t="s">
        <v>8</v>
      </c>
      <c r="U23" s="1573">
        <f>H23</f>
        <v>100</v>
      </c>
      <c r="V23" s="1572" t="s">
        <v>8</v>
      </c>
      <c r="W23" s="1573">
        <f>J23</f>
        <v>100</v>
      </c>
      <c r="X23" s="1566"/>
      <c r="Y23" s="3432"/>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32"/>
      <c r="Q24" s="1571"/>
      <c r="R24" s="1572"/>
      <c r="S24" s="1573"/>
      <c r="T24" s="1572"/>
      <c r="U24" s="1573"/>
      <c r="V24" s="1572"/>
      <c r="W24" s="1573"/>
      <c r="X24" s="1566"/>
      <c r="Y24" s="3432"/>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32"/>
      <c r="Q25" s="1571" t="str">
        <f t="shared" ref="Q25:Q46" si="11">B25</f>
        <v>临街状况</v>
      </c>
      <c r="R25" s="1572" t="s">
        <v>8</v>
      </c>
      <c r="S25" s="1573">
        <f>F25</f>
        <v>100</v>
      </c>
      <c r="T25" s="1572" t="s">
        <v>8</v>
      </c>
      <c r="U25" s="1573">
        <f>H25</f>
        <v>100</v>
      </c>
      <c r="V25" s="1572" t="s">
        <v>8</v>
      </c>
      <c r="W25" s="1573">
        <f>J25</f>
        <v>100</v>
      </c>
      <c r="X25" s="1566"/>
      <c r="Y25" s="3432"/>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32"/>
      <c r="Q26" s="1571" t="str">
        <f t="shared" si="11"/>
        <v>平面位置/可视性</v>
      </c>
      <c r="R26" s="1572" t="s">
        <v>8</v>
      </c>
      <c r="S26" s="1573">
        <f>F26</f>
        <v>100</v>
      </c>
      <c r="T26" s="1572" t="s">
        <v>8</v>
      </c>
      <c r="U26" s="1573">
        <f>H26</f>
        <v>100</v>
      </c>
      <c r="V26" s="1572" t="s">
        <v>8</v>
      </c>
      <c r="W26" s="1573">
        <f>J26</f>
        <v>100</v>
      </c>
      <c r="X26" s="1566"/>
      <c r="Y26" s="3432"/>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32"/>
      <c r="Q27" s="1151" t="str">
        <f t="shared" si="11"/>
        <v>人流量</v>
      </c>
      <c r="R27" s="1567" t="s">
        <v>8</v>
      </c>
      <c r="S27" s="1568">
        <f>F27</f>
        <v>100</v>
      </c>
      <c r="T27" s="1567" t="s">
        <v>8</v>
      </c>
      <c r="U27" s="1568">
        <f>H27</f>
        <v>100</v>
      </c>
      <c r="V27" s="1567" t="s">
        <v>8</v>
      </c>
      <c r="W27" s="1568">
        <f>J27</f>
        <v>100</v>
      </c>
      <c r="X27" s="1569"/>
      <c r="Y27" s="3432"/>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3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2"/>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32"/>
      <c r="Q29" s="1571">
        <f t="shared" si="11"/>
        <v>111</v>
      </c>
      <c r="R29" s="1572" t="s">
        <v>8</v>
      </c>
      <c r="S29" s="1573">
        <f t="shared" si="12"/>
        <v>100</v>
      </c>
      <c r="T29" s="1572" t="s">
        <v>8</v>
      </c>
      <c r="U29" s="1573">
        <f t="shared" si="13"/>
        <v>100</v>
      </c>
      <c r="V29" s="1572" t="s">
        <v>8</v>
      </c>
      <c r="W29" s="1573">
        <f t="shared" si="14"/>
        <v>100</v>
      </c>
      <c r="X29" s="1566"/>
      <c r="Y29" s="3432"/>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32"/>
      <c r="Q30" s="1571">
        <f t="shared" si="11"/>
        <v>111</v>
      </c>
      <c r="R30" s="1572" t="s">
        <v>8</v>
      </c>
      <c r="S30" s="1573">
        <f t="shared" si="12"/>
        <v>100</v>
      </c>
      <c r="T30" s="1572" t="s">
        <v>8</v>
      </c>
      <c r="U30" s="1573">
        <f t="shared" si="13"/>
        <v>100</v>
      </c>
      <c r="V30" s="1572" t="s">
        <v>8</v>
      </c>
      <c r="W30" s="1573">
        <f t="shared" si="14"/>
        <v>100</v>
      </c>
      <c r="X30" s="1566"/>
      <c r="Y30" s="3432"/>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32"/>
      <c r="Q31" s="1571">
        <f t="shared" si="11"/>
        <v>111</v>
      </c>
      <c r="R31" s="1572" t="s">
        <v>8</v>
      </c>
      <c r="S31" s="1573">
        <f t="shared" si="12"/>
        <v>100</v>
      </c>
      <c r="T31" s="1572" t="s">
        <v>8</v>
      </c>
      <c r="U31" s="1573">
        <f t="shared" si="13"/>
        <v>100</v>
      </c>
      <c r="V31" s="1572" t="s">
        <v>8</v>
      </c>
      <c r="W31" s="1573">
        <f t="shared" si="14"/>
        <v>100</v>
      </c>
      <c r="X31" s="1566"/>
      <c r="Y31" s="3432"/>
      <c r="Z31" s="1574">
        <f t="shared" si="15"/>
        <v>111</v>
      </c>
      <c r="AA31" s="1575">
        <f t="shared" si="3"/>
        <v>1</v>
      </c>
      <c r="AB31" s="1575">
        <f t="shared" si="4"/>
        <v>1</v>
      </c>
      <c r="AC31" s="1575">
        <f t="shared" si="5"/>
        <v>1</v>
      </c>
    </row>
    <row r="32" spans="1:29" ht="15">
      <c r="A32" s="2931" t="s">
        <v>2755</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33" t="s">
        <v>549</v>
      </c>
      <c r="Q32" s="1571" t="str">
        <f t="shared" si="11"/>
        <v>商业类型</v>
      </c>
      <c r="R32" s="1572" t="s">
        <v>8</v>
      </c>
      <c r="S32" s="1573">
        <f t="shared" si="12"/>
        <v>100</v>
      </c>
      <c r="T32" s="1572" t="s">
        <v>8</v>
      </c>
      <c r="U32" s="1573">
        <f t="shared" si="13"/>
        <v>100</v>
      </c>
      <c r="V32" s="1572" t="s">
        <v>8</v>
      </c>
      <c r="W32" s="1573">
        <f t="shared" si="14"/>
        <v>100</v>
      </c>
      <c r="X32" s="1566"/>
      <c r="Y32" s="3434"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34"/>
      <c r="Q33" s="1604" t="str">
        <f t="shared" si="11"/>
        <v>项目建筑规模</v>
      </c>
      <c r="R33" s="1576" t="s">
        <v>8</v>
      </c>
      <c r="S33" s="1577" t="e">
        <f t="shared" si="12"/>
        <v>#N/A</v>
      </c>
      <c r="T33" s="1576" t="s">
        <v>8</v>
      </c>
      <c r="U33" s="1577" t="e">
        <f t="shared" si="13"/>
        <v>#N/A</v>
      </c>
      <c r="V33" s="1576" t="s">
        <v>8</v>
      </c>
      <c r="W33" s="1577" t="e">
        <f t="shared" si="14"/>
        <v>#N/A</v>
      </c>
      <c r="X33" s="1578"/>
      <c r="Y33" s="3434"/>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34"/>
      <c r="Q34" s="1571" t="str">
        <f t="shared" si="11"/>
        <v>建筑结构</v>
      </c>
      <c r="R34" s="1572" t="s">
        <v>8</v>
      </c>
      <c r="S34" s="1573">
        <f t="shared" si="12"/>
        <v>100</v>
      </c>
      <c r="T34" s="1572" t="s">
        <v>8</v>
      </c>
      <c r="U34" s="1573">
        <f t="shared" si="13"/>
        <v>100</v>
      </c>
      <c r="V34" s="1572" t="s">
        <v>8</v>
      </c>
      <c r="W34" s="1573">
        <f t="shared" si="14"/>
        <v>100</v>
      </c>
      <c r="X34" s="1566"/>
      <c r="Y34" s="3434"/>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34"/>
      <c r="Q35" s="1571" t="str">
        <f t="shared" si="11"/>
        <v>公共部分装修</v>
      </c>
      <c r="R35" s="1572" t="s">
        <v>8</v>
      </c>
      <c r="S35" s="1573">
        <f t="shared" si="12"/>
        <v>100</v>
      </c>
      <c r="T35" s="1572" t="s">
        <v>8</v>
      </c>
      <c r="U35" s="1573">
        <f t="shared" si="13"/>
        <v>100</v>
      </c>
      <c r="V35" s="1572" t="s">
        <v>8</v>
      </c>
      <c r="W35" s="1573">
        <f t="shared" si="14"/>
        <v>100</v>
      </c>
      <c r="X35" s="1566"/>
      <c r="Y35" s="3434"/>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34"/>
      <c r="Q36" s="1571" t="str">
        <f t="shared" si="11"/>
        <v>成新度</v>
      </c>
      <c r="R36" s="1572" t="s">
        <v>8</v>
      </c>
      <c r="S36" s="1573" t="e">
        <f t="shared" si="12"/>
        <v>#N/A</v>
      </c>
      <c r="T36" s="1572" t="s">
        <v>8</v>
      </c>
      <c r="U36" s="1573" t="e">
        <f t="shared" si="13"/>
        <v>#N/A</v>
      </c>
      <c r="V36" s="1572" t="s">
        <v>8</v>
      </c>
      <c r="W36" s="1573" t="e">
        <f t="shared" si="14"/>
        <v>#N/A</v>
      </c>
      <c r="X36" s="1566"/>
      <c r="Y36" s="3434"/>
      <c r="Z36" s="1574" t="str">
        <f t="shared" si="15"/>
        <v>成新度</v>
      </c>
      <c r="AA36" s="1575" t="e">
        <f t="shared" si="3"/>
        <v>#N/A</v>
      </c>
      <c r="AB36" s="1575" t="e">
        <f t="shared" si="4"/>
        <v>#N/A</v>
      </c>
      <c r="AC36" s="1575" t="e">
        <f t="shared" si="5"/>
        <v>#N/A</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34"/>
      <c r="Q37" s="1151" t="str">
        <f t="shared" si="11"/>
        <v>市政基础设施</v>
      </c>
      <c r="R37" s="1567" t="s">
        <v>8</v>
      </c>
      <c r="S37" s="1568">
        <f t="shared" si="12"/>
        <v>100</v>
      </c>
      <c r="T37" s="1567" t="s">
        <v>8</v>
      </c>
      <c r="U37" s="1568">
        <f t="shared" si="13"/>
        <v>100</v>
      </c>
      <c r="V37" s="1567" t="s">
        <v>8</v>
      </c>
      <c r="W37" s="1568">
        <f t="shared" si="14"/>
        <v>100</v>
      </c>
      <c r="X37" s="1569"/>
      <c r="Y37" s="3434"/>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34" t="s">
        <v>765</v>
      </c>
      <c r="Q38" s="1571" t="str">
        <f t="shared" si="11"/>
        <v>业态</v>
      </c>
      <c r="R38" s="1572" t="s">
        <v>8</v>
      </c>
      <c r="S38" s="1573">
        <f t="shared" si="12"/>
        <v>100</v>
      </c>
      <c r="T38" s="1572" t="s">
        <v>8</v>
      </c>
      <c r="U38" s="1573">
        <f t="shared" si="13"/>
        <v>100</v>
      </c>
      <c r="V38" s="1572" t="s">
        <v>8</v>
      </c>
      <c r="W38" s="1573">
        <f t="shared" si="14"/>
        <v>100</v>
      </c>
      <c r="X38" s="1566"/>
      <c r="Y38" s="3434"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34"/>
      <c r="Q39" s="1571" t="str">
        <f t="shared" si="11"/>
        <v>层高</v>
      </c>
      <c r="R39" s="1572" t="s">
        <v>8</v>
      </c>
      <c r="S39" s="1573">
        <f t="shared" si="12"/>
        <v>100</v>
      </c>
      <c r="T39" s="1572" t="s">
        <v>8</v>
      </c>
      <c r="U39" s="1573">
        <f t="shared" si="13"/>
        <v>100</v>
      </c>
      <c r="V39" s="1572" t="s">
        <v>8</v>
      </c>
      <c r="W39" s="1573">
        <f t="shared" si="14"/>
        <v>100</v>
      </c>
      <c r="X39" s="1566"/>
      <c r="Y39" s="3434"/>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34"/>
      <c r="Q40" s="1571" t="str">
        <f t="shared" si="11"/>
        <v>单套建筑面积</v>
      </c>
      <c r="R40" s="1572" t="s">
        <v>8</v>
      </c>
      <c r="S40" s="1573">
        <f t="shared" si="12"/>
        <v>100</v>
      </c>
      <c r="T40" s="1572" t="s">
        <v>8</v>
      </c>
      <c r="U40" s="1573">
        <f t="shared" si="13"/>
        <v>100</v>
      </c>
      <c r="V40" s="1572" t="s">
        <v>8</v>
      </c>
      <c r="W40" s="1573">
        <f t="shared" si="14"/>
        <v>100</v>
      </c>
      <c r="X40" s="1566"/>
      <c r="Y40" s="3434"/>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34"/>
      <c r="Q41" s="1604" t="str">
        <f t="shared" si="11"/>
        <v>进深比</v>
      </c>
      <c r="R41" s="1576" t="s">
        <v>8</v>
      </c>
      <c r="S41" s="1577">
        <f t="shared" si="12"/>
        <v>100</v>
      </c>
      <c r="T41" s="1576" t="s">
        <v>8</v>
      </c>
      <c r="U41" s="1577">
        <f t="shared" si="13"/>
        <v>100</v>
      </c>
      <c r="V41" s="1576" t="s">
        <v>8</v>
      </c>
      <c r="W41" s="1577">
        <f t="shared" si="14"/>
        <v>100</v>
      </c>
      <c r="X41" s="1578"/>
      <c r="Y41" s="3434"/>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34"/>
      <c r="Q42" s="1571" t="str">
        <f t="shared" si="11"/>
        <v>内部装修</v>
      </c>
      <c r="R42" s="1572" t="s">
        <v>8</v>
      </c>
      <c r="S42" s="1573">
        <f t="shared" si="12"/>
        <v>100</v>
      </c>
      <c r="T42" s="1572" t="s">
        <v>8</v>
      </c>
      <c r="U42" s="1573">
        <f t="shared" si="13"/>
        <v>100</v>
      </c>
      <c r="V42" s="1572" t="s">
        <v>8</v>
      </c>
      <c r="W42" s="1573">
        <f t="shared" si="14"/>
        <v>100</v>
      </c>
      <c r="X42" s="1566"/>
      <c r="Y42" s="3434"/>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34"/>
      <c r="Q43" s="1571" t="str">
        <f t="shared" si="11"/>
        <v>内部装修维护情况</v>
      </c>
      <c r="R43" s="1572" t="s">
        <v>8</v>
      </c>
      <c r="S43" s="1573">
        <f t="shared" si="12"/>
        <v>100</v>
      </c>
      <c r="T43" s="1572" t="s">
        <v>8</v>
      </c>
      <c r="U43" s="1573">
        <f t="shared" si="13"/>
        <v>100</v>
      </c>
      <c r="V43" s="1572" t="s">
        <v>8</v>
      </c>
      <c r="W43" s="1573">
        <f t="shared" si="14"/>
        <v>100</v>
      </c>
      <c r="X43" s="1566"/>
      <c r="Y43" s="3434"/>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34"/>
      <c r="Q44" s="1151">
        <f t="shared" si="11"/>
        <v>111</v>
      </c>
      <c r="R44" s="1567" t="s">
        <v>8</v>
      </c>
      <c r="S44" s="1568">
        <f t="shared" si="12"/>
        <v>100</v>
      </c>
      <c r="T44" s="1567" t="s">
        <v>8</v>
      </c>
      <c r="U44" s="1568">
        <f t="shared" si="13"/>
        <v>100</v>
      </c>
      <c r="V44" s="1567" t="s">
        <v>8</v>
      </c>
      <c r="W44" s="1568">
        <f t="shared" si="14"/>
        <v>100</v>
      </c>
      <c r="X44" s="1569"/>
      <c r="Y44" s="3434"/>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34"/>
      <c r="Q45" s="1571">
        <f t="shared" si="11"/>
        <v>111</v>
      </c>
      <c r="R45" s="1572" t="s">
        <v>8</v>
      </c>
      <c r="S45" s="1573">
        <f t="shared" si="12"/>
        <v>100</v>
      </c>
      <c r="T45" s="1572" t="s">
        <v>8</v>
      </c>
      <c r="U45" s="1573">
        <f t="shared" si="13"/>
        <v>100</v>
      </c>
      <c r="V45" s="1572" t="s">
        <v>8</v>
      </c>
      <c r="W45" s="1573">
        <f t="shared" si="14"/>
        <v>100</v>
      </c>
      <c r="X45" s="1566"/>
      <c r="Y45" s="3434"/>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15"/>
      <c r="Q46" s="1571">
        <f t="shared" si="11"/>
        <v>111</v>
      </c>
      <c r="R46" s="1572" t="s">
        <v>8</v>
      </c>
      <c r="S46" s="1573">
        <f t="shared" si="12"/>
        <v>100</v>
      </c>
      <c r="T46" s="1572" t="s">
        <v>8</v>
      </c>
      <c r="U46" s="1573">
        <f t="shared" si="13"/>
        <v>100</v>
      </c>
      <c r="V46" s="1572" t="s">
        <v>8</v>
      </c>
      <c r="W46" s="1573">
        <f t="shared" si="14"/>
        <v>100</v>
      </c>
      <c r="X46" s="1566"/>
      <c r="Y46" s="3515"/>
      <c r="Z46" s="1574">
        <f t="shared" si="15"/>
        <v>111</v>
      </c>
      <c r="AA46" s="1575">
        <f t="shared" si="3"/>
        <v>1</v>
      </c>
      <c r="AB46" s="1575">
        <f t="shared" si="4"/>
        <v>1</v>
      </c>
      <c r="AC46" s="1575">
        <f t="shared" si="5"/>
        <v>1</v>
      </c>
    </row>
    <row r="47" spans="1:29" ht="15">
      <c r="A47" s="607" t="s">
        <v>735</v>
      </c>
      <c r="B47" s="887"/>
      <c r="C47" s="2651" t="s">
        <v>1</v>
      </c>
      <c r="D47" s="2652"/>
      <c r="E47" s="2653"/>
      <c r="F47" s="2654"/>
      <c r="G47" s="2655"/>
      <c r="H47" s="2656"/>
      <c r="I47" s="2653"/>
      <c r="J47" s="2656"/>
      <c r="K47" s="1610"/>
      <c r="L47" s="2144"/>
      <c r="M47" s="2145"/>
      <c r="N47" s="2134"/>
      <c r="O47" s="2145"/>
      <c r="P47" s="3396" t="str">
        <f>A47</f>
        <v>成交单价（元/平方米）</v>
      </c>
      <c r="Q47" s="3396"/>
      <c r="R47" s="3514">
        <f>E47</f>
        <v>0</v>
      </c>
      <c r="S47" s="3514"/>
      <c r="T47" s="3514">
        <f>G47</f>
        <v>0</v>
      </c>
      <c r="U47" s="3514"/>
      <c r="V47" s="3514">
        <f>I47</f>
        <v>0</v>
      </c>
      <c r="W47" s="3514"/>
      <c r="X47" s="1558"/>
      <c r="Y47" s="1580"/>
      <c r="Z47" s="1558"/>
      <c r="AA47" s="1558"/>
      <c r="AB47" s="1558"/>
      <c r="AC47" s="1558"/>
    </row>
    <row r="48" spans="1:29" ht="15.75" thickBot="1">
      <c r="A48" s="615" t="s">
        <v>2760</v>
      </c>
      <c r="B48" s="888"/>
      <c r="C48" s="2657" t="e">
        <f>R49</f>
        <v>#DIV/0!</v>
      </c>
      <c r="D48" s="2658"/>
      <c r="E48" s="2659" t="e">
        <f>R48</f>
        <v>#DIV/0!</v>
      </c>
      <c r="F48" s="2659"/>
      <c r="G48" s="2657" t="e">
        <f>T48</f>
        <v>#DIV/0!</v>
      </c>
      <c r="H48" s="2658"/>
      <c r="I48" s="2659" t="e">
        <f>V48</f>
        <v>#DIV/0!</v>
      </c>
      <c r="J48" s="2658"/>
      <c r="K48" s="1611"/>
      <c r="L48" s="2144"/>
      <c r="M48" s="2145"/>
      <c r="N48" s="2134"/>
      <c r="O48" s="2145"/>
      <c r="P48" s="3396" t="str">
        <f>A48</f>
        <v>比较价格（元/平方米）</v>
      </c>
      <c r="Q48" s="3396"/>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58"/>
      <c r="Y48" s="1558"/>
      <c r="Z48" s="1558"/>
      <c r="AA48" s="1558"/>
      <c r="AB48" s="1558"/>
      <c r="AC48" s="1558"/>
    </row>
    <row r="49" spans="1:29" ht="15.75" thickBot="1">
      <c r="A49" s="621" t="s">
        <v>2932</v>
      </c>
      <c r="B49" s="622"/>
      <c r="C49" s="2660" t="e">
        <f>R49</f>
        <v>#DIV/0!</v>
      </c>
      <c r="D49" s="2660"/>
      <c r="E49" s="2660"/>
      <c r="F49" s="2660"/>
      <c r="G49" s="2660"/>
      <c r="H49" s="2660"/>
      <c r="I49" s="2660"/>
      <c r="J49" s="2660"/>
      <c r="K49" s="1612"/>
      <c r="L49" s="2144"/>
      <c r="M49" s="2145"/>
      <c r="N49" s="2134"/>
      <c r="O49" s="2145"/>
      <c r="P49" s="3393" t="str">
        <f>A49</f>
        <v>估价对象XX用房的比较价格（楼面单价，元/平方米）</v>
      </c>
      <c r="Q49" s="3394"/>
      <c r="R49" s="3513" t="e">
        <f>IF(F1="售价",ROUND(AVERAGE(R48:V48),0),ROUND(AVERAGE(R48:V48),1))</f>
        <v>#DIV/0!</v>
      </c>
      <c r="S49" s="3513"/>
      <c r="T49" s="3513"/>
      <c r="U49" s="3513"/>
      <c r="V49" s="3513"/>
      <c r="W49" s="351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26" t="str">
        <f>YEAR(C7)&amp;"-"&amp;MONTH(C7)</f>
        <v>2018-9</v>
      </c>
      <c r="D58" s="2828">
        <f>EDATE(C58,-1)</f>
        <v>43313</v>
      </c>
      <c r="E58" s="2828">
        <f t="shared" ref="E58:O58" si="16">EDATE(D58,-1)</f>
        <v>43282</v>
      </c>
      <c r="F58" s="2828">
        <f t="shared" si="16"/>
        <v>43252</v>
      </c>
      <c r="G58" s="2828">
        <f t="shared" si="16"/>
        <v>43221</v>
      </c>
      <c r="H58" s="2828">
        <f t="shared" si="16"/>
        <v>43191</v>
      </c>
      <c r="I58" s="2828">
        <f t="shared" si="16"/>
        <v>43160</v>
      </c>
      <c r="J58" s="2828">
        <f t="shared" si="16"/>
        <v>43132</v>
      </c>
      <c r="K58" s="2828">
        <f t="shared" si="16"/>
        <v>43101</v>
      </c>
      <c r="L58" s="2828">
        <f t="shared" si="16"/>
        <v>43070</v>
      </c>
      <c r="M58" s="2828">
        <f t="shared" si="16"/>
        <v>43040</v>
      </c>
      <c r="N58" s="2828">
        <f t="shared" si="16"/>
        <v>43009</v>
      </c>
      <c r="O58" s="2828">
        <f t="shared" si="16"/>
        <v>42979</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1"/>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402" t="s">
        <v>521</v>
      </c>
      <c r="D4" s="3403"/>
      <c r="E4" s="3441" t="s">
        <v>522</v>
      </c>
      <c r="F4" s="3442"/>
      <c r="G4" s="3402" t="s">
        <v>523</v>
      </c>
      <c r="H4" s="3403"/>
      <c r="I4" s="3402" t="s">
        <v>524</v>
      </c>
      <c r="J4" s="3403"/>
      <c r="K4" s="514" t="s">
        <v>525</v>
      </c>
      <c r="L4" s="2133"/>
      <c r="M4" s="2134"/>
      <c r="N4" s="2134"/>
      <c r="O4" s="2134"/>
      <c r="P4" s="3517" t="s">
        <v>526</v>
      </c>
      <c r="Q4" s="3405"/>
      <c r="R4" s="3410" t="s">
        <v>522</v>
      </c>
      <c r="S4" s="3411"/>
      <c r="T4" s="3410" t="s">
        <v>523</v>
      </c>
      <c r="U4" s="3411"/>
      <c r="V4" s="3397" t="s">
        <v>524</v>
      </c>
      <c r="W4" s="3397"/>
      <c r="X4" s="1566"/>
      <c r="Y4" s="3410" t="s">
        <v>526</v>
      </c>
      <c r="Z4" s="3411"/>
      <c r="AA4" s="3399" t="s">
        <v>522</v>
      </c>
      <c r="AB4" s="3399" t="s">
        <v>523</v>
      </c>
      <c r="AC4" s="3399" t="s">
        <v>524</v>
      </c>
    </row>
    <row r="5" spans="1:29" ht="15">
      <c r="A5" s="515"/>
      <c r="B5" s="516"/>
      <c r="C5" s="3435" t="s">
        <v>2926</v>
      </c>
      <c r="D5" s="3436"/>
      <c r="E5" s="3443" t="s">
        <v>2927</v>
      </c>
      <c r="F5" s="3444"/>
      <c r="G5" s="3435" t="s">
        <v>2928</v>
      </c>
      <c r="H5" s="3436"/>
      <c r="I5" s="3435" t="s">
        <v>2929</v>
      </c>
      <c r="J5" s="3436"/>
      <c r="K5" s="514"/>
      <c r="L5" s="2133"/>
      <c r="M5" s="2134"/>
      <c r="N5" s="2134"/>
      <c r="O5" s="2134"/>
      <c r="P5" s="3518"/>
      <c r="Q5" s="3407"/>
      <c r="R5" s="3412"/>
      <c r="S5" s="3413"/>
      <c r="T5" s="3412"/>
      <c r="U5" s="3413"/>
      <c r="V5" s="3397"/>
      <c r="W5" s="3397"/>
      <c r="X5" s="1566"/>
      <c r="Y5" s="3412"/>
      <c r="Z5" s="3413"/>
      <c r="AA5" s="3400"/>
      <c r="AB5" s="3400"/>
      <c r="AC5" s="3400"/>
    </row>
    <row r="6" spans="1:29" ht="15.75" thickBot="1">
      <c r="A6" s="517"/>
      <c r="B6" s="518"/>
      <c r="C6" s="3437" t="s">
        <v>2930</v>
      </c>
      <c r="D6" s="3438"/>
      <c r="E6" s="3439" t="s">
        <v>2930</v>
      </c>
      <c r="F6" s="3440"/>
      <c r="G6" s="3437" t="s">
        <v>2930</v>
      </c>
      <c r="H6" s="3438"/>
      <c r="I6" s="3437" t="s">
        <v>2930</v>
      </c>
      <c r="J6" s="3438"/>
      <c r="K6" s="514" t="s">
        <v>527</v>
      </c>
      <c r="L6" s="2133"/>
      <c r="M6" s="2134"/>
      <c r="N6" s="2134"/>
      <c r="O6" s="2134"/>
      <c r="P6" s="3519"/>
      <c r="Q6" s="3409"/>
      <c r="R6" s="3412"/>
      <c r="S6" s="3413"/>
      <c r="T6" s="3414"/>
      <c r="U6" s="3415"/>
      <c r="V6" s="3397"/>
      <c r="W6" s="3397"/>
      <c r="X6" s="1566"/>
      <c r="Y6" s="3414"/>
      <c r="Z6" s="3415"/>
      <c r="AA6" s="3401"/>
      <c r="AB6" s="3401"/>
      <c r="AC6" s="3401"/>
    </row>
    <row r="7" spans="1:29" s="1220" customFormat="1" ht="15.75" thickBot="1">
      <c r="A7" s="2936"/>
      <c r="B7" s="2943" t="s">
        <v>528</v>
      </c>
      <c r="C7" s="519">
        <f>'数据-取费表'!B2</f>
        <v>43348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30" t="s">
        <v>529</v>
      </c>
      <c r="Q7" s="3430"/>
      <c r="R7" s="1567" t="s">
        <v>8</v>
      </c>
      <c r="S7" s="1568">
        <f t="shared" ref="S7:S15" si="0">F7</f>
        <v>0</v>
      </c>
      <c r="T7" s="1567" t="s">
        <v>8</v>
      </c>
      <c r="U7" s="1568">
        <f t="shared" ref="U7:U15" si="1">H7</f>
        <v>0</v>
      </c>
      <c r="V7" s="1567" t="s">
        <v>8</v>
      </c>
      <c r="W7" s="1568">
        <f t="shared" ref="W7:W15" si="2">J7</f>
        <v>0</v>
      </c>
      <c r="X7" s="1569"/>
      <c r="Y7" s="3428" t="s">
        <v>529</v>
      </c>
      <c r="Z7" s="3429"/>
      <c r="AA7" s="1570" t="e">
        <f>D7/F7</f>
        <v>#DIV/0!</v>
      </c>
      <c r="AB7" s="1570" t="e">
        <f>D7/H7</f>
        <v>#DIV/0!</v>
      </c>
      <c r="AC7" s="1570" t="e">
        <f>D7/J7</f>
        <v>#DIV/0!</v>
      </c>
    </row>
    <row r="8" spans="1:29" s="1220" customFormat="1" ht="15.75" thickBot="1">
      <c r="A8" s="2937"/>
      <c r="B8" s="2944"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30" t="s">
        <v>532</v>
      </c>
      <c r="Q8" s="3429"/>
      <c r="R8" s="1567" t="s">
        <v>8</v>
      </c>
      <c r="S8" s="1568">
        <f t="shared" si="0"/>
        <v>0</v>
      </c>
      <c r="T8" s="1567" t="s">
        <v>8</v>
      </c>
      <c r="U8" s="1568">
        <f t="shared" si="1"/>
        <v>0</v>
      </c>
      <c r="V8" s="1567" t="s">
        <v>8</v>
      </c>
      <c r="W8" s="1568">
        <f t="shared" si="2"/>
        <v>0</v>
      </c>
      <c r="X8" s="1569"/>
      <c r="Y8" s="3428" t="s">
        <v>532</v>
      </c>
      <c r="Z8" s="3429"/>
      <c r="AA8" s="1570" t="e">
        <f t="shared" ref="AA8:AA47" si="3">D8/F8</f>
        <v>#DIV/0!</v>
      </c>
      <c r="AB8" s="1570" t="e">
        <f t="shared" ref="AB8:AB47" si="4">D8/H8</f>
        <v>#DIV/0!</v>
      </c>
      <c r="AC8" s="1570" t="e">
        <f t="shared" ref="AC8:AC47" si="5">D8/J8</f>
        <v>#DIV/0!</v>
      </c>
    </row>
    <row r="9" spans="1:29" s="1220" customFormat="1" ht="15">
      <c r="A9" s="2938"/>
      <c r="B9" s="2945" t="s">
        <v>2756</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96" t="s">
        <v>534</v>
      </c>
      <c r="Q9" s="1151" t="str">
        <f t="shared" ref="Q9:Q15" si="6">B9</f>
        <v>用途</v>
      </c>
      <c r="R9" s="1567" t="s">
        <v>8</v>
      </c>
      <c r="S9" s="1568">
        <f t="shared" si="0"/>
        <v>100</v>
      </c>
      <c r="T9" s="1567" t="s">
        <v>8</v>
      </c>
      <c r="U9" s="1568">
        <f t="shared" si="1"/>
        <v>100</v>
      </c>
      <c r="V9" s="1567" t="s">
        <v>8</v>
      </c>
      <c r="W9" s="1568">
        <f t="shared" si="2"/>
        <v>100</v>
      </c>
      <c r="X9" s="1569"/>
      <c r="Y9" s="3342"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96"/>
      <c r="Q10" s="1151" t="str">
        <f t="shared" si="6"/>
        <v>土地使用年限（年）</v>
      </c>
      <c r="R10" s="1567" t="s">
        <v>8</v>
      </c>
      <c r="S10" s="1568">
        <f t="shared" si="0"/>
        <v>100</v>
      </c>
      <c r="T10" s="1567" t="s">
        <v>8</v>
      </c>
      <c r="U10" s="1568">
        <f t="shared" si="1"/>
        <v>100</v>
      </c>
      <c r="V10" s="1567" t="s">
        <v>8</v>
      </c>
      <c r="W10" s="1568">
        <f t="shared" si="2"/>
        <v>100</v>
      </c>
      <c r="X10" s="1569"/>
      <c r="Y10" s="3342"/>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96"/>
      <c r="Q11" s="1151" t="str">
        <f t="shared" si="6"/>
        <v>容积率</v>
      </c>
      <c r="R11" s="1567" t="s">
        <v>8</v>
      </c>
      <c r="S11" s="1568" t="e">
        <f t="shared" si="0"/>
        <v>#N/A</v>
      </c>
      <c r="T11" s="1567" t="s">
        <v>8</v>
      </c>
      <c r="U11" s="1568" t="e">
        <f t="shared" si="1"/>
        <v>#N/A</v>
      </c>
      <c r="V11" s="1567" t="s">
        <v>8</v>
      </c>
      <c r="W11" s="1568" t="e">
        <f t="shared" si="2"/>
        <v>#N/A</v>
      </c>
      <c r="X11" s="1569"/>
      <c r="Y11" s="3342"/>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96"/>
      <c r="Q12" s="1151">
        <f t="shared" si="6"/>
        <v>111</v>
      </c>
      <c r="R12" s="1567" t="s">
        <v>8</v>
      </c>
      <c r="S12" s="1568">
        <f t="shared" si="0"/>
        <v>100</v>
      </c>
      <c r="T12" s="1567" t="s">
        <v>8</v>
      </c>
      <c r="U12" s="1568">
        <f t="shared" si="1"/>
        <v>100</v>
      </c>
      <c r="V12" s="1567" t="s">
        <v>8</v>
      </c>
      <c r="W12" s="1568">
        <f t="shared" si="2"/>
        <v>100</v>
      </c>
      <c r="X12" s="1569"/>
      <c r="Y12" s="3342"/>
      <c r="Z12" s="1150">
        <f t="shared" si="7"/>
        <v>111</v>
      </c>
      <c r="AA12" s="1570">
        <f>D12/F12</f>
        <v>1</v>
      </c>
      <c r="AB12" s="1570">
        <f>D12/H12</f>
        <v>1</v>
      </c>
      <c r="AC12" s="1570">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96"/>
      <c r="Q13" s="1151">
        <f t="shared" si="6"/>
        <v>111</v>
      </c>
      <c r="R13" s="1567" t="s">
        <v>8</v>
      </c>
      <c r="S13" s="1568">
        <f t="shared" si="0"/>
        <v>100</v>
      </c>
      <c r="T13" s="1567" t="s">
        <v>8</v>
      </c>
      <c r="U13" s="1568">
        <f t="shared" si="1"/>
        <v>100</v>
      </c>
      <c r="V13" s="1567" t="s">
        <v>8</v>
      </c>
      <c r="W13" s="1568">
        <f t="shared" si="2"/>
        <v>100</v>
      </c>
      <c r="X13" s="1569"/>
      <c r="Y13" s="3342"/>
      <c r="Z13" s="1150">
        <f t="shared" si="7"/>
        <v>111</v>
      </c>
      <c r="AA13" s="1570">
        <f t="shared" si="3"/>
        <v>1</v>
      </c>
      <c r="AB13" s="1570">
        <f t="shared" si="4"/>
        <v>1</v>
      </c>
      <c r="AC13" s="1570">
        <f t="shared" si="5"/>
        <v>1</v>
      </c>
    </row>
    <row r="14" spans="1:29" ht="15.75"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96"/>
      <c r="Q14" s="1151">
        <f t="shared" si="6"/>
        <v>111</v>
      </c>
      <c r="R14" s="1567" t="s">
        <v>8</v>
      </c>
      <c r="S14" s="1568">
        <f t="shared" si="0"/>
        <v>100</v>
      </c>
      <c r="T14" s="1567" t="s">
        <v>8</v>
      </c>
      <c r="U14" s="1568">
        <f t="shared" si="1"/>
        <v>100</v>
      </c>
      <c r="V14" s="1567" t="s">
        <v>8</v>
      </c>
      <c r="W14" s="1568">
        <f t="shared" si="2"/>
        <v>100</v>
      </c>
      <c r="X14" s="1569"/>
      <c r="Y14" s="3342"/>
      <c r="Z14" s="1150">
        <f t="shared" si="7"/>
        <v>111</v>
      </c>
      <c r="AA14" s="1570">
        <f t="shared" si="3"/>
        <v>1</v>
      </c>
      <c r="AB14" s="1570">
        <f t="shared" si="4"/>
        <v>1</v>
      </c>
      <c r="AC14" s="1570">
        <f t="shared" si="5"/>
        <v>1</v>
      </c>
    </row>
    <row r="15" spans="1:29" ht="71.25">
      <c r="A15" s="2934" t="s">
        <v>2754</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31" t="s">
        <v>539</v>
      </c>
      <c r="Q15" s="1571" t="str">
        <f t="shared" si="6"/>
        <v>办公集聚程度</v>
      </c>
      <c r="R15" s="1572" t="s">
        <v>8</v>
      </c>
      <c r="S15" s="1573">
        <f t="shared" si="0"/>
        <v>100</v>
      </c>
      <c r="T15" s="1572" t="s">
        <v>8</v>
      </c>
      <c r="U15" s="1573">
        <f t="shared" si="1"/>
        <v>100</v>
      </c>
      <c r="V15" s="1572" t="s">
        <v>8</v>
      </c>
      <c r="W15" s="1573">
        <f t="shared" si="2"/>
        <v>100</v>
      </c>
      <c r="X15" s="1566"/>
      <c r="Y15" s="3431"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32"/>
      <c r="Q16" s="1571"/>
      <c r="R16" s="1572"/>
      <c r="S16" s="1573"/>
      <c r="T16" s="1572"/>
      <c r="U16" s="1573"/>
      <c r="V16" s="1572"/>
      <c r="W16" s="1573"/>
      <c r="X16" s="1566"/>
      <c r="Y16" s="3432"/>
      <c r="Z16" s="1574"/>
      <c r="AA16" s="1575">
        <v>1</v>
      </c>
      <c r="AB16" s="1575">
        <v>1</v>
      </c>
      <c r="AC16" s="1575">
        <v>1</v>
      </c>
    </row>
    <row r="17" spans="1:29" ht="171">
      <c r="A17" s="532"/>
      <c r="B17" s="560" t="s">
        <v>295</v>
      </c>
      <c r="C17" s="573"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32"/>
      <c r="Q17" s="1571" t="str">
        <f>B17</f>
        <v>交通便捷度</v>
      </c>
      <c r="R17" s="1572" t="s">
        <v>8</v>
      </c>
      <c r="S17" s="1573">
        <f>F17</f>
        <v>100</v>
      </c>
      <c r="T17" s="1572" t="s">
        <v>8</v>
      </c>
      <c r="U17" s="1573">
        <f>H17</f>
        <v>100</v>
      </c>
      <c r="V17" s="1572" t="s">
        <v>8</v>
      </c>
      <c r="W17" s="1573">
        <f>J17</f>
        <v>100</v>
      </c>
      <c r="X17" s="1566"/>
      <c r="Y17" s="3432"/>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32"/>
      <c r="Q18" s="1571"/>
      <c r="R18" s="1572"/>
      <c r="S18" s="1573"/>
      <c r="T18" s="1572"/>
      <c r="U18" s="1573"/>
      <c r="V18" s="1572"/>
      <c r="W18" s="1573"/>
      <c r="X18" s="1566"/>
      <c r="Y18" s="3432"/>
      <c r="Z18" s="1574"/>
      <c r="AA18" s="1575">
        <v>1</v>
      </c>
      <c r="AB18" s="1575">
        <v>1</v>
      </c>
      <c r="AC18" s="1575">
        <v>1</v>
      </c>
    </row>
    <row r="19" spans="1:29" ht="171">
      <c r="A19" s="532"/>
      <c r="B19" s="2627" t="s">
        <v>2547</v>
      </c>
      <c r="C19" s="573" t="str">
        <f>估价对象房地状况!C7</f>
        <v>周边2公里内的公共服务配套设施齐备，有购物场所（华联超市）、医院（无）、银行（工商银行、北京农商银行）、学校（海淀科技园小学）、餐饮等公共服务配套设施。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32"/>
      <c r="Q19" s="1571" t="str">
        <f>B19</f>
        <v>公共配套设施</v>
      </c>
      <c r="R19" s="1572" t="s">
        <v>8</v>
      </c>
      <c r="S19" s="1573">
        <f>F19</f>
        <v>100</v>
      </c>
      <c r="T19" s="1572" t="s">
        <v>8</v>
      </c>
      <c r="U19" s="1573">
        <f>H19</f>
        <v>100</v>
      </c>
      <c r="V19" s="1572" t="s">
        <v>8</v>
      </c>
      <c r="W19" s="1573">
        <f>J19</f>
        <v>100</v>
      </c>
      <c r="X19" s="1566"/>
      <c r="Y19" s="3432"/>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32"/>
      <c r="Q20" s="1571"/>
      <c r="R20" s="1572"/>
      <c r="S20" s="1573"/>
      <c r="T20" s="1572"/>
      <c r="U20" s="1573"/>
      <c r="V20" s="1572"/>
      <c r="W20" s="1573"/>
      <c r="X20" s="1566"/>
      <c r="Y20" s="3432"/>
      <c r="Z20" s="1574"/>
      <c r="AA20" s="1575">
        <v>1</v>
      </c>
      <c r="AB20" s="1575">
        <v>1</v>
      </c>
      <c r="AC20" s="1575">
        <v>1</v>
      </c>
    </row>
    <row r="21" spans="1:29" ht="28.5">
      <c r="A21" s="532"/>
      <c r="B21" s="2615"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32"/>
      <c r="Q21" s="2603" t="str">
        <f>B21</f>
        <v>基础设施水平</v>
      </c>
      <c r="R21" s="1572" t="s">
        <v>8</v>
      </c>
      <c r="S21" s="1573">
        <f>F21</f>
        <v>100</v>
      </c>
      <c r="T21" s="1572" t="s">
        <v>8</v>
      </c>
      <c r="U21" s="1573">
        <f>H21</f>
        <v>100</v>
      </c>
      <c r="V21" s="1572" t="s">
        <v>8</v>
      </c>
      <c r="W21" s="1573">
        <f>J21</f>
        <v>100</v>
      </c>
      <c r="X21" s="2605"/>
      <c r="Y21" s="3432"/>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432"/>
      <c r="Q22" s="2603"/>
      <c r="R22" s="1572"/>
      <c r="S22" s="1573"/>
      <c r="T22" s="1572"/>
      <c r="U22" s="1573"/>
      <c r="V22" s="1572"/>
      <c r="W22" s="1573"/>
      <c r="X22" s="2605"/>
      <c r="Y22" s="3432"/>
      <c r="Z22" s="2604"/>
      <c r="AA22" s="1575">
        <v>1</v>
      </c>
      <c r="AB22" s="1575">
        <v>1</v>
      </c>
      <c r="AC22" s="1575">
        <v>1</v>
      </c>
    </row>
    <row r="23" spans="1:29" ht="85.5">
      <c r="A23" s="532"/>
      <c r="B23" s="560" t="s">
        <v>777</v>
      </c>
      <c r="C23" s="573" t="str">
        <f>估价对象房地状况!C9</f>
        <v>区域自然环境：无；人文环境有北京北大资源研修学院、；综合评价环境状况一般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32"/>
      <c r="Q23" s="1571" t="str">
        <f>B23</f>
        <v>环境质量</v>
      </c>
      <c r="R23" s="1572" t="s">
        <v>8</v>
      </c>
      <c r="S23" s="1573">
        <f>F23</f>
        <v>100</v>
      </c>
      <c r="T23" s="1572" t="s">
        <v>8</v>
      </c>
      <c r="U23" s="1573">
        <f>H23</f>
        <v>100</v>
      </c>
      <c r="V23" s="1572" t="s">
        <v>8</v>
      </c>
      <c r="W23" s="1573">
        <f>J23</f>
        <v>100</v>
      </c>
      <c r="X23" s="1566"/>
      <c r="Y23" s="3432"/>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32"/>
      <c r="Q24" s="1571"/>
      <c r="R24" s="1572"/>
      <c r="S24" s="1573"/>
      <c r="T24" s="1572"/>
      <c r="U24" s="1573"/>
      <c r="V24" s="1572"/>
      <c r="W24" s="1573"/>
      <c r="X24" s="1566"/>
      <c r="Y24" s="3432"/>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32"/>
      <c r="Q25" s="1571" t="str">
        <f>B25</f>
        <v>毗邻道路的类型与等级</v>
      </c>
      <c r="R25" s="1572" t="s">
        <v>8</v>
      </c>
      <c r="S25" s="1573">
        <f>F25</f>
        <v>100</v>
      </c>
      <c r="T25" s="1572" t="s">
        <v>8</v>
      </c>
      <c r="U25" s="1573">
        <f>H25</f>
        <v>100</v>
      </c>
      <c r="V25" s="1572" t="s">
        <v>8</v>
      </c>
      <c r="W25" s="1573">
        <f>J25</f>
        <v>100</v>
      </c>
      <c r="X25" s="1566"/>
      <c r="Y25" s="3432"/>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32"/>
      <c r="Q26" s="1571"/>
      <c r="R26" s="1572"/>
      <c r="S26" s="1573"/>
      <c r="T26" s="1572"/>
      <c r="U26" s="1573"/>
      <c r="V26" s="1572"/>
      <c r="W26" s="1573"/>
      <c r="X26" s="1566"/>
      <c r="Y26" s="3432"/>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32"/>
      <c r="Q27" s="1571" t="str">
        <f t="shared" ref="Q27:Q47" si="11">B27</f>
        <v>楼层</v>
      </c>
      <c r="R27" s="1572" t="s">
        <v>8</v>
      </c>
      <c r="S27" s="1573">
        <f>F27</f>
        <v>100</v>
      </c>
      <c r="T27" s="1572" t="s">
        <v>8</v>
      </c>
      <c r="U27" s="1573">
        <f>H27</f>
        <v>100</v>
      </c>
      <c r="V27" s="1572" t="s">
        <v>8</v>
      </c>
      <c r="W27" s="1573">
        <f>J27</f>
        <v>100</v>
      </c>
      <c r="X27" s="1566"/>
      <c r="Y27" s="3432"/>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32"/>
      <c r="Q28" s="1151" t="str">
        <f t="shared" si="11"/>
        <v>朝向</v>
      </c>
      <c r="R28" s="1567" t="s">
        <v>8</v>
      </c>
      <c r="S28" s="1568">
        <f>F28</f>
        <v>100</v>
      </c>
      <c r="T28" s="1567" t="s">
        <v>8</v>
      </c>
      <c r="U28" s="1568">
        <f>H28</f>
        <v>100</v>
      </c>
      <c r="V28" s="1567" t="s">
        <v>8</v>
      </c>
      <c r="W28" s="1568">
        <f>J28</f>
        <v>100</v>
      </c>
      <c r="X28" s="1569"/>
      <c r="Y28" s="3432"/>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32"/>
      <c r="Q29" s="1571">
        <f t="shared" si="11"/>
        <v>111</v>
      </c>
      <c r="R29" s="1572" t="s">
        <v>8</v>
      </c>
      <c r="S29" s="1573">
        <f t="shared" ref="S29:S47" si="12">F29</f>
        <v>100</v>
      </c>
      <c r="T29" s="1572" t="s">
        <v>8</v>
      </c>
      <c r="U29" s="1573">
        <f t="shared" ref="U29:U47" si="13">H29</f>
        <v>100</v>
      </c>
      <c r="V29" s="1572" t="s">
        <v>8</v>
      </c>
      <c r="W29" s="1573">
        <f t="shared" ref="W29:W47" si="14">J29</f>
        <v>100</v>
      </c>
      <c r="X29" s="1566"/>
      <c r="Y29" s="3432"/>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32"/>
      <c r="Q30" s="1571">
        <f t="shared" si="11"/>
        <v>111</v>
      </c>
      <c r="R30" s="1572" t="s">
        <v>8</v>
      </c>
      <c r="S30" s="1573">
        <f t="shared" si="12"/>
        <v>100</v>
      </c>
      <c r="T30" s="1572" t="s">
        <v>8</v>
      </c>
      <c r="U30" s="1573">
        <f t="shared" si="13"/>
        <v>100</v>
      </c>
      <c r="V30" s="1572" t="s">
        <v>8</v>
      </c>
      <c r="W30" s="1573">
        <f t="shared" si="14"/>
        <v>100</v>
      </c>
      <c r="X30" s="1566"/>
      <c r="Y30" s="3432"/>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32"/>
      <c r="Q31" s="1571">
        <f t="shared" si="11"/>
        <v>111</v>
      </c>
      <c r="R31" s="1572" t="s">
        <v>8</v>
      </c>
      <c r="S31" s="1573">
        <f t="shared" si="12"/>
        <v>100</v>
      </c>
      <c r="T31" s="1572" t="s">
        <v>8</v>
      </c>
      <c r="U31" s="1573">
        <f t="shared" si="13"/>
        <v>100</v>
      </c>
      <c r="V31" s="1572" t="s">
        <v>8</v>
      </c>
      <c r="W31" s="1573">
        <f t="shared" si="14"/>
        <v>100</v>
      </c>
      <c r="X31" s="1566"/>
      <c r="Y31" s="3432"/>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32"/>
      <c r="Q32" s="1571">
        <f t="shared" si="11"/>
        <v>111</v>
      </c>
      <c r="R32" s="1572" t="s">
        <v>8</v>
      </c>
      <c r="S32" s="1573">
        <f t="shared" si="12"/>
        <v>100</v>
      </c>
      <c r="T32" s="1572" t="s">
        <v>8</v>
      </c>
      <c r="U32" s="1573">
        <f t="shared" si="13"/>
        <v>100</v>
      </c>
      <c r="V32" s="1572" t="s">
        <v>8</v>
      </c>
      <c r="W32" s="1573">
        <f t="shared" si="14"/>
        <v>100</v>
      </c>
      <c r="X32" s="1566"/>
      <c r="Y32" s="3432"/>
      <c r="Z32" s="1574">
        <f t="shared" si="15"/>
        <v>111</v>
      </c>
      <c r="AA32" s="1575">
        <f t="shared" si="3"/>
        <v>1</v>
      </c>
      <c r="AB32" s="1575">
        <f t="shared" si="4"/>
        <v>1</v>
      </c>
      <c r="AC32" s="1575">
        <f t="shared" si="5"/>
        <v>1</v>
      </c>
    </row>
    <row r="33" spans="1:29" ht="15">
      <c r="A33" s="2931" t="s">
        <v>2755</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33" t="s">
        <v>549</v>
      </c>
      <c r="Q33" s="1571" t="str">
        <f t="shared" si="11"/>
        <v>建筑类型</v>
      </c>
      <c r="R33" s="1572" t="s">
        <v>8</v>
      </c>
      <c r="S33" s="1573">
        <f t="shared" si="12"/>
        <v>100</v>
      </c>
      <c r="T33" s="1572" t="s">
        <v>8</v>
      </c>
      <c r="U33" s="1573">
        <f t="shared" si="13"/>
        <v>100</v>
      </c>
      <c r="V33" s="1572" t="s">
        <v>8</v>
      </c>
      <c r="W33" s="1573">
        <f t="shared" si="14"/>
        <v>100</v>
      </c>
      <c r="X33" s="1566"/>
      <c r="Y33" s="3434"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34"/>
      <c r="Q34" s="1604" t="str">
        <f t="shared" si="11"/>
        <v>项目建筑规模</v>
      </c>
      <c r="R34" s="1576" t="s">
        <v>8</v>
      </c>
      <c r="S34" s="1577" t="e">
        <f t="shared" si="12"/>
        <v>#N/A</v>
      </c>
      <c r="T34" s="1576" t="s">
        <v>8</v>
      </c>
      <c r="U34" s="1577" t="e">
        <f t="shared" si="13"/>
        <v>#N/A</v>
      </c>
      <c r="V34" s="1576" t="s">
        <v>8</v>
      </c>
      <c r="W34" s="1577" t="e">
        <f t="shared" si="14"/>
        <v>#N/A</v>
      </c>
      <c r="X34" s="1578"/>
      <c r="Y34" s="3434"/>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34"/>
      <c r="Q35" s="1571" t="str">
        <f t="shared" si="11"/>
        <v>建筑结构</v>
      </c>
      <c r="R35" s="1572" t="s">
        <v>8</v>
      </c>
      <c r="S35" s="1573">
        <f t="shared" si="12"/>
        <v>100</v>
      </c>
      <c r="T35" s="1572" t="s">
        <v>8</v>
      </c>
      <c r="U35" s="1573">
        <f t="shared" si="13"/>
        <v>100</v>
      </c>
      <c r="V35" s="1572" t="s">
        <v>8</v>
      </c>
      <c r="W35" s="1573">
        <f t="shared" si="14"/>
        <v>100</v>
      </c>
      <c r="X35" s="1566"/>
      <c r="Y35" s="3434"/>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34"/>
      <c r="Q36" s="1571" t="str">
        <f t="shared" si="11"/>
        <v>公共部分装修</v>
      </c>
      <c r="R36" s="1572" t="s">
        <v>8</v>
      </c>
      <c r="S36" s="1573">
        <f t="shared" si="12"/>
        <v>100</v>
      </c>
      <c r="T36" s="1572" t="s">
        <v>8</v>
      </c>
      <c r="U36" s="1573">
        <f t="shared" si="13"/>
        <v>100</v>
      </c>
      <c r="V36" s="1572" t="s">
        <v>8</v>
      </c>
      <c r="W36" s="1573">
        <f t="shared" si="14"/>
        <v>100</v>
      </c>
      <c r="X36" s="1566"/>
      <c r="Y36" s="3434"/>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34"/>
      <c r="Q37" s="1571" t="str">
        <f t="shared" si="11"/>
        <v>成新度</v>
      </c>
      <c r="R37" s="1572" t="s">
        <v>8</v>
      </c>
      <c r="S37" s="1573" t="e">
        <f t="shared" si="12"/>
        <v>#N/A</v>
      </c>
      <c r="T37" s="1572" t="s">
        <v>8</v>
      </c>
      <c r="U37" s="1573" t="e">
        <f t="shared" si="13"/>
        <v>#N/A</v>
      </c>
      <c r="V37" s="1572" t="s">
        <v>8</v>
      </c>
      <c r="W37" s="1573" t="e">
        <f t="shared" si="14"/>
        <v>#N/A</v>
      </c>
      <c r="X37" s="1566"/>
      <c r="Y37" s="3434"/>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34"/>
      <c r="Q38" s="1151" t="str">
        <f t="shared" si="11"/>
        <v>写字楼等级</v>
      </c>
      <c r="R38" s="1567" t="s">
        <v>8</v>
      </c>
      <c r="S38" s="1568">
        <f t="shared" si="12"/>
        <v>100</v>
      </c>
      <c r="T38" s="1567" t="s">
        <v>8</v>
      </c>
      <c r="U38" s="1568">
        <f t="shared" si="13"/>
        <v>100</v>
      </c>
      <c r="V38" s="1567" t="s">
        <v>8</v>
      </c>
      <c r="W38" s="1568">
        <f t="shared" si="14"/>
        <v>100</v>
      </c>
      <c r="X38" s="1569"/>
      <c r="Y38" s="3434"/>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34" t="s">
        <v>549</v>
      </c>
      <c r="Q39" s="1571" t="str">
        <f t="shared" si="11"/>
        <v>物业管理</v>
      </c>
      <c r="R39" s="1572" t="s">
        <v>8</v>
      </c>
      <c r="S39" s="1573">
        <f t="shared" si="12"/>
        <v>100</v>
      </c>
      <c r="T39" s="1572" t="s">
        <v>8</v>
      </c>
      <c r="U39" s="1573">
        <f t="shared" si="13"/>
        <v>100</v>
      </c>
      <c r="V39" s="1572" t="s">
        <v>8</v>
      </c>
      <c r="W39" s="1573">
        <f t="shared" si="14"/>
        <v>100</v>
      </c>
      <c r="X39" s="1566"/>
      <c r="Y39" s="3434" t="s">
        <v>549</v>
      </c>
      <c r="Z39" s="1574" t="str">
        <f t="shared" si="15"/>
        <v>物业管理</v>
      </c>
      <c r="AA39" s="1575">
        <f t="shared" si="3"/>
        <v>1</v>
      </c>
      <c r="AB39" s="1575">
        <f t="shared" si="4"/>
        <v>1</v>
      </c>
      <c r="AC39" s="1575">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34"/>
      <c r="Q40" s="1571" t="str">
        <f t="shared" si="11"/>
        <v>市政基础设施</v>
      </c>
      <c r="R40" s="1572" t="s">
        <v>8</v>
      </c>
      <c r="S40" s="1573">
        <f t="shared" si="12"/>
        <v>100</v>
      </c>
      <c r="T40" s="1572" t="s">
        <v>8</v>
      </c>
      <c r="U40" s="1573">
        <f t="shared" si="13"/>
        <v>100</v>
      </c>
      <c r="V40" s="1572" t="s">
        <v>8</v>
      </c>
      <c r="W40" s="1573">
        <f t="shared" si="14"/>
        <v>100</v>
      </c>
      <c r="X40" s="1566"/>
      <c r="Y40" s="3434"/>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34"/>
      <c r="Q41" s="1571" t="str">
        <f t="shared" si="11"/>
        <v>层高</v>
      </c>
      <c r="R41" s="1572" t="s">
        <v>8</v>
      </c>
      <c r="S41" s="1573">
        <f t="shared" si="12"/>
        <v>100</v>
      </c>
      <c r="T41" s="1572" t="s">
        <v>8</v>
      </c>
      <c r="U41" s="1573">
        <f t="shared" si="13"/>
        <v>100</v>
      </c>
      <c r="V41" s="1572" t="s">
        <v>8</v>
      </c>
      <c r="W41" s="1573">
        <f t="shared" si="14"/>
        <v>100</v>
      </c>
      <c r="X41" s="1566"/>
      <c r="Y41" s="3434"/>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34"/>
      <c r="Q42" s="1604" t="str">
        <f t="shared" si="11"/>
        <v>单套建筑面积</v>
      </c>
      <c r="R42" s="1576" t="s">
        <v>8</v>
      </c>
      <c r="S42" s="1577">
        <f t="shared" si="12"/>
        <v>100</v>
      </c>
      <c r="T42" s="1576" t="s">
        <v>8</v>
      </c>
      <c r="U42" s="1577">
        <f t="shared" si="13"/>
        <v>100</v>
      </c>
      <c r="V42" s="1576" t="s">
        <v>8</v>
      </c>
      <c r="W42" s="1577">
        <f t="shared" si="14"/>
        <v>100</v>
      </c>
      <c r="X42" s="1578"/>
      <c r="Y42" s="3434"/>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34"/>
      <c r="Q43" s="1571" t="str">
        <f t="shared" si="11"/>
        <v>内部装修</v>
      </c>
      <c r="R43" s="1572" t="s">
        <v>8</v>
      </c>
      <c r="S43" s="1573">
        <f t="shared" si="12"/>
        <v>100</v>
      </c>
      <c r="T43" s="1572" t="s">
        <v>8</v>
      </c>
      <c r="U43" s="1573">
        <f t="shared" si="13"/>
        <v>100</v>
      </c>
      <c r="V43" s="1572" t="s">
        <v>8</v>
      </c>
      <c r="W43" s="1573">
        <f t="shared" si="14"/>
        <v>100</v>
      </c>
      <c r="X43" s="1566"/>
      <c r="Y43" s="3434"/>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34"/>
      <c r="Q44" s="1571" t="str">
        <f t="shared" si="11"/>
        <v>内部装修维护情况</v>
      </c>
      <c r="R44" s="1572" t="s">
        <v>8</v>
      </c>
      <c r="S44" s="1573">
        <f t="shared" si="12"/>
        <v>100</v>
      </c>
      <c r="T44" s="1572" t="s">
        <v>8</v>
      </c>
      <c r="U44" s="1573">
        <f t="shared" si="13"/>
        <v>100</v>
      </c>
      <c r="V44" s="1572" t="s">
        <v>8</v>
      </c>
      <c r="W44" s="1573">
        <f t="shared" si="14"/>
        <v>100</v>
      </c>
      <c r="X44" s="1566"/>
      <c r="Y44" s="3434"/>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34"/>
      <c r="Q45" s="1151">
        <f t="shared" si="11"/>
        <v>111</v>
      </c>
      <c r="R45" s="1567" t="s">
        <v>8</v>
      </c>
      <c r="S45" s="1568">
        <f t="shared" si="12"/>
        <v>100</v>
      </c>
      <c r="T45" s="1567" t="s">
        <v>8</v>
      </c>
      <c r="U45" s="1568">
        <f t="shared" si="13"/>
        <v>100</v>
      </c>
      <c r="V45" s="1567" t="s">
        <v>8</v>
      </c>
      <c r="W45" s="1568">
        <f t="shared" si="14"/>
        <v>100</v>
      </c>
      <c r="X45" s="1569"/>
      <c r="Y45" s="3434"/>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34"/>
      <c r="Q46" s="1571">
        <f t="shared" si="11"/>
        <v>111</v>
      </c>
      <c r="R46" s="1572" t="s">
        <v>8</v>
      </c>
      <c r="S46" s="1573">
        <f t="shared" si="12"/>
        <v>100</v>
      </c>
      <c r="T46" s="1572" t="s">
        <v>8</v>
      </c>
      <c r="U46" s="1573">
        <f t="shared" si="13"/>
        <v>100</v>
      </c>
      <c r="V46" s="1572" t="s">
        <v>8</v>
      </c>
      <c r="W46" s="1573">
        <f t="shared" si="14"/>
        <v>100</v>
      </c>
      <c r="X46" s="1566"/>
      <c r="Y46" s="3434"/>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15"/>
      <c r="Q47" s="1571">
        <f t="shared" si="11"/>
        <v>111</v>
      </c>
      <c r="R47" s="1572" t="s">
        <v>8</v>
      </c>
      <c r="S47" s="1573">
        <f t="shared" si="12"/>
        <v>100</v>
      </c>
      <c r="T47" s="1572" t="s">
        <v>8</v>
      </c>
      <c r="U47" s="1573">
        <f t="shared" si="13"/>
        <v>100</v>
      </c>
      <c r="V47" s="1572" t="s">
        <v>8</v>
      </c>
      <c r="W47" s="1573">
        <f t="shared" si="14"/>
        <v>100</v>
      </c>
      <c r="X47" s="1566"/>
      <c r="Y47" s="3515"/>
      <c r="Z47" s="1574">
        <f t="shared" si="15"/>
        <v>111</v>
      </c>
      <c r="AA47" s="1575">
        <f t="shared" si="3"/>
        <v>1</v>
      </c>
      <c r="AB47" s="1575">
        <f t="shared" si="4"/>
        <v>1</v>
      </c>
      <c r="AC47" s="1575">
        <f t="shared" si="5"/>
        <v>1</v>
      </c>
    </row>
    <row r="48" spans="1:29" ht="15">
      <c r="A48" s="607" t="s">
        <v>735</v>
      </c>
      <c r="B48" s="887"/>
      <c r="C48" s="2651" t="s">
        <v>1</v>
      </c>
      <c r="D48" s="2652"/>
      <c r="E48" s="2653"/>
      <c r="F48" s="2654"/>
      <c r="G48" s="2655"/>
      <c r="H48" s="2656"/>
      <c r="I48" s="2653"/>
      <c r="J48" s="2656"/>
      <c r="K48" s="1610"/>
      <c r="L48" s="2144"/>
      <c r="M48" s="2134"/>
      <c r="N48" s="2134"/>
      <c r="O48" s="2134"/>
      <c r="P48" s="3394" t="str">
        <f>A48</f>
        <v>成交单价（元/平方米）</v>
      </c>
      <c r="Q48" s="3396"/>
      <c r="R48" s="3514">
        <f>E48</f>
        <v>0</v>
      </c>
      <c r="S48" s="3514"/>
      <c r="T48" s="3514">
        <f>G48</f>
        <v>0</v>
      </c>
      <c r="U48" s="3514"/>
      <c r="V48" s="3514">
        <f>I48</f>
        <v>0</v>
      </c>
      <c r="W48" s="3514"/>
      <c r="X48" s="1558"/>
      <c r="Y48" s="1580"/>
      <c r="Z48" s="1558"/>
      <c r="AA48" s="1558"/>
      <c r="AB48" s="1558"/>
      <c r="AC48" s="1558"/>
    </row>
    <row r="49" spans="1:29" ht="15.75" thickBot="1">
      <c r="A49" s="615" t="s">
        <v>2760</v>
      </c>
      <c r="B49" s="888"/>
      <c r="C49" s="2657" t="e">
        <f>R50</f>
        <v>#DIV/0!</v>
      </c>
      <c r="D49" s="2658"/>
      <c r="E49" s="2659" t="e">
        <f>R49</f>
        <v>#DIV/0!</v>
      </c>
      <c r="F49" s="2659"/>
      <c r="G49" s="2657" t="e">
        <f>T49</f>
        <v>#DIV/0!</v>
      </c>
      <c r="H49" s="2658"/>
      <c r="I49" s="2659" t="e">
        <f>V49</f>
        <v>#DIV/0!</v>
      </c>
      <c r="J49" s="2658"/>
      <c r="K49" s="1611"/>
      <c r="L49" s="2144"/>
      <c r="M49" s="2134"/>
      <c r="N49" s="2134"/>
      <c r="O49" s="2134"/>
      <c r="P49" s="3394" t="str">
        <f>A49</f>
        <v>比较价格（元/平方米）</v>
      </c>
      <c r="Q49" s="3396"/>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558"/>
      <c r="Y49" s="1558"/>
      <c r="Z49" s="1558"/>
      <c r="AA49" s="1558"/>
      <c r="AB49" s="1558"/>
      <c r="AC49" s="1558"/>
    </row>
    <row r="50" spans="1:29" ht="15.75" thickBot="1">
      <c r="A50" s="621" t="s">
        <v>2932</v>
      </c>
      <c r="B50" s="622"/>
      <c r="C50" s="2660" t="e">
        <f>R50</f>
        <v>#DIV/0!</v>
      </c>
      <c r="D50" s="2660"/>
      <c r="E50" s="2660"/>
      <c r="F50" s="2660"/>
      <c r="G50" s="2660"/>
      <c r="H50" s="2660"/>
      <c r="I50" s="2660"/>
      <c r="J50" s="2660"/>
      <c r="K50" s="1612"/>
      <c r="L50" s="2144"/>
      <c r="M50" s="2134"/>
      <c r="N50" s="2134"/>
      <c r="O50" s="2134"/>
      <c r="P50" s="3516" t="str">
        <f>A50</f>
        <v>估价对象XX用房的比较价格（楼面单价，元/平方米）</v>
      </c>
      <c r="Q50" s="3394"/>
      <c r="R50" s="3513" t="e">
        <f>IF(F1="售价",ROUND(AVERAGE(R49:V49),0),ROUND(AVERAGE(R49:V49),1))</f>
        <v>#DIV/0!</v>
      </c>
      <c r="S50" s="3513"/>
      <c r="T50" s="3513"/>
      <c r="U50" s="3513"/>
      <c r="V50" s="3513"/>
      <c r="W50" s="3513"/>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5">
      <c r="A59" s="645" t="s">
        <v>528</v>
      </c>
      <c r="B59" s="646"/>
      <c r="C59" s="2826" t="str">
        <f>YEAR(C7)&amp;"-"&amp;MONTH(C7)</f>
        <v>2018-9</v>
      </c>
      <c r="D59" s="2828">
        <f>EDATE(C59,-1)</f>
        <v>43313</v>
      </c>
      <c r="E59" s="2828">
        <f t="shared" ref="E59:O59" si="16">EDATE(D59,-1)</f>
        <v>43282</v>
      </c>
      <c r="F59" s="2828">
        <f t="shared" si="16"/>
        <v>43252</v>
      </c>
      <c r="G59" s="2828">
        <f t="shared" si="16"/>
        <v>43221</v>
      </c>
      <c r="H59" s="2828">
        <f t="shared" si="16"/>
        <v>43191</v>
      </c>
      <c r="I59" s="2828">
        <f t="shared" si="16"/>
        <v>43160</v>
      </c>
      <c r="J59" s="2828">
        <f t="shared" si="16"/>
        <v>43132</v>
      </c>
      <c r="K59" s="2828">
        <f t="shared" si="16"/>
        <v>43101</v>
      </c>
      <c r="L59" s="2828">
        <f t="shared" si="16"/>
        <v>43070</v>
      </c>
      <c r="M59" s="2828">
        <f t="shared" si="16"/>
        <v>43040</v>
      </c>
      <c r="N59" s="2828">
        <f t="shared" si="16"/>
        <v>43009</v>
      </c>
      <c r="O59" s="2828">
        <f t="shared" si="16"/>
        <v>42979</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2559</v>
      </c>
      <c r="C83" s="2622" t="s">
        <v>2560</v>
      </c>
      <c r="D83" s="2622" t="s">
        <v>2561</v>
      </c>
      <c r="E83" s="2622" t="s">
        <v>2562</v>
      </c>
      <c r="F83" s="2622" t="s">
        <v>2563</v>
      </c>
      <c r="G83" s="2622" t="s">
        <v>2564</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402" t="s">
        <v>521</v>
      </c>
      <c r="D4" s="3403"/>
      <c r="E4" s="3441" t="s">
        <v>522</v>
      </c>
      <c r="F4" s="3442"/>
      <c r="G4" s="3402" t="s">
        <v>523</v>
      </c>
      <c r="H4" s="3403"/>
      <c r="I4" s="3402" t="s">
        <v>524</v>
      </c>
      <c r="J4" s="3403"/>
      <c r="K4" s="514" t="s">
        <v>525</v>
      </c>
      <c r="L4" s="2133"/>
      <c r="M4" s="2134"/>
      <c r="N4" s="2134"/>
      <c r="O4" s="2134"/>
      <c r="P4" s="3404" t="s">
        <v>526</v>
      </c>
      <c r="Q4" s="3405"/>
      <c r="R4" s="3410" t="s">
        <v>522</v>
      </c>
      <c r="S4" s="3411"/>
      <c r="T4" s="3410" t="s">
        <v>523</v>
      </c>
      <c r="U4" s="3411"/>
      <c r="V4" s="3397" t="s">
        <v>524</v>
      </c>
      <c r="W4" s="3397"/>
      <c r="X4" s="1566"/>
      <c r="Y4" s="3410" t="s">
        <v>526</v>
      </c>
      <c r="Z4" s="3411"/>
      <c r="AA4" s="3399" t="s">
        <v>522</v>
      </c>
      <c r="AB4" s="3400" t="s">
        <v>523</v>
      </c>
      <c r="AC4" s="3399" t="s">
        <v>524</v>
      </c>
    </row>
    <row r="5" spans="1:29" ht="15">
      <c r="A5" s="515"/>
      <c r="B5" s="516"/>
      <c r="C5" s="3435" t="s">
        <v>2926</v>
      </c>
      <c r="D5" s="3436"/>
      <c r="E5" s="3443" t="s">
        <v>2927</v>
      </c>
      <c r="F5" s="3444"/>
      <c r="G5" s="3435" t="s">
        <v>2928</v>
      </c>
      <c r="H5" s="3436"/>
      <c r="I5" s="3435" t="s">
        <v>2929</v>
      </c>
      <c r="J5" s="3436"/>
      <c r="K5" s="514"/>
      <c r="L5" s="2133"/>
      <c r="M5" s="2134"/>
      <c r="N5" s="2134"/>
      <c r="O5" s="2134"/>
      <c r="P5" s="3406"/>
      <c r="Q5" s="3407"/>
      <c r="R5" s="3412"/>
      <c r="S5" s="3413"/>
      <c r="T5" s="3412"/>
      <c r="U5" s="3413"/>
      <c r="V5" s="3397"/>
      <c r="W5" s="3397"/>
      <c r="X5" s="1566"/>
      <c r="Y5" s="3412"/>
      <c r="Z5" s="3413"/>
      <c r="AA5" s="3400"/>
      <c r="AB5" s="3400"/>
      <c r="AC5" s="3400"/>
    </row>
    <row r="6" spans="1:29" ht="15.75" thickBot="1">
      <c r="A6" s="517"/>
      <c r="B6" s="518"/>
      <c r="C6" s="3437" t="s">
        <v>2930</v>
      </c>
      <c r="D6" s="3438"/>
      <c r="E6" s="3439" t="s">
        <v>2930</v>
      </c>
      <c r="F6" s="3440"/>
      <c r="G6" s="3437" t="s">
        <v>2930</v>
      </c>
      <c r="H6" s="3438"/>
      <c r="I6" s="3437" t="s">
        <v>2930</v>
      </c>
      <c r="J6" s="3438"/>
      <c r="K6" s="514" t="s">
        <v>527</v>
      </c>
      <c r="L6" s="2133"/>
      <c r="M6" s="2134"/>
      <c r="N6" s="2134"/>
      <c r="O6" s="2134"/>
      <c r="P6" s="3408"/>
      <c r="Q6" s="3409"/>
      <c r="R6" s="3412"/>
      <c r="S6" s="3413"/>
      <c r="T6" s="3414"/>
      <c r="U6" s="3415"/>
      <c r="V6" s="3397"/>
      <c r="W6" s="3397"/>
      <c r="X6" s="1566"/>
      <c r="Y6" s="3414"/>
      <c r="Z6" s="3415"/>
      <c r="AA6" s="3401"/>
      <c r="AB6" s="3401"/>
      <c r="AC6" s="3401"/>
    </row>
    <row r="7" spans="1:29" s="1220" customFormat="1" ht="15.75" thickBot="1">
      <c r="A7" s="2936"/>
      <c r="B7" s="2943" t="s">
        <v>528</v>
      </c>
      <c r="C7" s="519">
        <f>'数据-取费表'!B2</f>
        <v>43348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28" t="s">
        <v>529</v>
      </c>
      <c r="Q7" s="3430"/>
      <c r="R7" s="1567" t="s">
        <v>8</v>
      </c>
      <c r="S7" s="1568">
        <f t="shared" ref="S7:S15" si="0">F7</f>
        <v>0</v>
      </c>
      <c r="T7" s="1567" t="s">
        <v>8</v>
      </c>
      <c r="U7" s="1568">
        <f t="shared" ref="U7:U15" si="1">H7</f>
        <v>0</v>
      </c>
      <c r="V7" s="1567" t="s">
        <v>8</v>
      </c>
      <c r="W7" s="1568">
        <f t="shared" ref="W7:W15" si="2">J7</f>
        <v>0</v>
      </c>
      <c r="X7" s="1569"/>
      <c r="Y7" s="3428" t="s">
        <v>529</v>
      </c>
      <c r="Z7" s="3429"/>
      <c r="AA7" s="1570" t="e">
        <f>D7/F7</f>
        <v>#DIV/0!</v>
      </c>
      <c r="AB7" s="1570" t="e">
        <f>D7/H7</f>
        <v>#DIV/0!</v>
      </c>
      <c r="AC7" s="1570" t="e">
        <f>D7/J7</f>
        <v>#DIV/0!</v>
      </c>
    </row>
    <row r="8" spans="1:29" s="1220" customFormat="1" ht="15.75" thickBot="1">
      <c r="A8" s="2937"/>
      <c r="B8" s="2944"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28" t="s">
        <v>532</v>
      </c>
      <c r="Q8" s="3429"/>
      <c r="R8" s="1567" t="s">
        <v>8</v>
      </c>
      <c r="S8" s="1568">
        <f t="shared" si="0"/>
        <v>0</v>
      </c>
      <c r="T8" s="1567" t="s">
        <v>8</v>
      </c>
      <c r="U8" s="1568">
        <f t="shared" si="1"/>
        <v>0</v>
      </c>
      <c r="V8" s="1567" t="s">
        <v>8</v>
      </c>
      <c r="W8" s="1568">
        <f t="shared" si="2"/>
        <v>0</v>
      </c>
      <c r="X8" s="1569"/>
      <c r="Y8" s="3428" t="s">
        <v>532</v>
      </c>
      <c r="Z8" s="3429"/>
      <c r="AA8" s="1570" t="e">
        <f t="shared" ref="AA8:AA40" si="3">D8/F8</f>
        <v>#DIV/0!</v>
      </c>
      <c r="AB8" s="1570" t="e">
        <f t="shared" ref="AB8:AB40" si="4">D8/H8</f>
        <v>#DIV/0!</v>
      </c>
      <c r="AC8" s="1570" t="e">
        <f t="shared" ref="AC8:AC40" si="5">D8/J8</f>
        <v>#DIV/0!</v>
      </c>
    </row>
    <row r="9" spans="1:29" s="1220" customFormat="1" ht="15">
      <c r="A9" s="2938"/>
      <c r="B9" s="2945" t="s">
        <v>2756</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96" t="s">
        <v>534</v>
      </c>
      <c r="Q9" s="1151" t="str">
        <f t="shared" ref="Q9:Q15" si="6">B9</f>
        <v>用途</v>
      </c>
      <c r="R9" s="1567" t="s">
        <v>8</v>
      </c>
      <c r="S9" s="1568">
        <f t="shared" si="0"/>
        <v>100</v>
      </c>
      <c r="T9" s="1567" t="s">
        <v>8</v>
      </c>
      <c r="U9" s="1568">
        <f t="shared" si="1"/>
        <v>100</v>
      </c>
      <c r="V9" s="1567" t="s">
        <v>8</v>
      </c>
      <c r="W9" s="1568">
        <f t="shared" si="2"/>
        <v>100</v>
      </c>
      <c r="X9" s="1569"/>
      <c r="Y9" s="3342"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96"/>
      <c r="Q10" s="1151" t="str">
        <f t="shared" si="6"/>
        <v>土地使用年限（年）</v>
      </c>
      <c r="R10" s="1567" t="s">
        <v>8</v>
      </c>
      <c r="S10" s="1568">
        <f t="shared" si="0"/>
        <v>100</v>
      </c>
      <c r="T10" s="1567" t="s">
        <v>8</v>
      </c>
      <c r="U10" s="1568">
        <f t="shared" si="1"/>
        <v>100</v>
      </c>
      <c r="V10" s="1567" t="s">
        <v>8</v>
      </c>
      <c r="W10" s="1568">
        <f t="shared" si="2"/>
        <v>100</v>
      </c>
      <c r="X10" s="1569"/>
      <c r="Y10" s="3342"/>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96"/>
      <c r="Q11" s="1151" t="str">
        <f t="shared" si="6"/>
        <v>容积率</v>
      </c>
      <c r="R11" s="1567" t="s">
        <v>8</v>
      </c>
      <c r="S11" s="1568" t="e">
        <f t="shared" si="0"/>
        <v>#N/A</v>
      </c>
      <c r="T11" s="1567" t="s">
        <v>8</v>
      </c>
      <c r="U11" s="1568" t="e">
        <f t="shared" si="1"/>
        <v>#N/A</v>
      </c>
      <c r="V11" s="1567" t="s">
        <v>8</v>
      </c>
      <c r="W11" s="1568" t="e">
        <f t="shared" si="2"/>
        <v>#N/A</v>
      </c>
      <c r="X11" s="1569"/>
      <c r="Y11" s="3342"/>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96"/>
      <c r="Q12" s="1151">
        <f t="shared" si="6"/>
        <v>111</v>
      </c>
      <c r="R12" s="1567" t="s">
        <v>8</v>
      </c>
      <c r="S12" s="1568">
        <f t="shared" si="0"/>
        <v>100</v>
      </c>
      <c r="T12" s="1567" t="s">
        <v>8</v>
      </c>
      <c r="U12" s="1568">
        <f t="shared" si="1"/>
        <v>100</v>
      </c>
      <c r="V12" s="1567" t="s">
        <v>8</v>
      </c>
      <c r="W12" s="1568">
        <f t="shared" si="2"/>
        <v>100</v>
      </c>
      <c r="X12" s="1569"/>
      <c r="Y12" s="3342"/>
      <c r="Z12" s="1150">
        <f t="shared" si="7"/>
        <v>111</v>
      </c>
      <c r="AA12" s="1570">
        <f>D12/F12</f>
        <v>1</v>
      </c>
      <c r="AB12" s="1570">
        <f>D12/H12</f>
        <v>1</v>
      </c>
      <c r="AC12" s="1570">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96"/>
      <c r="Q13" s="1151">
        <f t="shared" si="6"/>
        <v>111</v>
      </c>
      <c r="R13" s="1567" t="s">
        <v>8</v>
      </c>
      <c r="S13" s="1568">
        <f t="shared" si="0"/>
        <v>100</v>
      </c>
      <c r="T13" s="1567" t="s">
        <v>8</v>
      </c>
      <c r="U13" s="1568">
        <f t="shared" si="1"/>
        <v>100</v>
      </c>
      <c r="V13" s="1567" t="s">
        <v>8</v>
      </c>
      <c r="W13" s="1568">
        <f t="shared" si="2"/>
        <v>100</v>
      </c>
      <c r="X13" s="1569"/>
      <c r="Y13" s="3342"/>
      <c r="Z13" s="1150">
        <f t="shared" si="7"/>
        <v>111</v>
      </c>
      <c r="AA13" s="1570">
        <f t="shared" si="3"/>
        <v>1</v>
      </c>
      <c r="AB13" s="1570">
        <f t="shared" si="4"/>
        <v>1</v>
      </c>
      <c r="AC13" s="1570">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96"/>
      <c r="Q14" s="1151">
        <f t="shared" si="6"/>
        <v>111</v>
      </c>
      <c r="R14" s="1567" t="s">
        <v>8</v>
      </c>
      <c r="S14" s="1568">
        <f t="shared" si="0"/>
        <v>100</v>
      </c>
      <c r="T14" s="1567" t="s">
        <v>8</v>
      </c>
      <c r="U14" s="1568">
        <f t="shared" si="1"/>
        <v>100</v>
      </c>
      <c r="V14" s="1567" t="s">
        <v>8</v>
      </c>
      <c r="W14" s="1568">
        <f t="shared" si="2"/>
        <v>100</v>
      </c>
      <c r="X14" s="1569"/>
      <c r="Y14" s="3342"/>
      <c r="Z14" s="1150">
        <f t="shared" si="7"/>
        <v>111</v>
      </c>
      <c r="AA14" s="1570">
        <f t="shared" si="3"/>
        <v>1</v>
      </c>
      <c r="AB14" s="1570">
        <f t="shared" si="4"/>
        <v>1</v>
      </c>
      <c r="AC14" s="1570">
        <f t="shared" si="5"/>
        <v>1</v>
      </c>
    </row>
    <row r="15" spans="1:29" ht="57">
      <c r="A15" s="2934" t="s">
        <v>2754</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31" t="s">
        <v>539</v>
      </c>
      <c r="Q15" s="1571" t="str">
        <f t="shared" si="6"/>
        <v>产业集聚程度</v>
      </c>
      <c r="R15" s="1572" t="s">
        <v>8</v>
      </c>
      <c r="S15" s="1573">
        <f t="shared" si="0"/>
        <v>100</v>
      </c>
      <c r="T15" s="1572" t="s">
        <v>8</v>
      </c>
      <c r="U15" s="1573">
        <f t="shared" si="1"/>
        <v>100</v>
      </c>
      <c r="V15" s="1572" t="s">
        <v>8</v>
      </c>
      <c r="W15" s="1573">
        <f t="shared" si="2"/>
        <v>100</v>
      </c>
      <c r="X15" s="1566"/>
      <c r="Y15" s="3431"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32"/>
      <c r="Q16" s="1571"/>
      <c r="R16" s="1572"/>
      <c r="S16" s="1573"/>
      <c r="T16" s="1572"/>
      <c r="U16" s="1573"/>
      <c r="V16" s="1572"/>
      <c r="W16" s="1573"/>
      <c r="X16" s="1566"/>
      <c r="Y16" s="3432"/>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32"/>
      <c r="Q17" s="1571" t="str">
        <f>B17</f>
        <v>交通便捷度</v>
      </c>
      <c r="R17" s="1572" t="s">
        <v>8</v>
      </c>
      <c r="S17" s="1573">
        <f>F17</f>
        <v>100</v>
      </c>
      <c r="T17" s="1572" t="s">
        <v>8</v>
      </c>
      <c r="U17" s="1573">
        <f>H17</f>
        <v>100</v>
      </c>
      <c r="V17" s="1572" t="s">
        <v>8</v>
      </c>
      <c r="W17" s="1573">
        <f>J17</f>
        <v>100</v>
      </c>
      <c r="X17" s="1566"/>
      <c r="Y17" s="3432"/>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32"/>
      <c r="Q18" s="1571"/>
      <c r="R18" s="1572"/>
      <c r="S18" s="1573"/>
      <c r="T18" s="1572"/>
      <c r="U18" s="1573"/>
      <c r="V18" s="1572"/>
      <c r="W18" s="1573"/>
      <c r="X18" s="1566"/>
      <c r="Y18" s="3432"/>
      <c r="Z18" s="1574"/>
      <c r="AA18" s="1575">
        <v>1</v>
      </c>
      <c r="AB18" s="1575">
        <v>1</v>
      </c>
      <c r="AC18" s="1575">
        <v>1</v>
      </c>
    </row>
    <row r="19" spans="1:29" ht="42.75">
      <c r="A19" s="532"/>
      <c r="B19" s="2627"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32"/>
      <c r="Q19" s="1571" t="str">
        <f>B19</f>
        <v>公共配套设施</v>
      </c>
      <c r="R19" s="1572" t="s">
        <v>8</v>
      </c>
      <c r="S19" s="1573">
        <f>F19</f>
        <v>100</v>
      </c>
      <c r="T19" s="1572" t="s">
        <v>8</v>
      </c>
      <c r="U19" s="1573">
        <f>H19</f>
        <v>100</v>
      </c>
      <c r="V19" s="1572" t="s">
        <v>8</v>
      </c>
      <c r="W19" s="1573">
        <f>J19</f>
        <v>100</v>
      </c>
      <c r="X19" s="1566"/>
      <c r="Y19" s="3432"/>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32"/>
      <c r="Q20" s="1571"/>
      <c r="R20" s="1572"/>
      <c r="S20" s="1573"/>
      <c r="T20" s="1572"/>
      <c r="U20" s="1573"/>
      <c r="V20" s="1572"/>
      <c r="W20" s="1573"/>
      <c r="X20" s="1566"/>
      <c r="Y20" s="3432"/>
      <c r="Z20" s="1574"/>
      <c r="AA20" s="1575">
        <v>1</v>
      </c>
      <c r="AB20" s="1575">
        <v>1</v>
      </c>
      <c r="AC20" s="1575">
        <v>1</v>
      </c>
    </row>
    <row r="21" spans="1:29" ht="28.5">
      <c r="A21" s="532"/>
      <c r="B21" s="2615"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32"/>
      <c r="Q21" s="2603" t="str">
        <f>B21</f>
        <v>基础设施水平</v>
      </c>
      <c r="R21" s="1572" t="s">
        <v>8</v>
      </c>
      <c r="S21" s="1573">
        <f>F21</f>
        <v>100</v>
      </c>
      <c r="T21" s="1572" t="s">
        <v>8</v>
      </c>
      <c r="U21" s="1573">
        <f>H21</f>
        <v>100</v>
      </c>
      <c r="V21" s="1572" t="s">
        <v>8</v>
      </c>
      <c r="W21" s="1573">
        <f>J21</f>
        <v>100</v>
      </c>
      <c r="X21" s="2605"/>
      <c r="Y21" s="3432"/>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432"/>
      <c r="Q22" s="2603"/>
      <c r="R22" s="1572"/>
      <c r="S22" s="1573"/>
      <c r="T22" s="1572"/>
      <c r="U22" s="1573"/>
      <c r="V22" s="1572"/>
      <c r="W22" s="1573"/>
      <c r="X22" s="2605"/>
      <c r="Y22" s="3432"/>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32"/>
      <c r="Q23" s="1571" t="str">
        <f>B23</f>
        <v>环境质量</v>
      </c>
      <c r="R23" s="1572" t="s">
        <v>8</v>
      </c>
      <c r="S23" s="1573">
        <f>F23</f>
        <v>100</v>
      </c>
      <c r="T23" s="1572" t="s">
        <v>8</v>
      </c>
      <c r="U23" s="1573">
        <f>H23</f>
        <v>100</v>
      </c>
      <c r="V23" s="1572" t="s">
        <v>8</v>
      </c>
      <c r="W23" s="1573">
        <f>J23</f>
        <v>100</v>
      </c>
      <c r="X23" s="1566"/>
      <c r="Y23" s="3432"/>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32"/>
      <c r="Q24" s="1571"/>
      <c r="R24" s="1572"/>
      <c r="S24" s="1573"/>
      <c r="T24" s="1572"/>
      <c r="U24" s="1573"/>
      <c r="V24" s="1572"/>
      <c r="W24" s="1573"/>
      <c r="X24" s="1566"/>
      <c r="Y24" s="3432"/>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32"/>
      <c r="Q25" s="1571">
        <f>B25</f>
        <v>111</v>
      </c>
      <c r="R25" s="1572" t="s">
        <v>8</v>
      </c>
      <c r="S25" s="1573">
        <f>F25</f>
        <v>100</v>
      </c>
      <c r="T25" s="1572" t="s">
        <v>8</v>
      </c>
      <c r="U25" s="1573">
        <f>H25</f>
        <v>100</v>
      </c>
      <c r="V25" s="1572" t="s">
        <v>8</v>
      </c>
      <c r="W25" s="1573">
        <f>J25</f>
        <v>100</v>
      </c>
      <c r="X25" s="1566"/>
      <c r="Y25" s="3432"/>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32"/>
      <c r="Q26" s="1571">
        <f t="shared" ref="Q26:Q40" si="11">B26</f>
        <v>111</v>
      </c>
      <c r="R26" s="1572" t="s">
        <v>8</v>
      </c>
      <c r="S26" s="1573">
        <f>F26</f>
        <v>100</v>
      </c>
      <c r="T26" s="1572" t="s">
        <v>8</v>
      </c>
      <c r="U26" s="1573">
        <f>H26</f>
        <v>100</v>
      </c>
      <c r="V26" s="1572" t="s">
        <v>8</v>
      </c>
      <c r="W26" s="1573">
        <f>J26</f>
        <v>100</v>
      </c>
      <c r="X26" s="1566"/>
      <c r="Y26" s="3432"/>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32"/>
      <c r="Q27" s="1151">
        <f t="shared" si="11"/>
        <v>111</v>
      </c>
      <c r="R27" s="1567" t="s">
        <v>8</v>
      </c>
      <c r="S27" s="1568">
        <f>F27</f>
        <v>100</v>
      </c>
      <c r="T27" s="1567" t="s">
        <v>8</v>
      </c>
      <c r="U27" s="1568">
        <f>H27</f>
        <v>100</v>
      </c>
      <c r="V27" s="1567" t="s">
        <v>8</v>
      </c>
      <c r="W27" s="1568">
        <f>J27</f>
        <v>100</v>
      </c>
      <c r="X27" s="1569"/>
      <c r="Y27" s="3432"/>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32"/>
      <c r="Q28" s="1571">
        <f t="shared" si="11"/>
        <v>111</v>
      </c>
      <c r="R28" s="1572" t="s">
        <v>8</v>
      </c>
      <c r="S28" s="1573">
        <f t="shared" ref="S28:S40" si="12">F28</f>
        <v>100</v>
      </c>
      <c r="T28" s="1572" t="s">
        <v>8</v>
      </c>
      <c r="U28" s="1573">
        <f t="shared" ref="U28:U40" si="13">H28</f>
        <v>100</v>
      </c>
      <c r="V28" s="1572" t="s">
        <v>8</v>
      </c>
      <c r="W28" s="1573">
        <f t="shared" ref="W28:W40" si="14">J28</f>
        <v>100</v>
      </c>
      <c r="X28" s="1566"/>
      <c r="Y28" s="3432"/>
      <c r="Z28" s="1574">
        <f t="shared" ref="Z28:Z40" si="15">Q28</f>
        <v>111</v>
      </c>
      <c r="AA28" s="1575">
        <f t="shared" si="3"/>
        <v>1</v>
      </c>
      <c r="AB28" s="1575">
        <f t="shared" si="4"/>
        <v>1</v>
      </c>
      <c r="AC28" s="1575">
        <f t="shared" si="5"/>
        <v>1</v>
      </c>
    </row>
    <row r="29" spans="1:29" ht="15">
      <c r="A29" s="2931" t="s">
        <v>2755</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33" t="s">
        <v>549</v>
      </c>
      <c r="Q29" s="1571" t="str">
        <f t="shared" si="11"/>
        <v>建筑类型</v>
      </c>
      <c r="R29" s="1572" t="s">
        <v>8</v>
      </c>
      <c r="S29" s="1573">
        <f t="shared" si="12"/>
        <v>100</v>
      </c>
      <c r="T29" s="1572" t="s">
        <v>8</v>
      </c>
      <c r="U29" s="1573">
        <f t="shared" si="13"/>
        <v>100</v>
      </c>
      <c r="V29" s="1572" t="s">
        <v>8</v>
      </c>
      <c r="W29" s="1573">
        <f t="shared" si="14"/>
        <v>100</v>
      </c>
      <c r="X29" s="1566"/>
      <c r="Y29" s="3434"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34"/>
      <c r="Q30" s="1604" t="str">
        <f t="shared" si="11"/>
        <v>项目建筑规模</v>
      </c>
      <c r="R30" s="1576" t="s">
        <v>8</v>
      </c>
      <c r="S30" s="1577" t="e">
        <f t="shared" si="12"/>
        <v>#N/A</v>
      </c>
      <c r="T30" s="1576" t="s">
        <v>8</v>
      </c>
      <c r="U30" s="1577" t="e">
        <f t="shared" si="13"/>
        <v>#N/A</v>
      </c>
      <c r="V30" s="1576" t="s">
        <v>8</v>
      </c>
      <c r="W30" s="1577" t="e">
        <f t="shared" si="14"/>
        <v>#N/A</v>
      </c>
      <c r="X30" s="1578"/>
      <c r="Y30" s="3434"/>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34"/>
      <c r="Q31" s="1571" t="str">
        <f t="shared" si="11"/>
        <v>建筑结构</v>
      </c>
      <c r="R31" s="1572" t="s">
        <v>8</v>
      </c>
      <c r="S31" s="1573">
        <f t="shared" si="12"/>
        <v>100</v>
      </c>
      <c r="T31" s="1572" t="s">
        <v>8</v>
      </c>
      <c r="U31" s="1573">
        <f t="shared" si="13"/>
        <v>100</v>
      </c>
      <c r="V31" s="1572" t="s">
        <v>8</v>
      </c>
      <c r="W31" s="1573">
        <f t="shared" si="14"/>
        <v>100</v>
      </c>
      <c r="X31" s="1566"/>
      <c r="Y31" s="3434"/>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34"/>
      <c r="Q32" s="1571" t="str">
        <f t="shared" si="11"/>
        <v>公共部分装修</v>
      </c>
      <c r="R32" s="1572" t="s">
        <v>8</v>
      </c>
      <c r="S32" s="1573">
        <f t="shared" si="12"/>
        <v>100</v>
      </c>
      <c r="T32" s="1572" t="s">
        <v>8</v>
      </c>
      <c r="U32" s="1573">
        <f t="shared" si="13"/>
        <v>100</v>
      </c>
      <c r="V32" s="1572" t="s">
        <v>8</v>
      </c>
      <c r="W32" s="1573">
        <f t="shared" si="14"/>
        <v>100</v>
      </c>
      <c r="X32" s="1566"/>
      <c r="Y32" s="3434"/>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34"/>
      <c r="Q33" s="1571" t="str">
        <f t="shared" si="11"/>
        <v>成新度</v>
      </c>
      <c r="R33" s="1572" t="s">
        <v>8</v>
      </c>
      <c r="S33" s="1573" t="e">
        <f t="shared" si="12"/>
        <v>#N/A</v>
      </c>
      <c r="T33" s="1572" t="s">
        <v>8</v>
      </c>
      <c r="U33" s="1573" t="e">
        <f t="shared" si="13"/>
        <v>#N/A</v>
      </c>
      <c r="V33" s="1572" t="s">
        <v>8</v>
      </c>
      <c r="W33" s="1573" t="e">
        <f t="shared" si="14"/>
        <v>#N/A</v>
      </c>
      <c r="X33" s="1566"/>
      <c r="Y33" s="3434"/>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34"/>
      <c r="Q34" s="1151" t="str">
        <f t="shared" si="11"/>
        <v>物业管理</v>
      </c>
      <c r="R34" s="1567" t="s">
        <v>8</v>
      </c>
      <c r="S34" s="1568">
        <f t="shared" si="12"/>
        <v>100</v>
      </c>
      <c r="T34" s="1567" t="s">
        <v>8</v>
      </c>
      <c r="U34" s="1568">
        <f t="shared" si="13"/>
        <v>100</v>
      </c>
      <c r="V34" s="1567" t="s">
        <v>8</v>
      </c>
      <c r="W34" s="1568">
        <f t="shared" si="14"/>
        <v>100</v>
      </c>
      <c r="X34" s="1569"/>
      <c r="Y34" s="3434"/>
      <c r="Z34" s="1150" t="str">
        <f t="shared" si="15"/>
        <v>物业管理</v>
      </c>
      <c r="AA34" s="1570">
        <f t="shared" si="3"/>
        <v>1</v>
      </c>
      <c r="AB34" s="1570">
        <f t="shared" si="4"/>
        <v>1</v>
      </c>
      <c r="AC34" s="1570">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34" t="s">
        <v>549</v>
      </c>
      <c r="Q35" s="1571" t="str">
        <f t="shared" si="11"/>
        <v>市政基础设施</v>
      </c>
      <c r="R35" s="1572" t="s">
        <v>8</v>
      </c>
      <c r="S35" s="1573">
        <f t="shared" si="12"/>
        <v>100</v>
      </c>
      <c r="T35" s="1572" t="s">
        <v>8</v>
      </c>
      <c r="U35" s="1573">
        <f t="shared" si="13"/>
        <v>100</v>
      </c>
      <c r="V35" s="1572" t="s">
        <v>8</v>
      </c>
      <c r="W35" s="1573">
        <f t="shared" si="14"/>
        <v>100</v>
      </c>
      <c r="X35" s="1566"/>
      <c r="Y35" s="3434"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34"/>
      <c r="Q36" s="1571" t="str">
        <f t="shared" si="11"/>
        <v>内部装修</v>
      </c>
      <c r="R36" s="1572" t="s">
        <v>8</v>
      </c>
      <c r="S36" s="1573">
        <f t="shared" si="12"/>
        <v>100</v>
      </c>
      <c r="T36" s="1572" t="s">
        <v>8</v>
      </c>
      <c r="U36" s="1573">
        <f t="shared" si="13"/>
        <v>100</v>
      </c>
      <c r="V36" s="1572" t="s">
        <v>8</v>
      </c>
      <c r="W36" s="1573">
        <f t="shared" si="14"/>
        <v>100</v>
      </c>
      <c r="X36" s="1566"/>
      <c r="Y36" s="3434"/>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34"/>
      <c r="Q37" s="1571" t="str">
        <f t="shared" si="11"/>
        <v>内部装修状况</v>
      </c>
      <c r="R37" s="1572" t="s">
        <v>8</v>
      </c>
      <c r="S37" s="1573">
        <f t="shared" si="12"/>
        <v>100</v>
      </c>
      <c r="T37" s="1572" t="s">
        <v>8</v>
      </c>
      <c r="U37" s="1573">
        <f t="shared" si="13"/>
        <v>100</v>
      </c>
      <c r="V37" s="1572" t="s">
        <v>8</v>
      </c>
      <c r="W37" s="1573">
        <f t="shared" si="14"/>
        <v>100</v>
      </c>
      <c r="X37" s="1566"/>
      <c r="Y37" s="3434"/>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34"/>
      <c r="Q38" s="1604">
        <f t="shared" si="11"/>
        <v>111</v>
      </c>
      <c r="R38" s="1576" t="s">
        <v>8</v>
      </c>
      <c r="S38" s="1577">
        <f t="shared" si="12"/>
        <v>100</v>
      </c>
      <c r="T38" s="1576" t="s">
        <v>8</v>
      </c>
      <c r="U38" s="1577">
        <f t="shared" si="13"/>
        <v>100</v>
      </c>
      <c r="V38" s="1576" t="s">
        <v>8</v>
      </c>
      <c r="W38" s="1577">
        <f t="shared" si="14"/>
        <v>100</v>
      </c>
      <c r="X38" s="1578"/>
      <c r="Y38" s="3434"/>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34"/>
      <c r="Q39" s="1571">
        <f t="shared" si="11"/>
        <v>111</v>
      </c>
      <c r="R39" s="1572" t="s">
        <v>8</v>
      </c>
      <c r="S39" s="1573">
        <f t="shared" si="12"/>
        <v>100</v>
      </c>
      <c r="T39" s="1572" t="s">
        <v>8</v>
      </c>
      <c r="U39" s="1573">
        <f t="shared" si="13"/>
        <v>100</v>
      </c>
      <c r="V39" s="1572" t="s">
        <v>8</v>
      </c>
      <c r="W39" s="1573">
        <f t="shared" si="14"/>
        <v>100</v>
      </c>
      <c r="X39" s="1566"/>
      <c r="Y39" s="3434"/>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15"/>
      <c r="Q40" s="1571">
        <f t="shared" si="11"/>
        <v>111</v>
      </c>
      <c r="R40" s="1572" t="s">
        <v>8</v>
      </c>
      <c r="S40" s="1573">
        <f t="shared" si="12"/>
        <v>100</v>
      </c>
      <c r="T40" s="1572" t="s">
        <v>8</v>
      </c>
      <c r="U40" s="1573">
        <f t="shared" si="13"/>
        <v>100</v>
      </c>
      <c r="V40" s="1572" t="s">
        <v>8</v>
      </c>
      <c r="W40" s="1573">
        <f t="shared" si="14"/>
        <v>100</v>
      </c>
      <c r="X40" s="1566"/>
      <c r="Y40" s="3515"/>
      <c r="Z40" s="1574">
        <f t="shared" si="15"/>
        <v>111</v>
      </c>
      <c r="AA40" s="1575">
        <f t="shared" si="3"/>
        <v>1</v>
      </c>
      <c r="AB40" s="1575">
        <f t="shared" si="4"/>
        <v>1</v>
      </c>
      <c r="AC40" s="1575">
        <f t="shared" si="5"/>
        <v>1</v>
      </c>
    </row>
    <row r="41" spans="1:29" ht="15">
      <c r="A41" s="607" t="s">
        <v>735</v>
      </c>
      <c r="B41" s="887"/>
      <c r="C41" s="2651" t="s">
        <v>1</v>
      </c>
      <c r="D41" s="2652"/>
      <c r="E41" s="2653"/>
      <c r="F41" s="2654"/>
      <c r="G41" s="2655"/>
      <c r="H41" s="2656"/>
      <c r="I41" s="2653"/>
      <c r="J41" s="2656"/>
      <c r="K41" s="1610"/>
      <c r="L41" s="2144"/>
      <c r="M41" s="2145"/>
      <c r="N41" s="2134"/>
      <c r="O41" s="2145"/>
      <c r="P41" s="3396" t="str">
        <f>A41</f>
        <v>成交单价（元/平方米）</v>
      </c>
      <c r="Q41" s="3396"/>
      <c r="R41" s="3514">
        <f>E41</f>
        <v>0</v>
      </c>
      <c r="S41" s="3514"/>
      <c r="T41" s="3514">
        <f>G41</f>
        <v>0</v>
      </c>
      <c r="U41" s="3514"/>
      <c r="V41" s="3514">
        <f>I41</f>
        <v>0</v>
      </c>
      <c r="W41" s="3514"/>
      <c r="X41" s="1558"/>
      <c r="Y41" s="1580"/>
      <c r="Z41" s="1558"/>
      <c r="AA41" s="1558"/>
      <c r="AB41" s="1558"/>
      <c r="AC41" s="1558"/>
    </row>
    <row r="42" spans="1:29" ht="15.75" thickBot="1">
      <c r="A42" s="615" t="s">
        <v>2760</v>
      </c>
      <c r="B42" s="888"/>
      <c r="C42" s="2657" t="e">
        <f>R43</f>
        <v>#DIV/0!</v>
      </c>
      <c r="D42" s="2658"/>
      <c r="E42" s="2659" t="e">
        <f>R42</f>
        <v>#DIV/0!</v>
      </c>
      <c r="F42" s="2659"/>
      <c r="G42" s="2657" t="e">
        <f>T42</f>
        <v>#DIV/0!</v>
      </c>
      <c r="H42" s="2658"/>
      <c r="I42" s="2659" t="e">
        <f>V42</f>
        <v>#DIV/0!</v>
      </c>
      <c r="J42" s="2658"/>
      <c r="K42" s="1611"/>
      <c r="L42" s="2144"/>
      <c r="M42" s="2145"/>
      <c r="N42" s="2134"/>
      <c r="O42" s="2145"/>
      <c r="P42" s="3396" t="str">
        <f>A42</f>
        <v>比较价格（元/平方米）</v>
      </c>
      <c r="Q42" s="3396"/>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58"/>
      <c r="Y42" s="1558"/>
      <c r="Z42" s="1558"/>
      <c r="AA42" s="1558"/>
      <c r="AB42" s="1558"/>
      <c r="AC42" s="1558"/>
    </row>
    <row r="43" spans="1:29" ht="15.75" thickBot="1">
      <c r="A43" s="621" t="s">
        <v>2932</v>
      </c>
      <c r="B43" s="622"/>
      <c r="C43" s="2660" t="e">
        <f>R43</f>
        <v>#DIV/0!</v>
      </c>
      <c r="D43" s="2660"/>
      <c r="E43" s="2660"/>
      <c r="F43" s="2660"/>
      <c r="G43" s="2660"/>
      <c r="H43" s="2660"/>
      <c r="I43" s="2660"/>
      <c r="J43" s="2660"/>
      <c r="K43" s="1612"/>
      <c r="L43" s="2144"/>
      <c r="M43" s="2145"/>
      <c r="N43" s="2145"/>
      <c r="O43" s="2145"/>
      <c r="P43" s="3393" t="str">
        <f>A43</f>
        <v>估价对象XX用房的比较价格（楼面单价，元/平方米）</v>
      </c>
      <c r="Q43" s="3394"/>
      <c r="R43" s="3513" t="e">
        <f>IF(F1="售价",ROUND(AVERAGE(R42:V42),0),ROUND(AVERAGE(R42:V42),1))</f>
        <v>#DIV/0!</v>
      </c>
      <c r="S43" s="3513"/>
      <c r="T43" s="3513"/>
      <c r="U43" s="3513"/>
      <c r="V43" s="3513"/>
      <c r="W43" s="3513"/>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5">
      <c r="A52" s="645" t="s">
        <v>528</v>
      </c>
      <c r="B52" s="646"/>
      <c r="C52" s="2826" t="str">
        <f>YEAR(C7)&amp;"-"&amp;MONTH(C7)</f>
        <v>2018-9</v>
      </c>
      <c r="D52" s="2828">
        <f>EDATE(C52,-1)</f>
        <v>43313</v>
      </c>
      <c r="E52" s="2828">
        <f t="shared" ref="E52:O52" si="16">EDATE(D52,-1)</f>
        <v>43282</v>
      </c>
      <c r="F52" s="2828">
        <f t="shared" si="16"/>
        <v>43252</v>
      </c>
      <c r="G52" s="2828">
        <f t="shared" si="16"/>
        <v>43221</v>
      </c>
      <c r="H52" s="2828">
        <f t="shared" si="16"/>
        <v>43191</v>
      </c>
      <c r="I52" s="2828">
        <f t="shared" si="16"/>
        <v>43160</v>
      </c>
      <c r="J52" s="2828">
        <f t="shared" si="16"/>
        <v>43132</v>
      </c>
      <c r="K52" s="2828">
        <f t="shared" si="16"/>
        <v>43101</v>
      </c>
      <c r="L52" s="2828">
        <f t="shared" si="16"/>
        <v>43070</v>
      </c>
      <c r="M52" s="2828">
        <f t="shared" si="16"/>
        <v>43040</v>
      </c>
      <c r="N52" s="2828">
        <f t="shared" si="16"/>
        <v>43009</v>
      </c>
      <c r="O52" s="2828">
        <f t="shared" si="16"/>
        <v>42979</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2559</v>
      </c>
      <c r="C76" s="2622" t="s">
        <v>2560</v>
      </c>
      <c r="D76" s="2622" t="s">
        <v>2561</v>
      </c>
      <c r="E76" s="2622" t="s">
        <v>2562</v>
      </c>
      <c r="F76" s="2622" t="s">
        <v>2563</v>
      </c>
      <c r="G76" s="2622"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北京建邦中铁房地产开发有限公司：</v>
      </c>
    </row>
    <row r="4" spans="1:4" ht="56.25">
      <c r="A4" s="1791" t="str">
        <f>"受贵公司委托，我公司对"&amp;项目基本情况!K2&amp;项目基本情况!B9&amp;"进行了预评估。"</f>
        <v>受贵公司委托，我公司对北京市海淀区“海淀北部地区整体开发”西北旺镇亮甲店村HD00-0404-6006地块R2二类居住用地出让国有建设用地使用权抵押价格进行了预评估。</v>
      </c>
    </row>
    <row r="5" spans="1:4" ht="18.75">
      <c r="A5" s="1794" t="s">
        <v>1905</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建邦中铁房地产开发有限公司使用的、位于北京市海淀区“海淀北部地区整体开发”西北旺镇亮甲店村HD00-0404-6006地块R2二类居住用地出让国有建设用地使用权。根据《国有土地使用证》[]，估价对象（分摊）出让国有建设用地使用权面积为41849.37平方米。根据《建设工程规划许可证》[]、《出让合同》[]，估价对象规划建筑面积为152440.46平方米。</v>
      </c>
    </row>
    <row r="7" spans="1:4" ht="93.75">
      <c r="A7" s="2897" t="s">
        <v>2748</v>
      </c>
    </row>
    <row r="8" spans="1:4" ht="18.75">
      <c r="A8" s="1794" t="s">
        <v>1906</v>
      </c>
    </row>
    <row r="9" spans="1:4" ht="56.25">
      <c r="A9" s="1796"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2018年9月5日（评估专业人员勘察现场之日）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根据《不动产权证书》[京（2017）海不动产权第号]，本次评估估价对象证载（地类）用途为R2二类居住用地。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根据《国有土地使用证》[]，估价对象（分摊）出让国有建设用地使用权面积为41849.37平方米。根据《建设工程规划许可证》[]、《出让合同》[]，估价对象规划建筑面积为152440.46平方米。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99" t="s">
        <v>2749</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9月5日，在规划利用条件下、设定土地开发程度为红线外“七通”、宗地内场地平整，设定用途为住宅，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B19" zoomScale="70" zoomScaleNormal="70" workbookViewId="0">
      <selection activeCell="E35" sqref="E35"/>
    </sheetView>
  </sheetViews>
  <sheetFormatPr defaultColWidth="9" defaultRowHeight="14.25"/>
  <cols>
    <col min="1" max="1" width="10.5" style="1337" customWidth="1"/>
    <col min="2" max="2" width="15.75" style="1337" customWidth="1"/>
    <col min="3" max="3" width="15.5" style="1337" customWidth="1"/>
    <col min="4" max="4" width="12.25" style="1337" customWidth="1"/>
    <col min="5" max="5" width="17" style="1337" customWidth="1"/>
    <col min="6" max="6" width="12.25" style="1337" customWidth="1"/>
    <col min="7" max="7" width="16.62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t="s">
        <v>922</v>
      </c>
      <c r="C1" s="504" t="s">
        <v>791</v>
      </c>
      <c r="D1" s="849" t="s">
        <v>35</v>
      </c>
      <c r="E1" s="506"/>
      <c r="F1" s="2831" t="s">
        <v>3336</v>
      </c>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f>IF(B37="元/平方米",ROUND(B3*D3/10000,0),ROUND(F3*C39/10000,0))</f>
        <v>41408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f>IF(B37="元/平方米",C39,ROUND(B2*10000/D3,0))</f>
        <v>10649</v>
      </c>
      <c r="C3" s="852" t="s">
        <v>795</v>
      </c>
      <c r="D3" s="851">
        <f>SUMIF('数据-汇总表'!$C19:$C33,D1,'数据-汇总表'!$E19:$E33)</f>
        <v>38883.97</v>
      </c>
      <c r="E3" s="1848" t="s">
        <v>2076</v>
      </c>
      <c r="F3" s="851">
        <f>SUMIF('数据-取费表'!A5:A15,D1,'数据-取费表'!AH5:AH15)</f>
        <v>1110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02" t="s">
        <v>797</v>
      </c>
      <c r="D4" s="3403"/>
      <c r="E4" s="3402" t="s">
        <v>798</v>
      </c>
      <c r="F4" s="3403"/>
      <c r="G4" s="3402" t="s">
        <v>799</v>
      </c>
      <c r="H4" s="3403"/>
      <c r="I4" s="3402" t="s">
        <v>800</v>
      </c>
      <c r="J4" s="3403"/>
      <c r="K4" s="514" t="s">
        <v>801</v>
      </c>
      <c r="L4" s="2133"/>
      <c r="M4" s="2134"/>
      <c r="N4" s="2134"/>
      <c r="O4" s="2134"/>
      <c r="P4" s="3404" t="s">
        <v>802</v>
      </c>
      <c r="Q4" s="3405"/>
      <c r="R4" s="3410" t="s">
        <v>798</v>
      </c>
      <c r="S4" s="3411"/>
      <c r="T4" s="3410" t="s">
        <v>799</v>
      </c>
      <c r="U4" s="3411"/>
      <c r="V4" s="3397" t="s">
        <v>800</v>
      </c>
      <c r="W4" s="3397"/>
      <c r="X4" s="1566"/>
      <c r="Y4" s="3410" t="s">
        <v>802</v>
      </c>
      <c r="Z4" s="3411"/>
      <c r="AA4" s="3399" t="s">
        <v>798</v>
      </c>
      <c r="AB4" s="3400" t="s">
        <v>799</v>
      </c>
      <c r="AC4" s="3399" t="s">
        <v>800</v>
      </c>
    </row>
    <row r="5" spans="1:29" ht="13.9" customHeight="1">
      <c r="A5" s="515"/>
      <c r="B5" s="516"/>
      <c r="C5" s="3522" t="s">
        <v>3337</v>
      </c>
      <c r="D5" s="3436"/>
      <c r="E5" s="3522" t="s">
        <v>3338</v>
      </c>
      <c r="F5" s="3436"/>
      <c r="G5" s="3522" t="s">
        <v>3339</v>
      </c>
      <c r="H5" s="3436"/>
      <c r="I5" s="3522" t="s">
        <v>3380</v>
      </c>
      <c r="J5" s="3436"/>
      <c r="K5" s="514"/>
      <c r="L5" s="2133"/>
      <c r="M5" s="2134"/>
      <c r="N5" s="2134"/>
      <c r="O5" s="2134"/>
      <c r="P5" s="3406"/>
      <c r="Q5" s="3407"/>
      <c r="R5" s="3412"/>
      <c r="S5" s="3413"/>
      <c r="T5" s="3412"/>
      <c r="U5" s="3413"/>
      <c r="V5" s="3397"/>
      <c r="W5" s="3397"/>
      <c r="X5" s="1566"/>
      <c r="Y5" s="3412"/>
      <c r="Z5" s="3413"/>
      <c r="AA5" s="3400"/>
      <c r="AB5" s="3400"/>
      <c r="AC5" s="3400"/>
    </row>
    <row r="6" spans="1:29" ht="15.75" thickBot="1">
      <c r="A6" s="517"/>
      <c r="B6" s="518"/>
      <c r="C6" s="3523" t="s">
        <v>3340</v>
      </c>
      <c r="D6" s="3438"/>
      <c r="E6" s="3520" t="s">
        <v>3340</v>
      </c>
      <c r="F6" s="3521"/>
      <c r="G6" s="3520" t="s">
        <v>3340</v>
      </c>
      <c r="H6" s="3521"/>
      <c r="I6" s="3520" t="s">
        <v>3340</v>
      </c>
      <c r="J6" s="3521"/>
      <c r="K6" s="514" t="s">
        <v>527</v>
      </c>
      <c r="L6" s="2133"/>
      <c r="M6" s="2134"/>
      <c r="N6" s="2134"/>
      <c r="O6" s="2134"/>
      <c r="P6" s="3408"/>
      <c r="Q6" s="3409"/>
      <c r="R6" s="3412"/>
      <c r="S6" s="3413"/>
      <c r="T6" s="3414"/>
      <c r="U6" s="3415"/>
      <c r="V6" s="3397"/>
      <c r="W6" s="3397"/>
      <c r="X6" s="1566"/>
      <c r="Y6" s="3414"/>
      <c r="Z6" s="3415"/>
      <c r="AA6" s="3401"/>
      <c r="AB6" s="3401"/>
      <c r="AC6" s="3401"/>
    </row>
    <row r="7" spans="1:29" s="1220" customFormat="1" ht="15.75" thickBot="1">
      <c r="A7" s="2936"/>
      <c r="B7" s="2943" t="s">
        <v>528</v>
      </c>
      <c r="C7" s="519">
        <f>'数据-取费表'!B2</f>
        <v>43348</v>
      </c>
      <c r="D7" s="520">
        <v>100</v>
      </c>
      <c r="E7" s="521">
        <v>43313</v>
      </c>
      <c r="F7" s="522">
        <f>SUMIF(48:48,YEAR(E7)&amp;"-"&amp;MONTH(E7),49:49)</f>
        <v>100</v>
      </c>
      <c r="G7" s="523">
        <v>43221</v>
      </c>
      <c r="H7" s="520">
        <f>SUMIF(48:48,YEAR(G7)&amp;"-"&amp;MONTH(G7),49:49)</f>
        <v>99.5</v>
      </c>
      <c r="I7" s="523">
        <v>43344</v>
      </c>
      <c r="J7" s="520">
        <f>SUMIF(48:48,YEAR(I7)&amp;"-"&amp;MONTH(I7),49:49)</f>
        <v>100</v>
      </c>
      <c r="K7" s="524"/>
      <c r="L7" s="2135"/>
      <c r="M7" s="2136"/>
      <c r="N7" s="2136"/>
      <c r="O7" s="2136"/>
      <c r="P7" s="3428" t="s">
        <v>529</v>
      </c>
      <c r="Q7" s="3430"/>
      <c r="R7" s="1567" t="s">
        <v>8</v>
      </c>
      <c r="S7" s="1568">
        <f t="shared" ref="S7:S14" si="0">F7</f>
        <v>100</v>
      </c>
      <c r="T7" s="1567" t="s">
        <v>8</v>
      </c>
      <c r="U7" s="1568">
        <f t="shared" ref="U7:U14" si="1">H7</f>
        <v>99.5</v>
      </c>
      <c r="V7" s="1567" t="s">
        <v>8</v>
      </c>
      <c r="W7" s="1568">
        <f t="shared" ref="W7:W14" si="2">J7</f>
        <v>100</v>
      </c>
      <c r="X7" s="1569"/>
      <c r="Y7" s="3428" t="s">
        <v>529</v>
      </c>
      <c r="Z7" s="3429"/>
      <c r="AA7" s="1570">
        <f>D7/F7</f>
        <v>1</v>
      </c>
      <c r="AB7" s="1570">
        <f>D7/H7</f>
        <v>1.0050251256281406</v>
      </c>
      <c r="AC7" s="1570">
        <f>D7/J7</f>
        <v>1</v>
      </c>
    </row>
    <row r="8" spans="1:29" s="1220" customFormat="1" ht="15.75" thickBot="1">
      <c r="A8" s="2937"/>
      <c r="B8" s="2944" t="s">
        <v>530</v>
      </c>
      <c r="C8" s="525" t="s">
        <v>575</v>
      </c>
      <c r="D8" s="520">
        <v>100</v>
      </c>
      <c r="E8" s="525" t="s">
        <v>575</v>
      </c>
      <c r="F8" s="522">
        <f>SUMIF(51:51,E8,52:52)-SUMIF(51:51,C8,52:52)+100</f>
        <v>100</v>
      </c>
      <c r="G8" s="525" t="s">
        <v>575</v>
      </c>
      <c r="H8" s="520">
        <f>SUMIF(51:51,G8,52:52)-SUMIF(51:51,C8,52:52)+100</f>
        <v>100</v>
      </c>
      <c r="I8" s="525" t="s">
        <v>575</v>
      </c>
      <c r="J8" s="520">
        <f>SUMIF(51:51,I8,52:52)-SUMIF(51:51,C8,52:52)+100</f>
        <v>100</v>
      </c>
      <c r="K8" s="524"/>
      <c r="L8" s="2135"/>
      <c r="M8" s="2136"/>
      <c r="N8" s="2136"/>
      <c r="O8" s="2136"/>
      <c r="P8" s="3428" t="s">
        <v>532</v>
      </c>
      <c r="Q8" s="3429"/>
      <c r="R8" s="1567" t="s">
        <v>8</v>
      </c>
      <c r="S8" s="1568">
        <f t="shared" si="0"/>
        <v>100</v>
      </c>
      <c r="T8" s="1567" t="s">
        <v>8</v>
      </c>
      <c r="U8" s="1568">
        <f t="shared" si="1"/>
        <v>100</v>
      </c>
      <c r="V8" s="1567" t="s">
        <v>8</v>
      </c>
      <c r="W8" s="1568">
        <f t="shared" si="2"/>
        <v>100</v>
      </c>
      <c r="X8" s="1569"/>
      <c r="Y8" s="3428" t="s">
        <v>532</v>
      </c>
      <c r="Z8" s="3429"/>
      <c r="AA8" s="1570">
        <f t="shared" ref="AA8:AA36" si="3">D8/F8</f>
        <v>1</v>
      </c>
      <c r="AB8" s="1570">
        <f t="shared" ref="AB8:AB36" si="4">D8/H8</f>
        <v>1</v>
      </c>
      <c r="AC8" s="1570">
        <f t="shared" ref="AC8:AC36" si="5">D8/J8</f>
        <v>1</v>
      </c>
    </row>
    <row r="9" spans="1:29" s="1220" customFormat="1" ht="15">
      <c r="A9" s="2938"/>
      <c r="B9" s="2945" t="s">
        <v>2756</v>
      </c>
      <c r="C9" s="3224" t="s">
        <v>3341</v>
      </c>
      <c r="D9" s="254">
        <v>100</v>
      </c>
      <c r="E9" s="860" t="s">
        <v>3004</v>
      </c>
      <c r="F9" s="254">
        <f>SUMIF(53:53,E9,54:54)-SUMIF(53:53,C9,54:54)+100</f>
        <v>100</v>
      </c>
      <c r="G9" s="860" t="s">
        <v>3004</v>
      </c>
      <c r="H9" s="254">
        <f>SUMIF(53:53,G9,54:54)-SUMIF(53:53,C9,54:54)+100</f>
        <v>100</v>
      </c>
      <c r="I9" s="860" t="s">
        <v>3004</v>
      </c>
      <c r="J9" s="254">
        <f>SUMIF(53:53,I9,54:54)-SUMIF(53:53,C9,54:54)+100</f>
        <v>100</v>
      </c>
      <c r="K9" s="524"/>
      <c r="L9" s="2135"/>
      <c r="M9" s="2136"/>
      <c r="N9" s="2136"/>
      <c r="O9" s="2137"/>
      <c r="P9" s="3396" t="s">
        <v>534</v>
      </c>
      <c r="Q9" s="1151" t="str">
        <f t="shared" ref="Q9:Q14" si="6">B9</f>
        <v>用途</v>
      </c>
      <c r="R9" s="1567" t="s">
        <v>8</v>
      </c>
      <c r="S9" s="1568">
        <f t="shared" si="0"/>
        <v>100</v>
      </c>
      <c r="T9" s="1567" t="s">
        <v>8</v>
      </c>
      <c r="U9" s="1568">
        <f t="shared" si="1"/>
        <v>100</v>
      </c>
      <c r="V9" s="1567" t="s">
        <v>8</v>
      </c>
      <c r="W9" s="1568">
        <f t="shared" si="2"/>
        <v>100</v>
      </c>
      <c r="X9" s="1569"/>
      <c r="Y9" s="3342" t="s">
        <v>535</v>
      </c>
      <c r="Z9" s="1150" t="str">
        <f t="shared" ref="Z9:Z14" si="7">Q9</f>
        <v>用途</v>
      </c>
      <c r="AA9" s="1570">
        <f t="shared" si="3"/>
        <v>1</v>
      </c>
      <c r="AB9" s="1570">
        <f t="shared" si="4"/>
        <v>1</v>
      </c>
      <c r="AC9" s="1570">
        <f t="shared" si="5"/>
        <v>1</v>
      </c>
    </row>
    <row r="10" spans="1:29" s="1338" customFormat="1" ht="27">
      <c r="A10" s="2939"/>
      <c r="B10" s="2944" t="s">
        <v>2757</v>
      </c>
      <c r="C10" s="861" t="s">
        <v>3342</v>
      </c>
      <c r="D10" s="255">
        <v>100</v>
      </c>
      <c r="E10" s="861" t="s">
        <v>3342</v>
      </c>
      <c r="F10" s="255">
        <f>SUMIF(55:55,E10,56:56)-SUMIF(55:55,C10,56:56)+100</f>
        <v>100</v>
      </c>
      <c r="G10" s="861" t="s">
        <v>3342</v>
      </c>
      <c r="H10" s="255">
        <f>SUMIF(55:55,G10,56:56)-SUMIF(55:55,C10,56:56)+100</f>
        <v>100</v>
      </c>
      <c r="I10" s="861" t="s">
        <v>3342</v>
      </c>
      <c r="J10" s="255">
        <f>SUMIF(55:55,I10,56:56)-SUMIF(55:55,C10,56:56)+100</f>
        <v>100</v>
      </c>
      <c r="K10" s="584">
        <v>1</v>
      </c>
      <c r="L10" s="2138"/>
      <c r="M10" s="2178"/>
      <c r="N10" s="2178"/>
      <c r="O10" s="2139"/>
      <c r="P10" s="3396"/>
      <c r="Q10" s="1151" t="str">
        <f t="shared" si="6"/>
        <v>土地使用年限（年）</v>
      </c>
      <c r="R10" s="1567" t="s">
        <v>8</v>
      </c>
      <c r="S10" s="1568">
        <f t="shared" si="0"/>
        <v>100</v>
      </c>
      <c r="T10" s="1567" t="s">
        <v>8</v>
      </c>
      <c r="U10" s="1568">
        <f t="shared" si="1"/>
        <v>100</v>
      </c>
      <c r="V10" s="1567" t="s">
        <v>8</v>
      </c>
      <c r="W10" s="1568">
        <f t="shared" si="2"/>
        <v>100</v>
      </c>
      <c r="X10" s="1569"/>
      <c r="Y10" s="3342"/>
      <c r="Z10" s="1150"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96"/>
      <c r="Q11" s="1151">
        <f t="shared" si="6"/>
        <v>111</v>
      </c>
      <c r="R11" s="1567" t="s">
        <v>8</v>
      </c>
      <c r="S11" s="1568">
        <f t="shared" si="0"/>
        <v>100</v>
      </c>
      <c r="T11" s="1567" t="s">
        <v>8</v>
      </c>
      <c r="U11" s="1568">
        <f t="shared" si="1"/>
        <v>100</v>
      </c>
      <c r="V11" s="1567" t="s">
        <v>8</v>
      </c>
      <c r="W11" s="1568">
        <f t="shared" si="2"/>
        <v>100</v>
      </c>
      <c r="X11" s="1569"/>
      <c r="Y11" s="3342"/>
      <c r="Z11" s="1150">
        <f t="shared" si="7"/>
        <v>111</v>
      </c>
      <c r="AA11" s="1570">
        <f t="shared" si="3"/>
        <v>1</v>
      </c>
      <c r="AB11" s="1570">
        <f t="shared" si="4"/>
        <v>1</v>
      </c>
      <c r="AC11" s="1570">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96"/>
      <c r="Q12" s="1151">
        <f t="shared" si="6"/>
        <v>111</v>
      </c>
      <c r="R12" s="1567" t="s">
        <v>8</v>
      </c>
      <c r="S12" s="1568">
        <f t="shared" si="0"/>
        <v>100</v>
      </c>
      <c r="T12" s="1567" t="s">
        <v>8</v>
      </c>
      <c r="U12" s="1568">
        <f t="shared" si="1"/>
        <v>100</v>
      </c>
      <c r="V12" s="1567" t="s">
        <v>8</v>
      </c>
      <c r="W12" s="1568">
        <f t="shared" si="2"/>
        <v>100</v>
      </c>
      <c r="X12" s="1569"/>
      <c r="Y12" s="3342"/>
      <c r="Z12" s="1150">
        <f t="shared" si="7"/>
        <v>111</v>
      </c>
      <c r="AA12" s="1570">
        <f>D12/F12</f>
        <v>1</v>
      </c>
      <c r="AB12" s="1570">
        <f>D12/H12</f>
        <v>1</v>
      </c>
      <c r="AC12" s="1570">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96"/>
      <c r="Q13" s="1151">
        <f t="shared" si="6"/>
        <v>111</v>
      </c>
      <c r="R13" s="1567" t="s">
        <v>8</v>
      </c>
      <c r="S13" s="1568">
        <f t="shared" si="0"/>
        <v>100</v>
      </c>
      <c r="T13" s="1567" t="s">
        <v>8</v>
      </c>
      <c r="U13" s="1568">
        <f t="shared" si="1"/>
        <v>100</v>
      </c>
      <c r="V13" s="1567" t="s">
        <v>8</v>
      </c>
      <c r="W13" s="1568">
        <f t="shared" si="2"/>
        <v>100</v>
      </c>
      <c r="X13" s="1569"/>
      <c r="Y13" s="3342"/>
      <c r="Z13" s="1150">
        <f t="shared" si="7"/>
        <v>111</v>
      </c>
      <c r="AA13" s="1570">
        <f t="shared" si="3"/>
        <v>1</v>
      </c>
      <c r="AB13" s="1570">
        <f t="shared" si="4"/>
        <v>1</v>
      </c>
      <c r="AC13" s="1570">
        <f t="shared" si="5"/>
        <v>1</v>
      </c>
    </row>
    <row r="14" spans="1:29" ht="171">
      <c r="A14" s="2934" t="s">
        <v>2754</v>
      </c>
      <c r="B14" s="547"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SUMIF(63:63,E15,64:64)-SUMIF(63:63,C15,64:64)+100</f>
        <v>102</v>
      </c>
      <c r="G14" s="552"/>
      <c r="H14" s="549">
        <f>SUMIF(63:63,G15,64:64)-SUMIF(63:63,C15,64:64)+100</f>
        <v>102</v>
      </c>
      <c r="I14" s="550"/>
      <c r="J14" s="549">
        <f>SUMIF(63:63,I15,64:64)-SUMIF(63:63,C15,64:64)+100</f>
        <v>102</v>
      </c>
      <c r="K14" s="898">
        <v>2</v>
      </c>
      <c r="L14" s="2142"/>
      <c r="M14" s="2134"/>
      <c r="N14" s="2134"/>
      <c r="O14" s="2141"/>
      <c r="P14" s="3431" t="s">
        <v>539</v>
      </c>
      <c r="Q14" s="1571" t="str">
        <f t="shared" si="6"/>
        <v>交通便捷度</v>
      </c>
      <c r="R14" s="1572" t="s">
        <v>8</v>
      </c>
      <c r="S14" s="1573">
        <f t="shared" si="0"/>
        <v>102</v>
      </c>
      <c r="T14" s="1572" t="s">
        <v>8</v>
      </c>
      <c r="U14" s="1573">
        <f t="shared" si="1"/>
        <v>102</v>
      </c>
      <c r="V14" s="1572" t="s">
        <v>8</v>
      </c>
      <c r="W14" s="1573">
        <f t="shared" si="2"/>
        <v>102</v>
      </c>
      <c r="X14" s="1566"/>
      <c r="Y14" s="3431" t="s">
        <v>539</v>
      </c>
      <c r="Z14" s="1574" t="str">
        <f t="shared" si="7"/>
        <v>交通便捷度</v>
      </c>
      <c r="AA14" s="1575">
        <f t="shared" si="3"/>
        <v>0.98039215686274506</v>
      </c>
      <c r="AB14" s="1575">
        <f t="shared" si="4"/>
        <v>0.98039215686274506</v>
      </c>
      <c r="AC14" s="1575">
        <f t="shared" si="5"/>
        <v>0.98039215686274506</v>
      </c>
    </row>
    <row r="15" spans="1:29" ht="15">
      <c r="A15" s="515"/>
      <c r="B15" s="924"/>
      <c r="C15" s="576" t="s">
        <v>3174</v>
      </c>
      <c r="D15" s="555"/>
      <c r="E15" s="576" t="s">
        <v>3343</v>
      </c>
      <c r="F15" s="557"/>
      <c r="G15" s="576" t="s">
        <v>3343</v>
      </c>
      <c r="H15" s="559"/>
      <c r="I15" s="576" t="s">
        <v>3343</v>
      </c>
      <c r="J15" s="555"/>
      <c r="K15" s="899"/>
      <c r="L15" s="2142"/>
      <c r="M15" s="2134"/>
      <c r="N15" s="2134"/>
      <c r="O15" s="2141"/>
      <c r="P15" s="3432"/>
      <c r="Q15" s="1571"/>
      <c r="R15" s="1572"/>
      <c r="S15" s="1573"/>
      <c r="T15" s="1572"/>
      <c r="U15" s="1573"/>
      <c r="V15" s="1572"/>
      <c r="W15" s="1573"/>
      <c r="X15" s="1566"/>
      <c r="Y15" s="3432"/>
      <c r="Z15" s="1574"/>
      <c r="AA15" s="1575">
        <v>1</v>
      </c>
      <c r="AB15" s="1575">
        <v>1</v>
      </c>
      <c r="AC15" s="1575">
        <v>1</v>
      </c>
    </row>
    <row r="16" spans="1:29" ht="156.75">
      <c r="A16" s="515"/>
      <c r="B16" s="2627"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2"/>
      <c r="F16" s="571">
        <f>SUMIF(65:65,E17,66:66)-SUMIF(65:65,C17,66:66)+100</f>
        <v>100</v>
      </c>
      <c r="G16" s="572"/>
      <c r="H16" s="565">
        <f>SUMIF(65:65,G17,66:66)-SUMIF(65:65,C17,66:66)+100</f>
        <v>100</v>
      </c>
      <c r="I16" s="570"/>
      <c r="J16" s="565">
        <f>SUMIF(65:65,I17,66:66)-SUMIF(65:65,C17,66:66)+100</f>
        <v>100</v>
      </c>
      <c r="K16" s="898">
        <v>2</v>
      </c>
      <c r="L16" s="2142"/>
      <c r="M16" s="2134"/>
      <c r="N16" s="2134"/>
      <c r="O16" s="2141"/>
      <c r="P16" s="3432"/>
      <c r="Q16" s="1571" t="str">
        <f>B16</f>
        <v>公共配套设施</v>
      </c>
      <c r="R16" s="1572" t="s">
        <v>8</v>
      </c>
      <c r="S16" s="1573">
        <f>F16</f>
        <v>100</v>
      </c>
      <c r="T16" s="1572" t="s">
        <v>8</v>
      </c>
      <c r="U16" s="1573">
        <f>H16</f>
        <v>100</v>
      </c>
      <c r="V16" s="1572" t="s">
        <v>8</v>
      </c>
      <c r="W16" s="1573">
        <f>J16</f>
        <v>100</v>
      </c>
      <c r="X16" s="1566"/>
      <c r="Y16" s="3432"/>
      <c r="Z16" s="1574" t="str">
        <f>Q16</f>
        <v>公共配套设施</v>
      </c>
      <c r="AA16" s="1575">
        <f t="shared" si="3"/>
        <v>1</v>
      </c>
      <c r="AB16" s="1575">
        <f t="shared" si="4"/>
        <v>1</v>
      </c>
      <c r="AC16" s="1575">
        <f t="shared" si="5"/>
        <v>1</v>
      </c>
    </row>
    <row r="17" spans="1:29" ht="15">
      <c r="A17" s="515"/>
      <c r="B17" s="566"/>
      <c r="C17" s="873" t="s">
        <v>3174</v>
      </c>
      <c r="D17" s="555"/>
      <c r="E17" s="576" t="s">
        <v>3174</v>
      </c>
      <c r="F17" s="557"/>
      <c r="G17" s="576" t="s">
        <v>3174</v>
      </c>
      <c r="H17" s="555"/>
      <c r="I17" s="576" t="s">
        <v>3174</v>
      </c>
      <c r="J17" s="555"/>
      <c r="K17" s="899"/>
      <c r="L17" s="2142"/>
      <c r="M17" s="2134"/>
      <c r="N17" s="2134"/>
      <c r="O17" s="2141"/>
      <c r="P17" s="3432"/>
      <c r="Q17" s="1571"/>
      <c r="R17" s="1572"/>
      <c r="S17" s="1573"/>
      <c r="T17" s="1572"/>
      <c r="U17" s="1573"/>
      <c r="V17" s="1572"/>
      <c r="W17" s="1573"/>
      <c r="X17" s="1566"/>
      <c r="Y17" s="3432"/>
      <c r="Z17" s="1574"/>
      <c r="AA17" s="1575">
        <v>1</v>
      </c>
      <c r="AB17" s="1575">
        <v>1</v>
      </c>
      <c r="AC17" s="1575">
        <v>1</v>
      </c>
    </row>
    <row r="18" spans="1:29" ht="28.5">
      <c r="A18" s="515"/>
      <c r="B18" s="2615"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v>1</v>
      </c>
      <c r="L18" s="2142"/>
      <c r="M18" s="2134"/>
      <c r="N18" s="2134"/>
      <c r="O18" s="2141"/>
      <c r="P18" s="3432"/>
      <c r="Q18" s="2603" t="str">
        <f>B18</f>
        <v>基础设施水平</v>
      </c>
      <c r="R18" s="1572" t="s">
        <v>8</v>
      </c>
      <c r="S18" s="1573">
        <f>F18</f>
        <v>100</v>
      </c>
      <c r="T18" s="1572" t="s">
        <v>8</v>
      </c>
      <c r="U18" s="1573">
        <f>H18</f>
        <v>100</v>
      </c>
      <c r="V18" s="1572" t="s">
        <v>8</v>
      </c>
      <c r="W18" s="1573">
        <f>J18</f>
        <v>100</v>
      </c>
      <c r="X18" s="2605"/>
      <c r="Y18" s="3432"/>
      <c r="Z18" s="2604" t="str">
        <f>Q18</f>
        <v>基础设施水平</v>
      </c>
      <c r="AA18" s="1575">
        <f t="shared" ref="AA18" si="8">D18/F18</f>
        <v>1</v>
      </c>
      <c r="AB18" s="1575">
        <f t="shared" ref="AB18" si="9">D18/H18</f>
        <v>1</v>
      </c>
      <c r="AC18" s="1575">
        <f t="shared" ref="AC18" si="10">D18/J18</f>
        <v>1</v>
      </c>
    </row>
    <row r="19" spans="1:29" ht="15">
      <c r="A19" s="515"/>
      <c r="B19" s="578"/>
      <c r="C19" s="861" t="s">
        <v>3183</v>
      </c>
      <c r="D19" s="559"/>
      <c r="E19" s="861" t="s">
        <v>3183</v>
      </c>
      <c r="F19" s="557"/>
      <c r="G19" s="861" t="s">
        <v>3183</v>
      </c>
      <c r="H19" s="555"/>
      <c r="I19" s="861" t="s">
        <v>3183</v>
      </c>
      <c r="J19" s="555"/>
      <c r="K19" s="2626"/>
      <c r="L19" s="2142"/>
      <c r="M19" s="2134"/>
      <c r="N19" s="2134"/>
      <c r="O19" s="2141"/>
      <c r="P19" s="3432"/>
      <c r="Q19" s="2603"/>
      <c r="R19" s="1572"/>
      <c r="S19" s="1573"/>
      <c r="T19" s="1572"/>
      <c r="U19" s="1573"/>
      <c r="V19" s="1572"/>
      <c r="W19" s="1573"/>
      <c r="X19" s="2605"/>
      <c r="Y19" s="3432"/>
      <c r="Z19" s="2604"/>
      <c r="AA19" s="1575">
        <v>1</v>
      </c>
      <c r="AB19" s="1575">
        <v>1</v>
      </c>
      <c r="AC19" s="1575">
        <v>1</v>
      </c>
    </row>
    <row r="20" spans="1:29" ht="85.5">
      <c r="A20" s="515"/>
      <c r="B20" s="560" t="s">
        <v>803</v>
      </c>
      <c r="C20" s="872" t="str">
        <f>IF(B1="工业",估价对象房地状况!G7,估价对象房地状况!C9)</f>
        <v>区域自然环境：无；人文环境有北京北大资源研修学院、；综合评价环境状况一般</v>
      </c>
      <c r="D20" s="565">
        <v>100</v>
      </c>
      <c r="E20" s="562"/>
      <c r="F20" s="563">
        <f>SUMIF(69:69,E21,70:70)-SUMIF(69:69,C21,70:70)+100</f>
        <v>102</v>
      </c>
      <c r="G20" s="564"/>
      <c r="H20" s="559">
        <f>SUMIF(69:69,G21,70:70)-SUMIF(69:69,C21,70:70)+100</f>
        <v>102</v>
      </c>
      <c r="I20" s="562"/>
      <c r="J20" s="559">
        <f>SUMIF(69:69,I21,70:70)-SUMIF(69:69,C21,70:70)+100</f>
        <v>102</v>
      </c>
      <c r="K20" s="898">
        <v>2</v>
      </c>
      <c r="L20" s="2142"/>
      <c r="M20" s="2134"/>
      <c r="N20" s="2134"/>
      <c r="O20" s="2141"/>
      <c r="P20" s="3432"/>
      <c r="Q20" s="1571" t="str">
        <f>B20</f>
        <v>自然及人文环境</v>
      </c>
      <c r="R20" s="1572" t="s">
        <v>8</v>
      </c>
      <c r="S20" s="1573">
        <f>F20</f>
        <v>102</v>
      </c>
      <c r="T20" s="1572" t="s">
        <v>8</v>
      </c>
      <c r="U20" s="1573">
        <f>H20</f>
        <v>102</v>
      </c>
      <c r="V20" s="1572" t="s">
        <v>8</v>
      </c>
      <c r="W20" s="1573">
        <f>J20</f>
        <v>102</v>
      </c>
      <c r="X20" s="1566"/>
      <c r="Y20" s="3432"/>
      <c r="Z20" s="1574" t="str">
        <f>Q20</f>
        <v>自然及人文环境</v>
      </c>
      <c r="AA20" s="1575">
        <f t="shared" si="3"/>
        <v>0.98039215686274506</v>
      </c>
      <c r="AB20" s="1575">
        <f t="shared" si="4"/>
        <v>0.98039215686274506</v>
      </c>
      <c r="AC20" s="1575">
        <f t="shared" si="5"/>
        <v>0.98039215686274506</v>
      </c>
    </row>
    <row r="21" spans="1:29" ht="15">
      <c r="A21" s="515"/>
      <c r="B21" s="566"/>
      <c r="C21" s="576" t="s">
        <v>3174</v>
      </c>
      <c r="D21" s="555"/>
      <c r="E21" s="576" t="s">
        <v>3343</v>
      </c>
      <c r="F21" s="557"/>
      <c r="G21" s="576" t="s">
        <v>3343</v>
      </c>
      <c r="H21" s="555"/>
      <c r="I21" s="576" t="s">
        <v>3343</v>
      </c>
      <c r="J21" s="555"/>
      <c r="K21" s="899"/>
      <c r="L21" s="2142"/>
      <c r="M21" s="2134"/>
      <c r="N21" s="2134"/>
      <c r="O21" s="2141"/>
      <c r="P21" s="3432"/>
      <c r="Q21" s="1571"/>
      <c r="R21" s="1572"/>
      <c r="S21" s="1573"/>
      <c r="T21" s="1572"/>
      <c r="U21" s="1573"/>
      <c r="V21" s="1572"/>
      <c r="W21" s="1573"/>
      <c r="X21" s="1566"/>
      <c r="Y21" s="3432"/>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v>2</v>
      </c>
      <c r="L22" s="2142"/>
      <c r="M22" s="2134"/>
      <c r="N22" s="2134"/>
      <c r="O22" s="2141"/>
      <c r="P22" s="3432"/>
      <c r="Q22" s="1571" t="str">
        <f>B22</f>
        <v>楼层</v>
      </c>
      <c r="R22" s="1572" t="s">
        <v>8</v>
      </c>
      <c r="S22" s="1573">
        <f>F22</f>
        <v>100</v>
      </c>
      <c r="T22" s="1572" t="s">
        <v>8</v>
      </c>
      <c r="U22" s="1573">
        <f>H22</f>
        <v>100</v>
      </c>
      <c r="V22" s="1572" t="s">
        <v>8</v>
      </c>
      <c r="W22" s="1573">
        <f>J22</f>
        <v>100</v>
      </c>
      <c r="X22" s="1566"/>
      <c r="Y22" s="3432"/>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32"/>
      <c r="Q23" s="1571">
        <f>B23</f>
        <v>111</v>
      </c>
      <c r="R23" s="1572" t="s">
        <v>8</v>
      </c>
      <c r="S23" s="1573">
        <f>F23</f>
        <v>100</v>
      </c>
      <c r="T23" s="1572" t="s">
        <v>8</v>
      </c>
      <c r="U23" s="1573">
        <f>H23</f>
        <v>100</v>
      </c>
      <c r="V23" s="1572" t="s">
        <v>8</v>
      </c>
      <c r="W23" s="1573">
        <f>J23</f>
        <v>100</v>
      </c>
      <c r="X23" s="1566"/>
      <c r="Y23" s="3432"/>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32"/>
      <c r="Q24" s="1571">
        <f t="shared" ref="Q24:Q36" si="11">B24</f>
        <v>111</v>
      </c>
      <c r="R24" s="1572" t="s">
        <v>8</v>
      </c>
      <c r="S24" s="1573">
        <f>F24</f>
        <v>100</v>
      </c>
      <c r="T24" s="1572" t="s">
        <v>8</v>
      </c>
      <c r="U24" s="1573">
        <f>H24</f>
        <v>100</v>
      </c>
      <c r="V24" s="1572" t="s">
        <v>8</v>
      </c>
      <c r="W24" s="1573">
        <f>J24</f>
        <v>100</v>
      </c>
      <c r="X24" s="1566"/>
      <c r="Y24" s="3432"/>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32"/>
      <c r="Q25" s="1151">
        <f t="shared" si="11"/>
        <v>111</v>
      </c>
      <c r="R25" s="1567" t="s">
        <v>8</v>
      </c>
      <c r="S25" s="1568">
        <f>F25</f>
        <v>100</v>
      </c>
      <c r="T25" s="1567" t="s">
        <v>8</v>
      </c>
      <c r="U25" s="1568">
        <f>H25</f>
        <v>100</v>
      </c>
      <c r="V25" s="1567" t="s">
        <v>8</v>
      </c>
      <c r="W25" s="1568">
        <f>J25</f>
        <v>100</v>
      </c>
      <c r="X25" s="1569"/>
      <c r="Y25" s="3432"/>
      <c r="Z25" s="1150">
        <f>Q25</f>
        <v>111</v>
      </c>
      <c r="AA25" s="1575">
        <f>D25/F25</f>
        <v>1</v>
      </c>
      <c r="AB25" s="1575">
        <f>D25/H25</f>
        <v>1</v>
      </c>
      <c r="AC25" s="1575">
        <f>D25/J25</f>
        <v>1</v>
      </c>
    </row>
    <row r="26" spans="1:29" ht="15">
      <c r="A26" s="2931" t="s">
        <v>2755</v>
      </c>
      <c r="B26" s="170" t="s">
        <v>805</v>
      </c>
      <c r="C26" s="928" t="str">
        <f>B1</f>
        <v>住宅</v>
      </c>
      <c r="D26" s="555">
        <v>100</v>
      </c>
      <c r="E26" s="576" t="s">
        <v>922</v>
      </c>
      <c r="F26" s="557">
        <f>SUMIF(79:79,E26,80:80)-SUMIF(79:79,C26,80:80)+100</f>
        <v>100</v>
      </c>
      <c r="G26" s="576" t="s">
        <v>922</v>
      </c>
      <c r="H26" s="555">
        <f>SUMIF(79:79,G26,80:80)-SUMIF(79:79,C26,80:80)+100</f>
        <v>100</v>
      </c>
      <c r="I26" s="576" t="s">
        <v>922</v>
      </c>
      <c r="J26" s="555">
        <f>SUMIF(79:79,I26,80:80)-SUMIF(79:79,C26,80:80)+100</f>
        <v>100</v>
      </c>
      <c r="K26" s="584">
        <v>-1</v>
      </c>
      <c r="L26" s="2142"/>
      <c r="M26" s="2134"/>
      <c r="N26" s="2134"/>
      <c r="O26" s="2141"/>
      <c r="P26" s="3433"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34"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34"/>
      <c r="Q27" s="1604" t="str">
        <f t="shared" si="11"/>
        <v>项目停车位配比</v>
      </c>
      <c r="R27" s="1576" t="s">
        <v>8</v>
      </c>
      <c r="S27" s="1577">
        <f t="shared" si="12"/>
        <v>100</v>
      </c>
      <c r="T27" s="1576" t="s">
        <v>8</v>
      </c>
      <c r="U27" s="1577">
        <f t="shared" si="13"/>
        <v>100</v>
      </c>
      <c r="V27" s="1576" t="s">
        <v>8</v>
      </c>
      <c r="W27" s="1577">
        <f t="shared" si="14"/>
        <v>100</v>
      </c>
      <c r="X27" s="1578"/>
      <c r="Y27" s="3434"/>
      <c r="Z27" s="1579" t="str">
        <f t="shared" si="15"/>
        <v>项目停车位配比</v>
      </c>
      <c r="AA27" s="1575">
        <f t="shared" si="3"/>
        <v>1</v>
      </c>
      <c r="AB27" s="1575">
        <f t="shared" si="4"/>
        <v>1</v>
      </c>
      <c r="AC27" s="1575">
        <f t="shared" si="5"/>
        <v>1</v>
      </c>
    </row>
    <row r="28" spans="1:29" ht="15">
      <c r="A28" s="931"/>
      <c r="B28" s="582" t="s">
        <v>807</v>
      </c>
      <c r="C28" s="574" t="s">
        <v>3360</v>
      </c>
      <c r="D28" s="540">
        <v>100</v>
      </c>
      <c r="E28" s="574" t="s">
        <v>3360</v>
      </c>
      <c r="F28" s="575">
        <f>SUMIF(83:83,E28,84:84)-SUMIF(83:83,C28,84:84)+100</f>
        <v>100</v>
      </c>
      <c r="G28" s="574" t="s">
        <v>3360</v>
      </c>
      <c r="H28" s="540">
        <f>SUMIF(83:83,G28,84:84)-SUMIF(83:83,C28,84:84)+100</f>
        <v>100</v>
      </c>
      <c r="I28" s="574" t="s">
        <v>3360</v>
      </c>
      <c r="J28" s="540">
        <f>SUMIF(83:83,I28,84:84)-SUMIF(83:83,C28,84:84)+100</f>
        <v>100</v>
      </c>
      <c r="K28" s="584">
        <v>2</v>
      </c>
      <c r="L28" s="2142"/>
      <c r="M28" s="2134"/>
      <c r="N28" s="2134"/>
      <c r="O28" s="2141"/>
      <c r="P28" s="3434"/>
      <c r="Q28" s="1571" t="str">
        <f t="shared" si="11"/>
        <v>公共部分装修</v>
      </c>
      <c r="R28" s="1572" t="s">
        <v>8</v>
      </c>
      <c r="S28" s="1573">
        <f t="shared" si="12"/>
        <v>100</v>
      </c>
      <c r="T28" s="1572" t="s">
        <v>8</v>
      </c>
      <c r="U28" s="1573">
        <f t="shared" si="13"/>
        <v>100</v>
      </c>
      <c r="V28" s="1572" t="s">
        <v>8</v>
      </c>
      <c r="W28" s="1573">
        <f t="shared" si="14"/>
        <v>100</v>
      </c>
      <c r="X28" s="1566"/>
      <c r="Y28" s="3434"/>
      <c r="Z28" s="1574" t="str">
        <f t="shared" si="15"/>
        <v>公共部分装修</v>
      </c>
      <c r="AA28" s="1575">
        <f t="shared" si="3"/>
        <v>1</v>
      </c>
      <c r="AB28" s="1575">
        <f t="shared" si="4"/>
        <v>1</v>
      </c>
      <c r="AC28" s="1575">
        <f t="shared" si="5"/>
        <v>1</v>
      </c>
    </row>
    <row r="29" spans="1:29" ht="15">
      <c r="A29" s="931"/>
      <c r="B29" s="582" t="s">
        <v>808</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2"/>
      <c r="M29" s="2134"/>
      <c r="N29" s="2134"/>
      <c r="O29" s="2141"/>
      <c r="P29" s="3434"/>
      <c r="Q29" s="1571" t="str">
        <f t="shared" si="11"/>
        <v>成新率</v>
      </c>
      <c r="R29" s="1572" t="s">
        <v>8</v>
      </c>
      <c r="S29" s="1573">
        <f t="shared" si="12"/>
        <v>100</v>
      </c>
      <c r="T29" s="1572" t="s">
        <v>8</v>
      </c>
      <c r="U29" s="1573">
        <f t="shared" si="13"/>
        <v>100</v>
      </c>
      <c r="V29" s="1572" t="s">
        <v>8</v>
      </c>
      <c r="W29" s="1573">
        <f t="shared" si="14"/>
        <v>100</v>
      </c>
      <c r="X29" s="1566"/>
      <c r="Y29" s="3434"/>
      <c r="Z29" s="1574" t="str">
        <f t="shared" si="15"/>
        <v>成新率</v>
      </c>
      <c r="AA29" s="1575">
        <f t="shared" si="3"/>
        <v>1</v>
      </c>
      <c r="AB29" s="1575">
        <f t="shared" si="4"/>
        <v>1</v>
      </c>
      <c r="AC29" s="1575">
        <f t="shared" si="5"/>
        <v>1</v>
      </c>
    </row>
    <row r="30" spans="1:29" ht="15">
      <c r="A30" s="931"/>
      <c r="B30" s="582" t="s">
        <v>809</v>
      </c>
      <c r="C30" s="932" t="s">
        <v>3174</v>
      </c>
      <c r="D30" s="540">
        <v>100</v>
      </c>
      <c r="E30" s="932" t="s">
        <v>3174</v>
      </c>
      <c r="F30" s="575">
        <f>SUMIF(88:88,E30,89:89)-SUMIF(88:88,C30,89:89)+100</f>
        <v>100</v>
      </c>
      <c r="G30" s="932" t="s">
        <v>3174</v>
      </c>
      <c r="H30" s="540">
        <f>SUMIF(88:88,E30,89:89)-SUMIF(88:88,C30,89:89)+100</f>
        <v>100</v>
      </c>
      <c r="I30" s="932" t="s">
        <v>3174</v>
      </c>
      <c r="J30" s="540">
        <f>SUMIF(88:88,E30,89:89)-SUMIF(88:88,C30,89:89)+100</f>
        <v>100</v>
      </c>
      <c r="K30" s="584">
        <v>1</v>
      </c>
      <c r="L30" s="2142"/>
      <c r="M30" s="2134"/>
      <c r="N30" s="2134"/>
      <c r="O30" s="2141"/>
      <c r="P30" s="3434"/>
      <c r="Q30" s="1571" t="str">
        <f t="shared" si="11"/>
        <v>物业等级</v>
      </c>
      <c r="R30" s="1572" t="s">
        <v>8</v>
      </c>
      <c r="S30" s="1573">
        <f t="shared" si="12"/>
        <v>100</v>
      </c>
      <c r="T30" s="1572" t="s">
        <v>8</v>
      </c>
      <c r="U30" s="1573">
        <f t="shared" si="13"/>
        <v>100</v>
      </c>
      <c r="V30" s="1572" t="s">
        <v>8</v>
      </c>
      <c r="W30" s="1573">
        <f t="shared" si="14"/>
        <v>100</v>
      </c>
      <c r="X30" s="1566"/>
      <c r="Y30" s="3434"/>
      <c r="Z30" s="1574" t="str">
        <f t="shared" si="15"/>
        <v>物业等级</v>
      </c>
      <c r="AA30" s="1575">
        <f t="shared" si="3"/>
        <v>1</v>
      </c>
      <c r="AB30" s="1575">
        <f t="shared" si="4"/>
        <v>1</v>
      </c>
      <c r="AC30" s="1575">
        <f t="shared" si="5"/>
        <v>1</v>
      </c>
    </row>
    <row r="31" spans="1:29" s="1220" customFormat="1" ht="15">
      <c r="A31" s="933"/>
      <c r="B31" s="582" t="s">
        <v>810</v>
      </c>
      <c r="C31" s="880">
        <v>35</v>
      </c>
      <c r="D31" s="255">
        <v>100</v>
      </c>
      <c r="E31" s="880">
        <v>39.9</v>
      </c>
      <c r="F31" s="575">
        <f>LOOKUP(E31,91:91,92:92)-LOOKUP(C31,91:91,92:92)+100</f>
        <v>100</v>
      </c>
      <c r="G31" s="880">
        <v>30</v>
      </c>
      <c r="H31" s="540">
        <f>LOOKUP(G31,91:91,92:92)-LOOKUP(C31,91:91,92:92)+100</f>
        <v>100</v>
      </c>
      <c r="I31" s="880">
        <v>35</v>
      </c>
      <c r="J31" s="540">
        <f>LOOKUP(I31,91:91,92:92)-LOOKUP(C31,91:91,92:92)+100</f>
        <v>100</v>
      </c>
      <c r="K31" s="584">
        <v>1</v>
      </c>
      <c r="L31" s="2135"/>
      <c r="M31" s="2136"/>
      <c r="N31" s="2136"/>
      <c r="O31" s="2137"/>
      <c r="P31" s="3434"/>
      <c r="Q31" s="1151" t="str">
        <f t="shared" si="11"/>
        <v>停车位面积</v>
      </c>
      <c r="R31" s="1567" t="s">
        <v>8</v>
      </c>
      <c r="S31" s="1568">
        <f t="shared" si="12"/>
        <v>100</v>
      </c>
      <c r="T31" s="1567" t="s">
        <v>8</v>
      </c>
      <c r="U31" s="1568">
        <f t="shared" si="13"/>
        <v>100</v>
      </c>
      <c r="V31" s="1567" t="s">
        <v>8</v>
      </c>
      <c r="W31" s="1568">
        <f t="shared" si="14"/>
        <v>100</v>
      </c>
      <c r="X31" s="1569"/>
      <c r="Y31" s="3434"/>
      <c r="Z31" s="1150" t="str">
        <f t="shared" si="15"/>
        <v>停车位面积</v>
      </c>
      <c r="AA31" s="1570">
        <f t="shared" si="3"/>
        <v>1</v>
      </c>
      <c r="AB31" s="1570">
        <f t="shared" si="4"/>
        <v>1</v>
      </c>
      <c r="AC31" s="1570">
        <f t="shared" si="5"/>
        <v>1</v>
      </c>
    </row>
    <row r="32" spans="1:29" ht="15">
      <c r="A32" s="931"/>
      <c r="B32" s="582" t="s">
        <v>811</v>
      </c>
      <c r="C32" s="574" t="s">
        <v>3361</v>
      </c>
      <c r="D32" s="540">
        <v>100</v>
      </c>
      <c r="E32" s="574" t="s">
        <v>3361</v>
      </c>
      <c r="F32" s="575">
        <f>SUMIF(93:93,E32,94:94)-SUMIF(93:93,C32,94:94)+100</f>
        <v>100</v>
      </c>
      <c r="G32" s="574" t="s">
        <v>3361</v>
      </c>
      <c r="H32" s="540">
        <f>SUMIF(93:93,G32,94:94)-SUMIF(93:93,C32,94:94)+100</f>
        <v>100</v>
      </c>
      <c r="I32" s="574" t="s">
        <v>3361</v>
      </c>
      <c r="J32" s="540">
        <f>SUMIF(93:93,I32,94:94)-SUMIF(93:93,C32,94:94)+100</f>
        <v>100</v>
      </c>
      <c r="K32" s="584">
        <v>2</v>
      </c>
      <c r="L32" s="2142"/>
      <c r="M32" s="2134"/>
      <c r="N32" s="2134"/>
      <c r="O32" s="2141"/>
      <c r="P32" s="3434" t="s">
        <v>549</v>
      </c>
      <c r="Q32" s="1571" t="str">
        <f t="shared" si="11"/>
        <v>车位类型</v>
      </c>
      <c r="R32" s="1572" t="s">
        <v>8</v>
      </c>
      <c r="S32" s="1573">
        <f t="shared" si="12"/>
        <v>100</v>
      </c>
      <c r="T32" s="1572" t="s">
        <v>8</v>
      </c>
      <c r="U32" s="1573">
        <f t="shared" si="13"/>
        <v>100</v>
      </c>
      <c r="V32" s="1572" t="s">
        <v>8</v>
      </c>
      <c r="W32" s="1573">
        <f t="shared" si="14"/>
        <v>100</v>
      </c>
      <c r="X32" s="1566"/>
      <c r="Y32" s="3434" t="s">
        <v>549</v>
      </c>
      <c r="Z32" s="1574" t="str">
        <f t="shared" si="15"/>
        <v>车位类型</v>
      </c>
      <c r="AA32" s="1575">
        <f t="shared" si="3"/>
        <v>1</v>
      </c>
      <c r="AB32" s="1575">
        <f t="shared" si="4"/>
        <v>1</v>
      </c>
      <c r="AC32" s="1575">
        <f t="shared" si="5"/>
        <v>1</v>
      </c>
    </row>
    <row r="33" spans="1:29" ht="15">
      <c r="A33" s="931"/>
      <c r="B33" s="582" t="s">
        <v>812</v>
      </c>
      <c r="C33" s="574" t="s">
        <v>1678</v>
      </c>
      <c r="D33" s="540">
        <v>100</v>
      </c>
      <c r="E33" s="574" t="s">
        <v>1678</v>
      </c>
      <c r="F33" s="575">
        <f>SUMIF(95:95,E33,96:96)-SUMIF(95:95,C33,96:96)+100</f>
        <v>100</v>
      </c>
      <c r="G33" s="574" t="s">
        <v>1678</v>
      </c>
      <c r="H33" s="540">
        <f>SUMIF(95:95,G33,96:96)-SUMIF(95:95,C33,96:96)+100</f>
        <v>100</v>
      </c>
      <c r="I33" s="574" t="s">
        <v>1678</v>
      </c>
      <c r="J33" s="540">
        <f>SUMIF(95:95,I33,96:96)-SUMIF(95:95,C33,96:96)+100</f>
        <v>100</v>
      </c>
      <c r="K33" s="584">
        <v>2</v>
      </c>
      <c r="L33" s="2142"/>
      <c r="M33" s="2134"/>
      <c r="N33" s="2134"/>
      <c r="O33" s="2141"/>
      <c r="P33" s="3434"/>
      <c r="Q33" s="1571" t="str">
        <f t="shared" si="11"/>
        <v>是否直接入户</v>
      </c>
      <c r="R33" s="1572" t="s">
        <v>8</v>
      </c>
      <c r="S33" s="1573">
        <f t="shared" si="12"/>
        <v>100</v>
      </c>
      <c r="T33" s="1572" t="s">
        <v>8</v>
      </c>
      <c r="U33" s="1573">
        <f t="shared" si="13"/>
        <v>100</v>
      </c>
      <c r="V33" s="1572" t="s">
        <v>8</v>
      </c>
      <c r="W33" s="1573">
        <f t="shared" si="14"/>
        <v>100</v>
      </c>
      <c r="X33" s="1566"/>
      <c r="Y33" s="3434"/>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34"/>
      <c r="Q34" s="1571">
        <f t="shared" si="11"/>
        <v>111</v>
      </c>
      <c r="R34" s="1572" t="s">
        <v>8</v>
      </c>
      <c r="S34" s="1573">
        <f t="shared" si="12"/>
        <v>100</v>
      </c>
      <c r="T34" s="1572" t="s">
        <v>8</v>
      </c>
      <c r="U34" s="1573">
        <f t="shared" si="13"/>
        <v>100</v>
      </c>
      <c r="V34" s="1572" t="s">
        <v>8</v>
      </c>
      <c r="W34" s="1573">
        <f t="shared" si="14"/>
        <v>100</v>
      </c>
      <c r="X34" s="1566"/>
      <c r="Y34" s="3434"/>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34"/>
      <c r="Q35" s="1604">
        <f t="shared" si="11"/>
        <v>111</v>
      </c>
      <c r="R35" s="1576" t="s">
        <v>8</v>
      </c>
      <c r="S35" s="1577">
        <f t="shared" si="12"/>
        <v>100</v>
      </c>
      <c r="T35" s="1576" t="s">
        <v>8</v>
      </c>
      <c r="U35" s="1577">
        <f t="shared" si="13"/>
        <v>100</v>
      </c>
      <c r="V35" s="1576" t="s">
        <v>8</v>
      </c>
      <c r="W35" s="1577">
        <f t="shared" si="14"/>
        <v>100</v>
      </c>
      <c r="X35" s="1578"/>
      <c r="Y35" s="3434"/>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34"/>
      <c r="Q36" s="1571">
        <f t="shared" si="11"/>
        <v>111</v>
      </c>
      <c r="R36" s="1572" t="s">
        <v>8</v>
      </c>
      <c r="S36" s="1573">
        <f t="shared" si="12"/>
        <v>100</v>
      </c>
      <c r="T36" s="1572" t="s">
        <v>8</v>
      </c>
      <c r="U36" s="1573">
        <f t="shared" si="13"/>
        <v>100</v>
      </c>
      <c r="V36" s="1572" t="s">
        <v>8</v>
      </c>
      <c r="W36" s="1573">
        <f t="shared" si="14"/>
        <v>100</v>
      </c>
      <c r="X36" s="1566"/>
      <c r="Y36" s="3434"/>
      <c r="Z36" s="1574">
        <f t="shared" si="15"/>
        <v>111</v>
      </c>
      <c r="AA36" s="1575">
        <f t="shared" si="3"/>
        <v>1</v>
      </c>
      <c r="AB36" s="1575">
        <f t="shared" si="4"/>
        <v>1</v>
      </c>
      <c r="AC36" s="1575">
        <f t="shared" si="5"/>
        <v>1</v>
      </c>
    </row>
    <row r="37" spans="1:29" ht="15">
      <c r="A37" s="1846" t="s">
        <v>2077</v>
      </c>
      <c r="B37" s="1847" t="s">
        <v>2078</v>
      </c>
      <c r="C37" s="2651" t="s">
        <v>1</v>
      </c>
      <c r="D37" s="2652"/>
      <c r="E37" s="2653">
        <v>10998</v>
      </c>
      <c r="F37" s="2654"/>
      <c r="G37" s="2655">
        <v>10747</v>
      </c>
      <c r="H37" s="2656"/>
      <c r="I37" s="2653">
        <v>11438</v>
      </c>
      <c r="J37" s="2656"/>
      <c r="K37" s="1610"/>
      <c r="L37" s="2144"/>
      <c r="M37" s="2145"/>
      <c r="N37" s="2134"/>
      <c r="O37" s="2145"/>
      <c r="P37" s="3396" t="str">
        <f>A37</f>
        <v>成交单价</v>
      </c>
      <c r="Q37" s="3396"/>
      <c r="R37" s="3514">
        <f>E37</f>
        <v>10998</v>
      </c>
      <c r="S37" s="3514"/>
      <c r="T37" s="3514">
        <f>G37</f>
        <v>10747</v>
      </c>
      <c r="U37" s="3514"/>
      <c r="V37" s="3514">
        <f>I37</f>
        <v>11438</v>
      </c>
      <c r="W37" s="3514"/>
      <c r="X37" s="1558"/>
      <c r="Y37" s="1580"/>
      <c r="Z37" s="1558"/>
      <c r="AA37" s="1558"/>
      <c r="AB37" s="1558"/>
      <c r="AC37" s="1558"/>
    </row>
    <row r="38" spans="1:29" ht="15.75" thickBot="1">
      <c r="A38" s="615" t="s">
        <v>2760</v>
      </c>
      <c r="B38" s="888"/>
      <c r="C38" s="2657">
        <f>R39</f>
        <v>10649</v>
      </c>
      <c r="D38" s="2658"/>
      <c r="E38" s="2659">
        <f>R38</f>
        <v>10571</v>
      </c>
      <c r="F38" s="2659"/>
      <c r="G38" s="2657">
        <f>T38</f>
        <v>10382</v>
      </c>
      <c r="H38" s="2658"/>
      <c r="I38" s="2659">
        <f>V38</f>
        <v>10994</v>
      </c>
      <c r="J38" s="2658"/>
      <c r="K38" s="1611"/>
      <c r="L38" s="2144"/>
      <c r="M38" s="2145"/>
      <c r="N38" s="2145"/>
      <c r="O38" s="2145"/>
      <c r="P38" s="3396" t="str">
        <f>A38</f>
        <v>比较价格（元/平方米）</v>
      </c>
      <c r="Q38" s="3396"/>
      <c r="R38" s="3514">
        <f>IF(F1="售价",ROUND(PRODUCT(R37,AA7:AA36),0),ROUND(PRODUCT(R37,AA7:AA36),1))</f>
        <v>10571</v>
      </c>
      <c r="S38" s="3514"/>
      <c r="T38" s="3514">
        <f>IF(F1="售价",ROUND(PRODUCT(T37,AB7:AB36),0),ROUND(PRODUCT(T37,AB7:AB36),1))</f>
        <v>10382</v>
      </c>
      <c r="U38" s="3514"/>
      <c r="V38" s="3514">
        <f>IF(F1="售价",ROUND(PRODUCT(V37,AC7:AC36),0),ROUND(PRODUCT(V37,AC7:AC36),1))</f>
        <v>10994</v>
      </c>
      <c r="W38" s="3514"/>
      <c r="X38" s="1558"/>
      <c r="Y38" s="1558"/>
      <c r="Z38" s="1558"/>
      <c r="AA38" s="1558"/>
      <c r="AB38" s="1558"/>
      <c r="AC38" s="1558"/>
    </row>
    <row r="39" spans="1:29" ht="15.75" thickBot="1">
      <c r="A39" s="621" t="s">
        <v>2932</v>
      </c>
      <c r="B39" s="622"/>
      <c r="C39" s="2660">
        <f>R39</f>
        <v>10649</v>
      </c>
      <c r="D39" s="2660"/>
      <c r="E39" s="2660"/>
      <c r="F39" s="2660"/>
      <c r="G39" s="2660"/>
      <c r="H39" s="2660"/>
      <c r="I39" s="2660"/>
      <c r="J39" s="2660"/>
      <c r="K39" s="1612"/>
      <c r="L39" s="2144"/>
      <c r="M39" s="2145"/>
      <c r="N39" s="2145"/>
      <c r="O39" s="2145"/>
      <c r="P39" s="3393" t="str">
        <f>A39</f>
        <v>估价对象XX用房的比较价格（楼面单价，元/平方米）</v>
      </c>
      <c r="Q39" s="3394"/>
      <c r="R39" s="3513">
        <f>IF(F1="售价",ROUND(AVERAGE(R38:V38),0),ROUND(AVERAGE(R38:V38),1))</f>
        <v>10649</v>
      </c>
      <c r="S39" s="3513"/>
      <c r="T39" s="3513"/>
      <c r="U39" s="3513"/>
      <c r="V39" s="3513"/>
      <c r="W39" s="3513"/>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f>IF(E37&lt;E38,E38/E37-1,E37/E38-1)</f>
        <v>4.0393529467410927E-2</v>
      </c>
      <c r="F42" s="627" t="str">
        <f>IF(OR(E42&gt;=0.3,E42&lt;=-0.3),"超过30%","")</f>
        <v/>
      </c>
      <c r="G42" s="626">
        <f>IF(G37&lt;G38,G38/G37-1,G37/G38-1)</f>
        <v>3.51570025043344E-2</v>
      </c>
      <c r="H42" s="627" t="str">
        <f>IF(OR(G42&gt;=0.3,G42&lt;=-0.3),"超过30%","")</f>
        <v/>
      </c>
      <c r="I42" s="626">
        <f>IF(I37&lt;I38,I38/I37-1,I37/I38-1)</f>
        <v>4.038566490813178E-2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f>IF(E38&lt;G38,G38/E38-1,E38/G38-1)</f>
        <v>1.8204584858408701E-2</v>
      </c>
      <c r="F43" s="627" t="str">
        <f>IF(OR(E43&gt;=0.2,E43&lt;=-0.2),"超过20%","")</f>
        <v/>
      </c>
      <c r="G43" s="626">
        <f>IF(G38&lt;I38,I38/G38-1,G38/I38-1)</f>
        <v>5.8948179541514101E-2</v>
      </c>
      <c r="H43" s="627" t="str">
        <f>IF(OR(G43&gt;=0.2,G43&lt;=-0.2),"超过20%","")</f>
        <v/>
      </c>
      <c r="I43" s="626">
        <f>IF(I38&lt;E38,E38/I38-1,I38/E38-1)</f>
        <v>4.00151357487466E-2</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f>IF(E37&lt;G37,G37/E37-1,E37/G37-1)</f>
        <v>2.3355354982785848E-2</v>
      </c>
      <c r="F44" s="627" t="str">
        <f>IF(OR(E44&gt;=0.3,E44&lt;=-0.3),"超过30%","")</f>
        <v/>
      </c>
      <c r="G44" s="626">
        <f>IF(G37&lt;I37,I37/G37-1,G37/I37-1)</f>
        <v>6.4297013119940516E-2</v>
      </c>
      <c r="H44" s="627" t="str">
        <f>IF(OR(G44&gt;=0.3,G44&lt;=-0.3),"超过30%","")</f>
        <v/>
      </c>
      <c r="I44" s="626">
        <f>IF(I37&lt;E37,E37/I37-1,I37/E37-1)</f>
        <v>4.0007274049827179E-2</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528</v>
      </c>
      <c r="B48" s="646"/>
      <c r="C48" s="2826" t="str">
        <f>YEAR(C7)&amp;"-"&amp;MONTH(C7)</f>
        <v>2018-9</v>
      </c>
      <c r="D48" s="2828">
        <f>EDATE(C48,-1)</f>
        <v>43313</v>
      </c>
      <c r="E48" s="2828">
        <f t="shared" ref="E48:O48" si="16">EDATE(D48,-1)</f>
        <v>43282</v>
      </c>
      <c r="F48" s="2828">
        <f t="shared" si="16"/>
        <v>43252</v>
      </c>
      <c r="G48" s="2828">
        <f t="shared" si="16"/>
        <v>43221</v>
      </c>
      <c r="H48" s="2828">
        <f t="shared" si="16"/>
        <v>43191</v>
      </c>
      <c r="I48" s="2828">
        <f t="shared" si="16"/>
        <v>43160</v>
      </c>
      <c r="J48" s="2828">
        <f t="shared" si="16"/>
        <v>43132</v>
      </c>
      <c r="K48" s="2828">
        <f t="shared" si="16"/>
        <v>43101</v>
      </c>
      <c r="L48" s="2828">
        <f t="shared" si="16"/>
        <v>43070</v>
      </c>
      <c r="M48" s="2828">
        <f t="shared" si="16"/>
        <v>43040</v>
      </c>
      <c r="N48" s="2828">
        <f t="shared" si="16"/>
        <v>43009</v>
      </c>
      <c r="O48" s="2828">
        <f t="shared" si="16"/>
        <v>42979</v>
      </c>
      <c r="P48" s="2160"/>
      <c r="Q48" s="2161"/>
      <c r="R48" s="2161"/>
      <c r="S48" s="2161"/>
      <c r="T48" s="2161"/>
      <c r="U48" s="2161"/>
      <c r="V48" s="2161"/>
      <c r="W48" s="2161"/>
      <c r="X48" s="2161"/>
      <c r="Y48" s="2161"/>
      <c r="Z48" s="2161"/>
      <c r="AA48" s="2161"/>
      <c r="AB48" s="2161"/>
      <c r="AC48" s="2161"/>
    </row>
    <row r="49" spans="1:29" s="1220" customFormat="1" ht="15">
      <c r="A49" s="647"/>
      <c r="B49" s="648"/>
      <c r="C49" s="2827">
        <v>100</v>
      </c>
      <c r="D49" s="650">
        <v>100</v>
      </c>
      <c r="E49" s="650">
        <v>100</v>
      </c>
      <c r="F49" s="650">
        <v>99.5</v>
      </c>
      <c r="G49" s="650">
        <v>99.5</v>
      </c>
      <c r="H49" s="650">
        <v>99.5</v>
      </c>
      <c r="I49" s="650">
        <v>99</v>
      </c>
      <c r="J49" s="650">
        <v>99</v>
      </c>
      <c r="K49" s="650">
        <v>99</v>
      </c>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98</v>
      </c>
      <c r="E64" s="679">
        <f>D64-$K14</f>
        <v>96</v>
      </c>
      <c r="F64" s="679">
        <f>E64-$K14</f>
        <v>94</v>
      </c>
      <c r="G64" s="679">
        <f>F64-$K14</f>
        <v>92</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98</v>
      </c>
      <c r="E66" s="679">
        <f>D66-$K16</f>
        <v>96</v>
      </c>
      <c r="F66" s="679">
        <f>E66-$K16</f>
        <v>94</v>
      </c>
      <c r="G66" s="679">
        <f>F66-$K16</f>
        <v>92</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2559</v>
      </c>
      <c r="C67" s="2622" t="s">
        <v>2560</v>
      </c>
      <c r="D67" s="2622" t="s">
        <v>2561</v>
      </c>
      <c r="E67" s="2622" t="s">
        <v>2562</v>
      </c>
      <c r="F67" s="2622" t="s">
        <v>2563</v>
      </c>
      <c r="G67" s="2622" t="s">
        <v>2564</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99</v>
      </c>
      <c r="E68" s="679">
        <f>D68-$K18</f>
        <v>98</v>
      </c>
      <c r="F68" s="679">
        <f>E68-$K18</f>
        <v>97</v>
      </c>
      <c r="G68" s="679">
        <f>F68-$K18</f>
        <v>96</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98</v>
      </c>
      <c r="E70" s="679">
        <f>D70-$K20</f>
        <v>96</v>
      </c>
      <c r="F70" s="679">
        <f>E70-$K20</f>
        <v>94</v>
      </c>
      <c r="G70" s="679">
        <f>F70-$K20</f>
        <v>92</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3194" t="s">
        <v>3346</v>
      </c>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98</v>
      </c>
      <c r="E72" s="679">
        <f>D72-$K22</f>
        <v>96</v>
      </c>
      <c r="F72" s="679">
        <f>E72-$K22</f>
        <v>94</v>
      </c>
      <c r="G72" s="679">
        <f>F72-$K22</f>
        <v>92</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t="str">
        <f>C26</f>
        <v>住宅</v>
      </c>
      <c r="D79" s="3225" t="s">
        <v>3344</v>
      </c>
      <c r="E79" s="3225" t="s">
        <v>3345</v>
      </c>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101</v>
      </c>
      <c r="E80" s="679">
        <f t="shared" si="17"/>
        <v>102</v>
      </c>
      <c r="F80" s="679">
        <f t="shared" si="17"/>
        <v>103</v>
      </c>
      <c r="G80" s="679">
        <f t="shared" si="17"/>
        <v>104</v>
      </c>
      <c r="H80" s="679">
        <f t="shared" si="17"/>
        <v>105</v>
      </c>
      <c r="I80" s="679">
        <f t="shared" si="17"/>
        <v>106</v>
      </c>
      <c r="J80" s="679">
        <f t="shared" si="17"/>
        <v>107</v>
      </c>
      <c r="K80" s="679">
        <f t="shared" si="17"/>
        <v>108</v>
      </c>
      <c r="L80" s="679">
        <f t="shared" si="17"/>
        <v>109</v>
      </c>
      <c r="M80" s="680">
        <f t="shared" si="17"/>
        <v>110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3194" t="s">
        <v>3356</v>
      </c>
      <c r="D83" s="3194" t="s">
        <v>3357</v>
      </c>
      <c r="E83" s="3197" t="s">
        <v>3358</v>
      </c>
      <c r="F83" s="3197" t="s">
        <v>3359</v>
      </c>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3225" t="s">
        <v>3351</v>
      </c>
      <c r="D88" s="3225" t="s">
        <v>3352</v>
      </c>
      <c r="E88" s="3225" t="s">
        <v>3353</v>
      </c>
      <c r="F88" s="3225" t="s">
        <v>3354</v>
      </c>
      <c r="G88" s="3225" t="s">
        <v>3355</v>
      </c>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0(含)-20</v>
      </c>
      <c r="D90" s="708" t="str">
        <f t="shared" ref="D90:L90" si="21">D91&amp;"(含)"&amp;"-"&amp;E91</f>
        <v>20(含)-30</v>
      </c>
      <c r="E90" s="708" t="str">
        <f t="shared" si="21"/>
        <v>30(含)-40</v>
      </c>
      <c r="F90" s="708" t="str">
        <f t="shared" si="21"/>
        <v>40(含)-50</v>
      </c>
      <c r="G90" s="708" t="str">
        <f t="shared" si="21"/>
        <v>50(含)-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v>0</v>
      </c>
      <c r="D91" s="730">
        <v>20</v>
      </c>
      <c r="E91" s="730">
        <v>30</v>
      </c>
      <c r="F91" s="730">
        <v>40</v>
      </c>
      <c r="G91" s="730">
        <v>50</v>
      </c>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v>100</v>
      </c>
      <c r="D92" s="671">
        <v>102</v>
      </c>
      <c r="E92" s="671">
        <v>104</v>
      </c>
      <c r="F92" s="671">
        <v>106</v>
      </c>
      <c r="G92" s="671">
        <v>108</v>
      </c>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3194" t="s">
        <v>3349</v>
      </c>
      <c r="D93" s="3194" t="s">
        <v>3350</v>
      </c>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3225" t="s">
        <v>3347</v>
      </c>
      <c r="D95" s="3225" t="s">
        <v>3348</v>
      </c>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98</v>
      </c>
      <c r="E96" s="679">
        <f>D96-$K33</f>
        <v>96</v>
      </c>
      <c r="F96" s="679">
        <f>E96-$K33</f>
        <v>94</v>
      </c>
      <c r="G96" s="679">
        <f>F96-$K33</f>
        <v>92</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1"/>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02" t="s">
        <v>797</v>
      </c>
      <c r="D4" s="3403"/>
      <c r="E4" s="3441" t="s">
        <v>798</v>
      </c>
      <c r="F4" s="3442"/>
      <c r="G4" s="3402" t="s">
        <v>799</v>
      </c>
      <c r="H4" s="3403"/>
      <c r="I4" s="3402" t="s">
        <v>800</v>
      </c>
      <c r="J4" s="3403"/>
      <c r="K4" s="514" t="s">
        <v>801</v>
      </c>
      <c r="L4" s="2133"/>
      <c r="M4" s="2134"/>
      <c r="N4" s="2134"/>
      <c r="O4" s="2134"/>
      <c r="P4" s="3404" t="s">
        <v>802</v>
      </c>
      <c r="Q4" s="3405"/>
      <c r="R4" s="3410" t="s">
        <v>798</v>
      </c>
      <c r="S4" s="3411"/>
      <c r="T4" s="3410" t="s">
        <v>799</v>
      </c>
      <c r="U4" s="3411"/>
      <c r="V4" s="3397" t="s">
        <v>800</v>
      </c>
      <c r="W4" s="3397"/>
      <c r="X4" s="1566"/>
      <c r="Y4" s="3410" t="s">
        <v>802</v>
      </c>
      <c r="Z4" s="3411"/>
      <c r="AA4" s="3399" t="s">
        <v>798</v>
      </c>
      <c r="AB4" s="3400" t="s">
        <v>799</v>
      </c>
      <c r="AC4" s="3399" t="s">
        <v>800</v>
      </c>
    </row>
    <row r="5" spans="1:29" ht="15">
      <c r="A5" s="515"/>
      <c r="B5" s="516"/>
      <c r="C5" s="3435" t="s">
        <v>2926</v>
      </c>
      <c r="D5" s="3436"/>
      <c r="E5" s="3443" t="s">
        <v>2927</v>
      </c>
      <c r="F5" s="3444"/>
      <c r="G5" s="3435" t="s">
        <v>2928</v>
      </c>
      <c r="H5" s="3436"/>
      <c r="I5" s="3435" t="s">
        <v>2929</v>
      </c>
      <c r="J5" s="3436"/>
      <c r="K5" s="514"/>
      <c r="L5" s="2133"/>
      <c r="M5" s="2134"/>
      <c r="N5" s="2134"/>
      <c r="O5" s="2134"/>
      <c r="P5" s="3406"/>
      <c r="Q5" s="3407"/>
      <c r="R5" s="3412"/>
      <c r="S5" s="3413"/>
      <c r="T5" s="3412"/>
      <c r="U5" s="3413"/>
      <c r="V5" s="3397"/>
      <c r="W5" s="3397"/>
      <c r="X5" s="1566"/>
      <c r="Y5" s="3412"/>
      <c r="Z5" s="3413"/>
      <c r="AA5" s="3400"/>
      <c r="AB5" s="3400"/>
      <c r="AC5" s="3400"/>
    </row>
    <row r="6" spans="1:29" ht="15.75" thickBot="1">
      <c r="A6" s="517"/>
      <c r="B6" s="518"/>
      <c r="C6" s="3437" t="s">
        <v>2930</v>
      </c>
      <c r="D6" s="3438"/>
      <c r="E6" s="3439" t="s">
        <v>2930</v>
      </c>
      <c r="F6" s="3440"/>
      <c r="G6" s="3437" t="s">
        <v>2930</v>
      </c>
      <c r="H6" s="3438"/>
      <c r="I6" s="3437" t="s">
        <v>2930</v>
      </c>
      <c r="J6" s="3438"/>
      <c r="K6" s="514" t="s">
        <v>527</v>
      </c>
      <c r="L6" s="2133"/>
      <c r="M6" s="2134"/>
      <c r="N6" s="2134"/>
      <c r="O6" s="2134"/>
      <c r="P6" s="3408"/>
      <c r="Q6" s="3409"/>
      <c r="R6" s="3412"/>
      <c r="S6" s="3413"/>
      <c r="T6" s="3414"/>
      <c r="U6" s="3415"/>
      <c r="V6" s="3397"/>
      <c r="W6" s="3397"/>
      <c r="X6" s="1566"/>
      <c r="Y6" s="3414"/>
      <c r="Z6" s="3415"/>
      <c r="AA6" s="3401"/>
      <c r="AB6" s="3401"/>
      <c r="AC6" s="3401"/>
    </row>
    <row r="7" spans="1:29" s="1220" customFormat="1" ht="15.75" thickBot="1">
      <c r="A7" s="2936"/>
      <c r="B7" s="2943" t="s">
        <v>528</v>
      </c>
      <c r="C7" s="519">
        <f>'数据-取费表'!B2</f>
        <v>43348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28" t="s">
        <v>529</v>
      </c>
      <c r="Q7" s="3430"/>
      <c r="R7" s="1567" t="s">
        <v>8</v>
      </c>
      <c r="S7" s="1568">
        <f t="shared" ref="S7:S14" si="0">F7</f>
        <v>0</v>
      </c>
      <c r="T7" s="1567" t="s">
        <v>8</v>
      </c>
      <c r="U7" s="1568">
        <f t="shared" ref="U7:U14" si="1">H7</f>
        <v>0</v>
      </c>
      <c r="V7" s="1567" t="s">
        <v>8</v>
      </c>
      <c r="W7" s="1568">
        <f t="shared" ref="W7:W14" si="2">J7</f>
        <v>0</v>
      </c>
      <c r="X7" s="1569"/>
      <c r="Y7" s="3428" t="s">
        <v>529</v>
      </c>
      <c r="Z7" s="3429"/>
      <c r="AA7" s="1570" t="e">
        <f>D7/F7</f>
        <v>#DIV/0!</v>
      </c>
      <c r="AB7" s="1570" t="e">
        <f>D7/H7</f>
        <v>#DIV/0!</v>
      </c>
      <c r="AC7" s="1570" t="e">
        <f>D7/J7</f>
        <v>#DIV/0!</v>
      </c>
    </row>
    <row r="8" spans="1:29" s="1220" customFormat="1" ht="15.75" thickBot="1">
      <c r="A8" s="2937"/>
      <c r="B8" s="2944"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28" t="s">
        <v>532</v>
      </c>
      <c r="Q8" s="3429"/>
      <c r="R8" s="1567" t="s">
        <v>8</v>
      </c>
      <c r="S8" s="1568">
        <f t="shared" si="0"/>
        <v>0</v>
      </c>
      <c r="T8" s="1567" t="s">
        <v>8</v>
      </c>
      <c r="U8" s="1568">
        <f t="shared" si="1"/>
        <v>0</v>
      </c>
      <c r="V8" s="1567" t="s">
        <v>8</v>
      </c>
      <c r="W8" s="1568">
        <f t="shared" si="2"/>
        <v>0</v>
      </c>
      <c r="X8" s="1569"/>
      <c r="Y8" s="3428" t="s">
        <v>532</v>
      </c>
      <c r="Z8" s="3429"/>
      <c r="AA8" s="1570" t="e">
        <f t="shared" ref="AA8:AA34" si="3">D8/F8</f>
        <v>#DIV/0!</v>
      </c>
      <c r="AB8" s="1570" t="e">
        <f t="shared" ref="AB8:AB34" si="4">D8/H8</f>
        <v>#DIV/0!</v>
      </c>
      <c r="AC8" s="1570" t="e">
        <f t="shared" ref="AC8:AC34" si="5">D8/J8</f>
        <v>#DIV/0!</v>
      </c>
    </row>
    <row r="9" spans="1:29" s="1220" customFormat="1" ht="15">
      <c r="A9" s="2938"/>
      <c r="B9" s="2945" t="s">
        <v>2756</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96" t="s">
        <v>534</v>
      </c>
      <c r="Q9" s="1151" t="str">
        <f t="shared" ref="Q9:Q14" si="6">B9</f>
        <v>用途</v>
      </c>
      <c r="R9" s="1567" t="s">
        <v>8</v>
      </c>
      <c r="S9" s="1568">
        <f t="shared" si="0"/>
        <v>100</v>
      </c>
      <c r="T9" s="1567" t="s">
        <v>8</v>
      </c>
      <c r="U9" s="1568">
        <f t="shared" si="1"/>
        <v>100</v>
      </c>
      <c r="V9" s="1567" t="s">
        <v>8</v>
      </c>
      <c r="W9" s="1568">
        <f t="shared" si="2"/>
        <v>100</v>
      </c>
      <c r="X9" s="1569"/>
      <c r="Y9" s="3342" t="s">
        <v>535</v>
      </c>
      <c r="Z9" s="1150" t="str">
        <f t="shared" ref="Z9:Z14" si="7">Q9</f>
        <v>用途</v>
      </c>
      <c r="AA9" s="1570">
        <f t="shared" si="3"/>
        <v>1</v>
      </c>
      <c r="AB9" s="1570">
        <f t="shared" si="4"/>
        <v>1</v>
      </c>
      <c r="AC9" s="1570">
        <f t="shared" si="5"/>
        <v>1</v>
      </c>
    </row>
    <row r="10" spans="1:29" s="1338" customFormat="1" ht="27">
      <c r="A10" s="2939"/>
      <c r="B10" s="2944" t="s">
        <v>2757</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96"/>
      <c r="Q10" s="1151" t="str">
        <f t="shared" si="6"/>
        <v>土地使用年限（年）</v>
      </c>
      <c r="R10" s="1567" t="s">
        <v>8</v>
      </c>
      <c r="S10" s="1568">
        <f t="shared" si="0"/>
        <v>100</v>
      </c>
      <c r="T10" s="1567" t="s">
        <v>8</v>
      </c>
      <c r="U10" s="1568">
        <f t="shared" si="1"/>
        <v>100</v>
      </c>
      <c r="V10" s="1567" t="s">
        <v>8</v>
      </c>
      <c r="W10" s="1568">
        <f t="shared" si="2"/>
        <v>100</v>
      </c>
      <c r="X10" s="1569"/>
      <c r="Y10" s="3342"/>
      <c r="Z10" s="1150" t="str">
        <f t="shared" si="7"/>
        <v>土地使用年限（年）</v>
      </c>
      <c r="AA10" s="1570">
        <f t="shared" si="3"/>
        <v>1</v>
      </c>
      <c r="AB10" s="1570">
        <f t="shared" si="4"/>
        <v>1</v>
      </c>
      <c r="AC10" s="1570">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96"/>
      <c r="Q11" s="1151">
        <f t="shared" si="6"/>
        <v>111</v>
      </c>
      <c r="R11" s="1567" t="s">
        <v>8</v>
      </c>
      <c r="S11" s="1568">
        <f t="shared" si="0"/>
        <v>100</v>
      </c>
      <c r="T11" s="1567" t="s">
        <v>8</v>
      </c>
      <c r="U11" s="1568">
        <f t="shared" si="1"/>
        <v>100</v>
      </c>
      <c r="V11" s="1567" t="s">
        <v>8</v>
      </c>
      <c r="W11" s="1568">
        <f t="shared" si="2"/>
        <v>100</v>
      </c>
      <c r="X11" s="1569"/>
      <c r="Y11" s="3342"/>
      <c r="Z11" s="1150">
        <f t="shared" si="7"/>
        <v>111</v>
      </c>
      <c r="AA11" s="1570">
        <f t="shared" si="3"/>
        <v>1</v>
      </c>
      <c r="AB11" s="1570">
        <f t="shared" si="4"/>
        <v>1</v>
      </c>
      <c r="AC11" s="1570">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96"/>
      <c r="Q12" s="1151">
        <f t="shared" si="6"/>
        <v>111</v>
      </c>
      <c r="R12" s="1567" t="s">
        <v>8</v>
      </c>
      <c r="S12" s="1568">
        <f t="shared" si="0"/>
        <v>100</v>
      </c>
      <c r="T12" s="1567" t="s">
        <v>8</v>
      </c>
      <c r="U12" s="1568">
        <f t="shared" si="1"/>
        <v>100</v>
      </c>
      <c r="V12" s="1567" t="s">
        <v>8</v>
      </c>
      <c r="W12" s="1568">
        <f t="shared" si="2"/>
        <v>100</v>
      </c>
      <c r="X12" s="1569"/>
      <c r="Y12" s="3342"/>
      <c r="Z12" s="1150">
        <f t="shared" si="7"/>
        <v>111</v>
      </c>
      <c r="AA12" s="1570">
        <f>D12/F12</f>
        <v>1</v>
      </c>
      <c r="AB12" s="1570">
        <f>D12/H12</f>
        <v>1</v>
      </c>
      <c r="AC12" s="1570">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96"/>
      <c r="Q13" s="1151">
        <f t="shared" si="6"/>
        <v>111</v>
      </c>
      <c r="R13" s="1567" t="s">
        <v>8</v>
      </c>
      <c r="S13" s="1568">
        <f t="shared" si="0"/>
        <v>100</v>
      </c>
      <c r="T13" s="1567" t="s">
        <v>8</v>
      </c>
      <c r="U13" s="1568">
        <f t="shared" si="1"/>
        <v>100</v>
      </c>
      <c r="V13" s="1567" t="s">
        <v>8</v>
      </c>
      <c r="W13" s="1568">
        <f t="shared" si="2"/>
        <v>100</v>
      </c>
      <c r="X13" s="1569"/>
      <c r="Y13" s="3342"/>
      <c r="Z13" s="1150">
        <f t="shared" si="7"/>
        <v>111</v>
      </c>
      <c r="AA13" s="1570">
        <f t="shared" si="3"/>
        <v>1</v>
      </c>
      <c r="AB13" s="1570">
        <f t="shared" si="4"/>
        <v>1</v>
      </c>
      <c r="AC13" s="1570">
        <f t="shared" si="5"/>
        <v>1</v>
      </c>
    </row>
    <row r="14" spans="1:29" ht="171">
      <c r="A14" s="2934" t="s">
        <v>2754</v>
      </c>
      <c r="B14" s="166"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31" t="s">
        <v>539</v>
      </c>
      <c r="Q14" s="1571" t="str">
        <f t="shared" si="6"/>
        <v>交通便捷度</v>
      </c>
      <c r="R14" s="1572" t="s">
        <v>8</v>
      </c>
      <c r="S14" s="1573">
        <f t="shared" si="0"/>
        <v>100</v>
      </c>
      <c r="T14" s="1572" t="s">
        <v>8</v>
      </c>
      <c r="U14" s="1573">
        <f t="shared" si="1"/>
        <v>100</v>
      </c>
      <c r="V14" s="1572" t="s">
        <v>8</v>
      </c>
      <c r="W14" s="1573">
        <f t="shared" si="2"/>
        <v>100</v>
      </c>
      <c r="X14" s="1566"/>
      <c r="Y14" s="3431"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32"/>
      <c r="Q15" s="1571"/>
      <c r="R15" s="1572"/>
      <c r="S15" s="1573"/>
      <c r="T15" s="1572"/>
      <c r="U15" s="1573"/>
      <c r="V15" s="1572"/>
      <c r="W15" s="1573"/>
      <c r="X15" s="1566"/>
      <c r="Y15" s="3432"/>
      <c r="Z15" s="1574"/>
      <c r="AA15" s="1575">
        <v>1</v>
      </c>
      <c r="AB15" s="1575">
        <v>1</v>
      </c>
      <c r="AC15" s="1575">
        <v>1</v>
      </c>
    </row>
    <row r="16" spans="1:29" ht="171">
      <c r="A16" s="532"/>
      <c r="B16" s="2627"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32"/>
      <c r="Q16" s="1571" t="str">
        <f>B16</f>
        <v>公共配套设施</v>
      </c>
      <c r="R16" s="1572" t="s">
        <v>8</v>
      </c>
      <c r="S16" s="1573">
        <f>F16</f>
        <v>100</v>
      </c>
      <c r="T16" s="1572" t="s">
        <v>8</v>
      </c>
      <c r="U16" s="1573">
        <f>H16</f>
        <v>100</v>
      </c>
      <c r="V16" s="1572" t="s">
        <v>8</v>
      </c>
      <c r="W16" s="1573">
        <f>J16</f>
        <v>100</v>
      </c>
      <c r="X16" s="1566"/>
      <c r="Y16" s="3432"/>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32"/>
      <c r="Q17" s="1571"/>
      <c r="R17" s="1572"/>
      <c r="S17" s="1573"/>
      <c r="T17" s="1572"/>
      <c r="U17" s="1573"/>
      <c r="V17" s="1572"/>
      <c r="W17" s="1573"/>
      <c r="X17" s="1566"/>
      <c r="Y17" s="3432"/>
      <c r="Z17" s="1574"/>
      <c r="AA17" s="1575">
        <v>1</v>
      </c>
      <c r="AB17" s="1575">
        <v>1</v>
      </c>
      <c r="AC17" s="1575">
        <v>1</v>
      </c>
    </row>
    <row r="18" spans="1:29" ht="28.5">
      <c r="A18" s="532"/>
      <c r="B18" s="2615"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32"/>
      <c r="Q18" s="2603" t="str">
        <f>B18</f>
        <v>基础设施水平</v>
      </c>
      <c r="R18" s="1572" t="s">
        <v>8</v>
      </c>
      <c r="S18" s="1573">
        <f>F18</f>
        <v>100</v>
      </c>
      <c r="T18" s="1572" t="s">
        <v>8</v>
      </c>
      <c r="U18" s="1573">
        <f>H18</f>
        <v>100</v>
      </c>
      <c r="V18" s="1572" t="s">
        <v>8</v>
      </c>
      <c r="W18" s="1573">
        <f>J18</f>
        <v>100</v>
      </c>
      <c r="X18" s="2605"/>
      <c r="Y18" s="3432"/>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432"/>
      <c r="Q19" s="2603"/>
      <c r="R19" s="1572"/>
      <c r="S19" s="1573"/>
      <c r="T19" s="1572"/>
      <c r="U19" s="1573"/>
      <c r="V19" s="1572"/>
      <c r="W19" s="1573"/>
      <c r="X19" s="2605"/>
      <c r="Y19" s="3432"/>
      <c r="Z19" s="2604"/>
      <c r="AA19" s="1575">
        <v>1</v>
      </c>
      <c r="AB19" s="1575">
        <v>1</v>
      </c>
      <c r="AC19" s="1575">
        <v>1</v>
      </c>
    </row>
    <row r="20" spans="1:29" ht="85.5">
      <c r="A20" s="532"/>
      <c r="B20" s="871" t="s">
        <v>803</v>
      </c>
      <c r="C20" s="872" t="str">
        <f>IF(B1="工业",估价对象房地状况!G7,估价对象房地状况!C9)</f>
        <v>区域自然环境：无；人文环境有北京北大资源研修学院、；综合评价环境状况一般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32"/>
      <c r="Q20" s="1571" t="str">
        <f>B20</f>
        <v>自然及人文环境</v>
      </c>
      <c r="R20" s="1572" t="s">
        <v>8</v>
      </c>
      <c r="S20" s="1573">
        <f>F20</f>
        <v>100</v>
      </c>
      <c r="T20" s="1572" t="s">
        <v>8</v>
      </c>
      <c r="U20" s="1573">
        <f>H20</f>
        <v>100</v>
      </c>
      <c r="V20" s="1572" t="s">
        <v>8</v>
      </c>
      <c r="W20" s="1573">
        <f>J20</f>
        <v>100</v>
      </c>
      <c r="X20" s="1566"/>
      <c r="Y20" s="3432"/>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32"/>
      <c r="Q21" s="1571"/>
      <c r="R21" s="1572"/>
      <c r="S21" s="1573"/>
      <c r="T21" s="1572"/>
      <c r="U21" s="1573"/>
      <c r="V21" s="1572"/>
      <c r="W21" s="1573"/>
      <c r="X21" s="1566"/>
      <c r="Y21" s="3432"/>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32"/>
      <c r="Q22" s="1571" t="str">
        <f>B22</f>
        <v>楼层</v>
      </c>
      <c r="R22" s="1572" t="s">
        <v>8</v>
      </c>
      <c r="S22" s="1573">
        <f>F22</f>
        <v>100</v>
      </c>
      <c r="T22" s="1572" t="s">
        <v>8</v>
      </c>
      <c r="U22" s="1573">
        <f>H22</f>
        <v>100</v>
      </c>
      <c r="V22" s="1572" t="s">
        <v>8</v>
      </c>
      <c r="W22" s="1573">
        <f>J22</f>
        <v>100</v>
      </c>
      <c r="X22" s="1566"/>
      <c r="Y22" s="3432"/>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32"/>
      <c r="Q23" s="1571">
        <f>B23</f>
        <v>111</v>
      </c>
      <c r="R23" s="1572" t="s">
        <v>8</v>
      </c>
      <c r="S23" s="1573">
        <f>F23</f>
        <v>100</v>
      </c>
      <c r="T23" s="1572" t="s">
        <v>8</v>
      </c>
      <c r="U23" s="1573">
        <f>H23</f>
        <v>100</v>
      </c>
      <c r="V23" s="1572" t="s">
        <v>8</v>
      </c>
      <c r="W23" s="1573">
        <f>J23</f>
        <v>100</v>
      </c>
      <c r="X23" s="1566"/>
      <c r="Y23" s="3432"/>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32"/>
      <c r="Q24" s="1571">
        <f t="shared" ref="Q24:Q34" si="11">B24</f>
        <v>111</v>
      </c>
      <c r="R24" s="1572" t="s">
        <v>8</v>
      </c>
      <c r="S24" s="1573">
        <f>F24</f>
        <v>100</v>
      </c>
      <c r="T24" s="1572" t="s">
        <v>8</v>
      </c>
      <c r="U24" s="1573">
        <f>H24</f>
        <v>100</v>
      </c>
      <c r="V24" s="1572" t="s">
        <v>8</v>
      </c>
      <c r="W24" s="1573">
        <f>J24</f>
        <v>100</v>
      </c>
      <c r="X24" s="1566"/>
      <c r="Y24" s="3432"/>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32"/>
      <c r="Q25" s="1151">
        <f t="shared" si="11"/>
        <v>111</v>
      </c>
      <c r="R25" s="1567" t="s">
        <v>8</v>
      </c>
      <c r="S25" s="1568">
        <f>F25</f>
        <v>100</v>
      </c>
      <c r="T25" s="1567" t="s">
        <v>8</v>
      </c>
      <c r="U25" s="1568">
        <f>H25</f>
        <v>100</v>
      </c>
      <c r="V25" s="1567" t="s">
        <v>8</v>
      </c>
      <c r="W25" s="1568">
        <f>J25</f>
        <v>100</v>
      </c>
      <c r="X25" s="1569"/>
      <c r="Y25" s="3432"/>
      <c r="Z25" s="1150">
        <f>Q25</f>
        <v>111</v>
      </c>
      <c r="AA25" s="1575">
        <f>D25/F25</f>
        <v>1</v>
      </c>
      <c r="AB25" s="1575">
        <f>D25/H25</f>
        <v>1</v>
      </c>
      <c r="AC25" s="1575">
        <f>D25/J25</f>
        <v>1</v>
      </c>
    </row>
    <row r="26" spans="1:29" ht="15">
      <c r="A26" s="2931" t="s">
        <v>2755</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33"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34"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34"/>
      <c r="Q27" s="1604" t="str">
        <f t="shared" si="11"/>
        <v>成新率</v>
      </c>
      <c r="R27" s="1576" t="s">
        <v>8</v>
      </c>
      <c r="S27" s="1577" t="e">
        <f t="shared" si="12"/>
        <v>#N/A</v>
      </c>
      <c r="T27" s="1576" t="s">
        <v>8</v>
      </c>
      <c r="U27" s="1577" t="e">
        <f t="shared" si="13"/>
        <v>#N/A</v>
      </c>
      <c r="V27" s="1576" t="s">
        <v>8</v>
      </c>
      <c r="W27" s="1577" t="e">
        <f t="shared" si="14"/>
        <v>#N/A</v>
      </c>
      <c r="X27" s="1578"/>
      <c r="Y27" s="3434"/>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34"/>
      <c r="Q28" s="1571" t="str">
        <f t="shared" si="11"/>
        <v>物业等级</v>
      </c>
      <c r="R28" s="1572" t="s">
        <v>8</v>
      </c>
      <c r="S28" s="1573">
        <f t="shared" si="12"/>
        <v>100</v>
      </c>
      <c r="T28" s="1572" t="s">
        <v>8</v>
      </c>
      <c r="U28" s="1573">
        <f t="shared" si="13"/>
        <v>100</v>
      </c>
      <c r="V28" s="1572" t="s">
        <v>8</v>
      </c>
      <c r="W28" s="1573">
        <f t="shared" si="14"/>
        <v>100</v>
      </c>
      <c r="X28" s="1566"/>
      <c r="Y28" s="3434"/>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34"/>
      <c r="Q29" s="1571" t="str">
        <f t="shared" si="11"/>
        <v>有无电梯</v>
      </c>
      <c r="R29" s="1572" t="s">
        <v>8</v>
      </c>
      <c r="S29" s="1573">
        <f t="shared" si="12"/>
        <v>100</v>
      </c>
      <c r="T29" s="1572" t="s">
        <v>8</v>
      </c>
      <c r="U29" s="1573">
        <f t="shared" si="13"/>
        <v>100</v>
      </c>
      <c r="V29" s="1572" t="s">
        <v>8</v>
      </c>
      <c r="W29" s="1573">
        <f t="shared" si="14"/>
        <v>100</v>
      </c>
      <c r="X29" s="1566"/>
      <c r="Y29" s="3434"/>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34"/>
      <c r="Q30" s="1571" t="str">
        <f t="shared" si="11"/>
        <v>建筑面积</v>
      </c>
      <c r="R30" s="1572" t="s">
        <v>8</v>
      </c>
      <c r="S30" s="1573" t="e">
        <f t="shared" si="12"/>
        <v>#N/A</v>
      </c>
      <c r="T30" s="1572" t="s">
        <v>8</v>
      </c>
      <c r="U30" s="1573" t="e">
        <f t="shared" si="13"/>
        <v>#N/A</v>
      </c>
      <c r="V30" s="1572" t="s">
        <v>8</v>
      </c>
      <c r="W30" s="1573" t="e">
        <f t="shared" si="14"/>
        <v>#N/A</v>
      </c>
      <c r="X30" s="1566"/>
      <c r="Y30" s="3434"/>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34"/>
      <c r="Q31" s="1151" t="str">
        <f t="shared" si="11"/>
        <v>是否封闭</v>
      </c>
      <c r="R31" s="1567" t="s">
        <v>8</v>
      </c>
      <c r="S31" s="1568">
        <f t="shared" si="12"/>
        <v>100</v>
      </c>
      <c r="T31" s="1567" t="s">
        <v>8</v>
      </c>
      <c r="U31" s="1568">
        <f t="shared" si="13"/>
        <v>100</v>
      </c>
      <c r="V31" s="1567" t="s">
        <v>8</v>
      </c>
      <c r="W31" s="1568">
        <f t="shared" si="14"/>
        <v>100</v>
      </c>
      <c r="X31" s="1569"/>
      <c r="Y31" s="3434"/>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34" t="s">
        <v>549</v>
      </c>
      <c r="Q32" s="1571">
        <f t="shared" si="11"/>
        <v>111</v>
      </c>
      <c r="R32" s="1572" t="s">
        <v>8</v>
      </c>
      <c r="S32" s="1573">
        <f t="shared" si="12"/>
        <v>100</v>
      </c>
      <c r="T32" s="1572" t="s">
        <v>8</v>
      </c>
      <c r="U32" s="1573">
        <f t="shared" si="13"/>
        <v>100</v>
      </c>
      <c r="V32" s="1572" t="s">
        <v>8</v>
      </c>
      <c r="W32" s="1573">
        <f t="shared" si="14"/>
        <v>100</v>
      </c>
      <c r="X32" s="1566"/>
      <c r="Y32" s="3434"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34"/>
      <c r="Q33" s="1571">
        <f t="shared" si="11"/>
        <v>111</v>
      </c>
      <c r="R33" s="1572" t="s">
        <v>8</v>
      </c>
      <c r="S33" s="1573">
        <f t="shared" si="12"/>
        <v>100</v>
      </c>
      <c r="T33" s="1572" t="s">
        <v>8</v>
      </c>
      <c r="U33" s="1573">
        <f t="shared" si="13"/>
        <v>100</v>
      </c>
      <c r="V33" s="1572" t="s">
        <v>8</v>
      </c>
      <c r="W33" s="1573">
        <f t="shared" si="14"/>
        <v>100</v>
      </c>
      <c r="X33" s="1566"/>
      <c r="Y33" s="3434"/>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34"/>
      <c r="Q34" s="1571">
        <f t="shared" si="11"/>
        <v>111</v>
      </c>
      <c r="R34" s="1572" t="s">
        <v>8</v>
      </c>
      <c r="S34" s="1573">
        <f t="shared" si="12"/>
        <v>100</v>
      </c>
      <c r="T34" s="1572" t="s">
        <v>8</v>
      </c>
      <c r="U34" s="1573">
        <f t="shared" si="13"/>
        <v>100</v>
      </c>
      <c r="V34" s="1572" t="s">
        <v>8</v>
      </c>
      <c r="W34" s="1573">
        <f t="shared" si="14"/>
        <v>100</v>
      </c>
      <c r="X34" s="1566"/>
      <c r="Y34" s="3434"/>
      <c r="Z34" s="1574">
        <f t="shared" si="15"/>
        <v>111</v>
      </c>
      <c r="AA34" s="1575">
        <f t="shared" si="3"/>
        <v>1</v>
      </c>
      <c r="AB34" s="1575">
        <f t="shared" si="4"/>
        <v>1</v>
      </c>
      <c r="AC34" s="1575">
        <f t="shared" si="5"/>
        <v>1</v>
      </c>
    </row>
    <row r="35" spans="1:29" ht="15">
      <c r="A35" s="607" t="s">
        <v>735</v>
      </c>
      <c r="B35" s="887"/>
      <c r="C35" s="2651" t="s">
        <v>1</v>
      </c>
      <c r="D35" s="2652"/>
      <c r="E35" s="2653"/>
      <c r="F35" s="2654"/>
      <c r="G35" s="2655"/>
      <c r="H35" s="2656"/>
      <c r="I35" s="2653"/>
      <c r="J35" s="2656"/>
      <c r="K35" s="1610"/>
      <c r="L35" s="2144"/>
      <c r="M35" s="2145"/>
      <c r="N35" s="2134"/>
      <c r="O35" s="2145"/>
      <c r="P35" s="3396" t="str">
        <f>A35</f>
        <v>成交单价（元/平方米）</v>
      </c>
      <c r="Q35" s="3396"/>
      <c r="R35" s="3514">
        <f>E35</f>
        <v>0</v>
      </c>
      <c r="S35" s="3514"/>
      <c r="T35" s="3514">
        <f>G35</f>
        <v>0</v>
      </c>
      <c r="U35" s="3514"/>
      <c r="V35" s="3514">
        <f>I35</f>
        <v>0</v>
      </c>
      <c r="W35" s="3514"/>
      <c r="X35" s="1558"/>
      <c r="Y35" s="1580"/>
      <c r="Z35" s="1558"/>
      <c r="AA35" s="1558"/>
      <c r="AB35" s="1558"/>
      <c r="AC35" s="1558"/>
    </row>
    <row r="36" spans="1:29" ht="15.75" thickBot="1">
      <c r="A36" s="615" t="s">
        <v>2760</v>
      </c>
      <c r="B36" s="888"/>
      <c r="C36" s="2657" t="e">
        <f>R37</f>
        <v>#DIV/0!</v>
      </c>
      <c r="D36" s="2658"/>
      <c r="E36" s="2659" t="e">
        <f>R36</f>
        <v>#DIV/0!</v>
      </c>
      <c r="F36" s="2659"/>
      <c r="G36" s="2657" t="e">
        <f>T36</f>
        <v>#DIV/0!</v>
      </c>
      <c r="H36" s="2658"/>
      <c r="I36" s="2659" t="e">
        <f>V36</f>
        <v>#DIV/0!</v>
      </c>
      <c r="J36" s="2658"/>
      <c r="K36" s="1611"/>
      <c r="L36" s="2144"/>
      <c r="M36" s="2145"/>
      <c r="N36" s="2134"/>
      <c r="O36" s="2145"/>
      <c r="P36" s="3396" t="str">
        <f>A36</f>
        <v>比较价格（元/平方米）</v>
      </c>
      <c r="Q36" s="3396"/>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58"/>
      <c r="Y36" s="1558"/>
      <c r="Z36" s="1558"/>
      <c r="AA36" s="1558"/>
      <c r="AB36" s="1558"/>
      <c r="AC36" s="1558"/>
    </row>
    <row r="37" spans="1:29" ht="15.75" thickBot="1">
      <c r="A37" s="621" t="s">
        <v>2932</v>
      </c>
      <c r="B37" s="622"/>
      <c r="C37" s="2660" t="e">
        <f>R37</f>
        <v>#DIV/0!</v>
      </c>
      <c r="D37" s="2660"/>
      <c r="E37" s="2660"/>
      <c r="F37" s="2660"/>
      <c r="G37" s="2660"/>
      <c r="H37" s="2660"/>
      <c r="I37" s="2660"/>
      <c r="J37" s="2660"/>
      <c r="K37" s="1612"/>
      <c r="L37" s="2144"/>
      <c r="M37" s="2145"/>
      <c r="N37" s="2145"/>
      <c r="O37" s="2145"/>
      <c r="P37" s="3393" t="str">
        <f>A37</f>
        <v>估价对象XX用房的比较价格（楼面单价，元/平方米）</v>
      </c>
      <c r="Q37" s="3394"/>
      <c r="R37" s="3513" t="e">
        <f>IF(F1="售价",ROUND(AVERAGE(R36:V36),0),ROUND(AVERAGE(R36:V36),1))</f>
        <v>#DIV/0!</v>
      </c>
      <c r="S37" s="3513"/>
      <c r="T37" s="3513"/>
      <c r="U37" s="3513"/>
      <c r="V37" s="3513"/>
      <c r="W37" s="3513"/>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5">
      <c r="A46" s="645" t="s">
        <v>528</v>
      </c>
      <c r="B46" s="646"/>
      <c r="C46" s="2826" t="str">
        <f>YEAR(C7)&amp;"-"&amp;MONTH(C7)</f>
        <v>2018-9</v>
      </c>
      <c r="D46" s="2828">
        <f>EDATE(C46,-1)</f>
        <v>43313</v>
      </c>
      <c r="E46" s="2828">
        <f t="shared" ref="E46:O46" si="16">EDATE(D46,-1)</f>
        <v>43282</v>
      </c>
      <c r="F46" s="2828">
        <f t="shared" si="16"/>
        <v>43252</v>
      </c>
      <c r="G46" s="2828">
        <f t="shared" si="16"/>
        <v>43221</v>
      </c>
      <c r="H46" s="2828">
        <f t="shared" si="16"/>
        <v>43191</v>
      </c>
      <c r="I46" s="2828">
        <f t="shared" si="16"/>
        <v>43160</v>
      </c>
      <c r="J46" s="2828">
        <f t="shared" si="16"/>
        <v>43132</v>
      </c>
      <c r="K46" s="2828">
        <f t="shared" si="16"/>
        <v>43101</v>
      </c>
      <c r="L46" s="2828">
        <f t="shared" si="16"/>
        <v>43070</v>
      </c>
      <c r="M46" s="2828">
        <f t="shared" si="16"/>
        <v>43040</v>
      </c>
      <c r="N46" s="2828">
        <f t="shared" si="16"/>
        <v>43009</v>
      </c>
      <c r="O46" s="2828">
        <f t="shared" si="16"/>
        <v>42979</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2559</v>
      </c>
      <c r="C65" s="2622" t="s">
        <v>2560</v>
      </c>
      <c r="D65" s="2622" t="s">
        <v>2561</v>
      </c>
      <c r="E65" s="2622" t="s">
        <v>2562</v>
      </c>
      <c r="F65" s="2622" t="s">
        <v>2563</v>
      </c>
      <c r="G65" s="2622" t="s">
        <v>2564</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27" t="s">
        <v>2304</v>
      </c>
      <c r="D1" s="3528"/>
      <c r="E1" s="3528"/>
      <c r="F1" s="3528"/>
      <c r="G1" s="3528"/>
      <c r="H1" s="3528"/>
      <c r="I1" s="3528"/>
      <c r="J1" s="3528"/>
      <c r="K1" s="3528"/>
      <c r="L1" s="3528"/>
      <c r="M1" s="3528"/>
      <c r="N1" s="3528"/>
      <c r="O1" s="3528"/>
      <c r="P1" s="3528"/>
      <c r="Q1" s="3528"/>
      <c r="R1" s="3528"/>
      <c r="S1" s="3529"/>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0" t="s">
        <v>2925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2" t="s">
        <v>2924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2" t="s">
        <v>2923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0" t="s">
        <v>2938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0" t="s">
        <v>2922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0" t="s">
        <v>2921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24" t="s">
        <v>20</v>
      </c>
      <c r="D22" s="3525"/>
      <c r="E22" s="3525"/>
      <c r="F22" s="3525"/>
      <c r="G22" s="3525"/>
      <c r="H22" s="3525"/>
      <c r="I22" s="3525"/>
      <c r="J22" s="3525"/>
      <c r="K22" s="3525"/>
      <c r="L22" s="3525"/>
      <c r="M22" s="3525"/>
      <c r="N22" s="3525"/>
      <c r="O22" s="3525"/>
      <c r="P22" s="3525"/>
      <c r="Q22" s="3526"/>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2788</v>
      </c>
      <c r="C1" s="3028">
        <f>项目基本情况!D3</f>
        <v>43348</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2819</v>
      </c>
      <c r="C2" s="3029">
        <f>'数据-取费表'!B22</f>
        <v>2</v>
      </c>
      <c r="D2" s="3024" t="s">
        <v>2789</v>
      </c>
      <c r="E2" s="3027">
        <f ca="1">INDIRECT("I"&amp;$I$1)/100</f>
        <v>4.7500000000000001E-2</v>
      </c>
      <c r="G2" s="2964"/>
      <c r="H2" s="2964"/>
      <c r="I2" s="2964" t="s">
        <v>2790</v>
      </c>
      <c r="K2" s="2964"/>
      <c r="L2" s="2964"/>
      <c r="M2" s="2964"/>
      <c r="N2" s="2964" t="s">
        <v>2791</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2821</v>
      </c>
      <c r="C3" s="3026">
        <f>'数据-取费表'!B19</f>
        <v>0</v>
      </c>
      <c r="D3" s="3024" t="s">
        <v>2789</v>
      </c>
      <c r="E3" s="3027">
        <f ca="1">INDIRECT("J"&amp;$J$1)/100</f>
        <v>0</v>
      </c>
      <c r="G3" s="2966" t="s">
        <v>2792</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2820</v>
      </c>
      <c r="C4" s="3027">
        <f ca="1">N4/100</f>
        <v>1.4999999999999999E-2</v>
      </c>
      <c r="G4" s="2972" t="s">
        <v>2793</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2794</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2795</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2796</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2797</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2798</v>
      </c>
      <c r="C10" s="2991"/>
      <c r="D10" s="2991"/>
      <c r="E10" s="2991"/>
      <c r="F10" s="2991"/>
      <c r="G10" s="2991"/>
      <c r="H10" s="2991"/>
      <c r="I10" s="2965"/>
      <c r="J10" s="2965"/>
      <c r="K10" s="2991"/>
      <c r="L10" s="2992" t="s">
        <v>2799</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2800</v>
      </c>
      <c r="C11" s="2996" t="s">
        <v>2801</v>
      </c>
      <c r="D11" s="2997" t="s">
        <v>2802</v>
      </c>
      <c r="E11" s="2998"/>
      <c r="F11" s="2997" t="s">
        <v>2803</v>
      </c>
      <c r="G11" s="2999"/>
      <c r="H11" s="2998"/>
      <c r="I11" s="2997" t="s">
        <v>2804</v>
      </c>
      <c r="J11" s="2998"/>
      <c r="K11" s="2994"/>
      <c r="L11" s="2995" t="s">
        <v>2800</v>
      </c>
      <c r="M11" s="2996" t="s">
        <v>2801</v>
      </c>
      <c r="N11" s="2995" t="s">
        <v>2805</v>
      </c>
      <c r="O11" s="2997" t="s">
        <v>2806</v>
      </c>
      <c r="P11" s="2999"/>
      <c r="Q11" s="2999"/>
      <c r="R11" s="2999"/>
      <c r="S11" s="2999"/>
      <c r="T11" s="2998"/>
      <c r="U11" s="2997" t="s">
        <v>2807</v>
      </c>
      <c r="V11" s="2999"/>
      <c r="W11" s="2998"/>
      <c r="X11" s="2995" t="s">
        <v>2808</v>
      </c>
      <c r="Y11" s="2995" t="s">
        <v>2809</v>
      </c>
      <c r="Z11" s="2995" t="s">
        <v>2810</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2811</v>
      </c>
      <c r="E12" s="3004" t="s">
        <v>2812</v>
      </c>
      <c r="F12" s="3004" t="s">
        <v>2813</v>
      </c>
      <c r="G12" s="3004" t="s">
        <v>2814</v>
      </c>
      <c r="H12" s="3004" t="s">
        <v>2796</v>
      </c>
      <c r="I12" s="3005" t="s">
        <v>2815</v>
      </c>
      <c r="J12" s="3005" t="s">
        <v>2815</v>
      </c>
      <c r="K12" s="3001"/>
      <c r="L12" s="3002"/>
      <c r="M12" s="3003"/>
      <c r="N12" s="3002"/>
      <c r="O12" s="3005" t="s">
        <v>2816</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2817</v>
      </c>
      <c r="C13" s="3009">
        <v>42301</v>
      </c>
      <c r="D13" s="3010">
        <v>4.3499999999999996</v>
      </c>
      <c r="E13" s="3010">
        <v>4.3499999999999996</v>
      </c>
      <c r="F13" s="3010">
        <v>4.75</v>
      </c>
      <c r="G13" s="3010">
        <v>4.75</v>
      </c>
      <c r="H13" s="3010">
        <v>4.9000000000000004</v>
      </c>
      <c r="I13" s="3010">
        <v>2.75</v>
      </c>
      <c r="J13" s="3010">
        <v>3.25</v>
      </c>
      <c r="K13" s="3007"/>
      <c r="L13" s="3008" t="s">
        <v>2817</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2818</v>
      </c>
      <c r="Y42" s="3014" t="s">
        <v>2818</v>
      </c>
      <c r="Z42" s="3014" t="s">
        <v>2818</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2818</v>
      </c>
      <c r="Y43" s="3014" t="s">
        <v>2818</v>
      </c>
      <c r="Z43" s="3014" t="s">
        <v>2818</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2818</v>
      </c>
      <c r="Y44" s="3014" t="s">
        <v>2818</v>
      </c>
      <c r="Z44" s="3014" t="s">
        <v>2818</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2818</v>
      </c>
      <c r="Y45" s="3014" t="s">
        <v>2818</v>
      </c>
      <c r="Z45" s="3014" t="s">
        <v>2818</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2818</v>
      </c>
      <c r="Y46" s="3014" t="s">
        <v>2818</v>
      </c>
      <c r="Z46" s="3014" t="s">
        <v>2818</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2818</v>
      </c>
      <c r="Y47" s="3014" t="s">
        <v>2818</v>
      </c>
      <c r="Z47" s="3014" t="s">
        <v>2818</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2818</v>
      </c>
      <c r="Y48" s="3014" t="s">
        <v>2818</v>
      </c>
      <c r="Z48" s="3014" t="s">
        <v>2818</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2818</v>
      </c>
      <c r="Y49" s="3014" t="s">
        <v>2818</v>
      </c>
      <c r="Z49" s="3014" t="s">
        <v>2818</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2818</v>
      </c>
      <c r="Y50" s="3014" t="s">
        <v>2818</v>
      </c>
      <c r="Z50" s="3014" t="s">
        <v>2818</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2818</v>
      </c>
      <c r="V51" s="3014" t="s">
        <v>2818</v>
      </c>
      <c r="W51" s="3014" t="s">
        <v>2818</v>
      </c>
      <c r="X51" s="3014" t="s">
        <v>2818</v>
      </c>
      <c r="Y51" s="3014" t="s">
        <v>2818</v>
      </c>
      <c r="Z51" s="3014" t="s">
        <v>2818</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2818</v>
      </c>
      <c r="J55" s="3014" t="s">
        <v>2818</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2038</v>
      </c>
      <c r="B1" s="3232"/>
      <c r="C1" s="3232"/>
      <c r="D1" s="3232"/>
      <c r="E1" s="3232"/>
      <c r="F1" s="3232"/>
      <c r="G1" s="3232"/>
      <c r="H1" s="3232"/>
      <c r="I1" s="3232"/>
      <c r="J1" s="3232"/>
      <c r="K1" s="3232"/>
      <c r="L1" s="3232"/>
      <c r="M1" s="3232"/>
      <c r="N1" s="3232"/>
      <c r="O1" s="3232"/>
      <c r="P1" s="3232"/>
      <c r="Q1" s="3232"/>
      <c r="R1" s="3232"/>
    </row>
    <row r="2" spans="1:18">
      <c r="A2" s="1807" t="s">
        <v>2040</v>
      </c>
      <c r="B2" s="1807"/>
      <c r="C2" s="1807"/>
      <c r="D2" s="1807"/>
      <c r="E2" s="1807"/>
      <c r="F2" s="1807"/>
      <c r="G2" s="1807"/>
      <c r="H2" s="1807"/>
      <c r="I2" s="1808"/>
      <c r="J2" s="1808"/>
      <c r="K2" s="1809" t="str">
        <f>"估价期日："&amp;TEXT(项目基本情况!D3,"yyyy年m月d日;;")</f>
        <v>估价期日：2018年9月5日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3" t="s">
        <v>2029</v>
      </c>
      <c r="B3" s="3233" t="s">
        <v>2731</v>
      </c>
      <c r="C3" s="3234" t="s">
        <v>2030</v>
      </c>
      <c r="D3" s="3233" t="s">
        <v>2735</v>
      </c>
      <c r="E3" s="3236" t="s">
        <v>2031</v>
      </c>
      <c r="F3" s="3236"/>
      <c r="G3" s="3236"/>
      <c r="H3" s="3236" t="s">
        <v>2032</v>
      </c>
      <c r="I3" s="3236"/>
      <c r="J3" s="3236"/>
      <c r="K3" s="3234" t="s">
        <v>2033</v>
      </c>
      <c r="L3" s="3234" t="s">
        <v>2034</v>
      </c>
      <c r="M3" s="3233" t="s">
        <v>2732</v>
      </c>
      <c r="N3" s="3235" t="str">
        <f>"（分摊）"&amp;项目基本情况!B16&amp;"国有建设用地使用权面积/㎡"</f>
        <v>（分摊）出让国有建设用地使用权面积/㎡</v>
      </c>
      <c r="O3" s="3233" t="s">
        <v>2063</v>
      </c>
      <c r="P3" s="3234" t="s">
        <v>2043</v>
      </c>
      <c r="Q3" s="3234" t="s">
        <v>2064</v>
      </c>
      <c r="R3" s="3234" t="s">
        <v>2035</v>
      </c>
    </row>
    <row r="4" spans="1:18" ht="36.75" customHeight="1">
      <c r="A4" s="3233"/>
      <c r="B4" s="3233"/>
      <c r="C4" s="3234"/>
      <c r="D4" s="3233"/>
      <c r="E4" s="2673" t="s">
        <v>2042</v>
      </c>
      <c r="F4" s="2673" t="s">
        <v>2744</v>
      </c>
      <c r="G4" s="2673" t="s">
        <v>2036</v>
      </c>
      <c r="H4" s="2673" t="s">
        <v>2037</v>
      </c>
      <c r="I4" s="2673" t="s">
        <v>2745</v>
      </c>
      <c r="J4" s="2673" t="s">
        <v>2036</v>
      </c>
      <c r="K4" s="3234"/>
      <c r="L4" s="3234"/>
      <c r="M4" s="3233"/>
      <c r="N4" s="3235"/>
      <c r="O4" s="3233"/>
      <c r="P4" s="3234"/>
      <c r="Q4" s="3234"/>
      <c r="R4" s="3234"/>
    </row>
    <row r="5" spans="1:18" ht="135" customHeight="1">
      <c r="A5" s="1943" t="s">
        <v>2655</v>
      </c>
      <c r="B5" s="2891" t="s">
        <v>2653</v>
      </c>
      <c r="C5" s="2672">
        <v>22</v>
      </c>
      <c r="D5" s="2671" t="s">
        <v>2654</v>
      </c>
      <c r="E5" s="1810" t="str">
        <f>项目基本情况!B12</f>
        <v>R2二类居住用地</v>
      </c>
      <c r="F5" s="2671">
        <v>258</v>
      </c>
      <c r="G5" s="1810" t="str">
        <f>项目基本情况!B13</f>
        <v>住宅</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41849.370000000003</v>
      </c>
      <c r="O5" s="1810">
        <f>项目基本情况!C21</f>
        <v>152440.46</v>
      </c>
      <c r="P5" s="1810">
        <f ca="1">结果表!E42</f>
        <v>77080</v>
      </c>
      <c r="Q5" s="1810">
        <f ca="1">结果表!D42</f>
        <v>21161</v>
      </c>
      <c r="R5" s="1811">
        <f ca="1">结果表!C42</f>
        <v>322575</v>
      </c>
    </row>
    <row r="6" spans="1:18">
      <c r="A6" s="3229" t="str">
        <f>IF(项目基本情况!B9="市场价格","——","抵押价格")</f>
        <v>抵押价格</v>
      </c>
      <c r="B6" s="3230"/>
      <c r="C6" s="3230"/>
      <c r="D6" s="3230"/>
      <c r="E6" s="3230"/>
      <c r="F6" s="3230"/>
      <c r="G6" s="3230"/>
      <c r="H6" s="3230"/>
      <c r="I6" s="3230"/>
      <c r="J6" s="3230"/>
      <c r="K6" s="3230"/>
      <c r="L6" s="3230"/>
      <c r="M6" s="3230"/>
      <c r="N6" s="3230"/>
      <c r="O6" s="3230"/>
      <c r="P6" s="3230"/>
      <c r="Q6" s="3231"/>
      <c r="R6" s="1812">
        <f ca="1">结果表!O39</f>
        <v>322575</v>
      </c>
    </row>
    <row r="7" spans="1:18">
      <c r="A7" s="3229" t="str">
        <f>IF(项目基本情况!B9="市场价格","——",IF(项目基本情况!E8="已注销及未注销","抵押担保权已注销时的抵押价格","——"))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812" t="str">
        <f>结果表!O40</f>
        <v>——</v>
      </c>
    </row>
    <row r="8" spans="1:18">
      <c r="A8" s="3229" t="str">
        <f>IF(项目基本情况!B9="市场价格","——",项目基本情况!E9)</f>
        <v>——</v>
      </c>
      <c r="B8" s="3230"/>
      <c r="C8" s="3230"/>
      <c r="D8" s="3230"/>
      <c r="E8" s="3230"/>
      <c r="F8" s="3230"/>
      <c r="G8" s="3230"/>
      <c r="H8" s="3230"/>
      <c r="I8" s="3230"/>
      <c r="J8" s="3230"/>
      <c r="K8" s="3230"/>
      <c r="L8" s="3230"/>
      <c r="M8" s="3230"/>
      <c r="N8" s="3230"/>
      <c r="O8" s="3230"/>
      <c r="P8" s="3230"/>
      <c r="Q8" s="3231"/>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38" t="s">
        <v>2065</v>
      </c>
      <c r="B1" s="3238"/>
      <c r="C1" s="3238"/>
      <c r="D1" s="3238"/>
    </row>
    <row r="2" spans="1:4" ht="47.25" customHeight="1">
      <c r="A2" s="3239" t="str">
        <f>"1.权利限制："&amp;项目基本情况!L24&amp;"未设定租赁等其他他项权利。"</f>
        <v>1.权利限制：根据估价对象《不动产权证书》复印件、《不动产权证书》复印件，截至估价期日，估价对象抵押权未见登记。未设定租赁等其他他项权利。</v>
      </c>
      <c r="B2" s="3239"/>
      <c r="C2" s="3239"/>
      <c r="D2" s="3239"/>
    </row>
    <row r="3" spans="1:4" ht="48" customHeight="1">
      <c r="A3" s="323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8"/>
      <c r="C3" s="3238"/>
      <c r="D3" s="3238"/>
    </row>
    <row r="4" spans="1:4" ht="36.75" customHeight="1">
      <c r="A4" s="3238" t="str">
        <f>"3.估价规划限制条件：详见"&amp;项目基本情况!E21&amp;"。"</f>
        <v>3.估价规划限制条件：详见《建设工程规划许可证》[]、《出让合同》[]。</v>
      </c>
      <c r="B4" s="3238"/>
      <c r="C4" s="3238"/>
      <c r="D4" s="3238"/>
    </row>
    <row r="5" spans="1:4">
      <c r="A5" s="3237" t="s">
        <v>2066</v>
      </c>
      <c r="B5" s="3237"/>
      <c r="C5" s="3237"/>
      <c r="D5" s="3237"/>
    </row>
    <row r="6" spans="1:4">
      <c r="A6" s="3238" t="s">
        <v>2044</v>
      </c>
      <c r="B6" s="3238"/>
      <c r="C6" s="3238"/>
      <c r="D6" s="3238"/>
    </row>
    <row r="7" spans="1:4" ht="33" customHeight="1">
      <c r="A7" s="3238" t="s">
        <v>2576</v>
      </c>
      <c r="B7" s="3238"/>
      <c r="C7" s="3238"/>
      <c r="D7" s="3238"/>
    </row>
    <row r="8" spans="1:4" ht="32.25" customHeight="1">
      <c r="A8" s="32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8"/>
      <c r="C8" s="3238"/>
      <c r="D8" s="3238"/>
    </row>
    <row r="9" spans="1:4" ht="33.75" customHeight="1">
      <c r="A9" s="32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8"/>
      <c r="C9" s="3238"/>
      <c r="D9" s="3238"/>
    </row>
    <row r="10" spans="1:4">
      <c r="A10" s="3238" t="str">
        <f>IF(项目基本情况!B8="抵押","4.估价师所知悉的法定优先受偿款情况为：","——")</f>
        <v>4.估价师所知悉的法定优先受偿款情况为：</v>
      </c>
      <c r="B10" s="3238"/>
      <c r="C10" s="3238"/>
      <c r="D10" s="3238"/>
    </row>
    <row r="11" spans="1:4" ht="37.5" customHeight="1">
      <c r="A11" s="3240" t="str">
        <f>IF(项目基本情况!B8="抵押","（1）"&amp;CONCATENATE(项目基本情况!L24,项目基本情况!L25,项目基本情况!L26),"——")</f>
        <v>（1）根据估价对象《不动产权证书》复印件、《不动产权证书》复印件，截至估价期日，估价对象抵押权未见登记。</v>
      </c>
      <c r="B11" s="3240"/>
      <c r="C11" s="3240"/>
      <c r="D11" s="3240"/>
    </row>
    <row r="12" spans="1:4" ht="168" customHeight="1">
      <c r="A12" s="3237" t="s">
        <v>2068</v>
      </c>
      <c r="B12" s="3237"/>
      <c r="C12" s="3237"/>
      <c r="D12" s="3237"/>
    </row>
    <row r="13" spans="1:4">
      <c r="A13" s="3241" t="s">
        <v>2746</v>
      </c>
      <c r="B13" s="3241"/>
      <c r="C13" s="3241"/>
      <c r="D13" s="3241"/>
    </row>
    <row r="14" spans="1:4">
      <c r="A14" s="3240" t="str">
        <f>IF(项目基本情况!B8="抵押","综上，"&amp;结果表!K47,"——")</f>
        <v>综上，本次评估不存在估价师知悉的法定优先受偿款</v>
      </c>
      <c r="B14" s="3240"/>
      <c r="C14" s="3240"/>
      <c r="D14" s="3240"/>
    </row>
    <row r="15" spans="1:4" ht="58.5" customHeight="1">
      <c r="A15" s="32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8"/>
      <c r="C15" s="3238"/>
      <c r="D15" s="3238"/>
    </row>
    <row r="16" spans="1:4" ht="70.5" customHeight="1">
      <c r="A16" s="32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8"/>
      <c r="C16" s="3238"/>
      <c r="D16" s="3238"/>
    </row>
    <row r="17" spans="1:4">
      <c r="A17" s="3238" t="s">
        <v>2702</v>
      </c>
      <c r="B17" s="3238"/>
      <c r="C17" s="3238"/>
      <c r="D17" s="3238"/>
    </row>
    <row r="18" spans="1:4">
      <c r="A18" s="3238" t="s">
        <v>2694</v>
      </c>
      <c r="B18" s="3238"/>
      <c r="C18" s="3238"/>
      <c r="D18" s="3238"/>
    </row>
    <row r="19" spans="1:4">
      <c r="A19" s="2892" t="s">
        <v>2695</v>
      </c>
      <c r="B19" s="2892" t="s">
        <v>2696</v>
      </c>
      <c r="C19" s="2892" t="s">
        <v>2697</v>
      </c>
      <c r="D19" s="2892" t="s">
        <v>2698</v>
      </c>
    </row>
    <row r="20" spans="1:4">
      <c r="A20" s="2892" t="str">
        <f>项目基本情况!B4</f>
        <v>欧红伟</v>
      </c>
      <c r="B20" s="2892">
        <f ca="1">项目基本情况!C4</f>
        <v>2000110082</v>
      </c>
      <c r="C20" s="2894"/>
      <c r="D20" s="1800" t="s">
        <v>2703</v>
      </c>
    </row>
    <row r="21" spans="1:4">
      <c r="A21" s="2892" t="str">
        <f>项目基本情况!D4</f>
        <v>崔锴</v>
      </c>
      <c r="B21" s="2892">
        <f ca="1">项目基本情况!E4</f>
        <v>2010110070</v>
      </c>
      <c r="C21" s="2894"/>
      <c r="D21" s="1800" t="s">
        <v>2704</v>
      </c>
    </row>
    <row r="23" spans="1:4">
      <c r="A23" s="3238" t="s">
        <v>2699</v>
      </c>
      <c r="B23" s="3238"/>
      <c r="C23" s="3238"/>
      <c r="D23" s="3238"/>
    </row>
    <row r="24" spans="1:4">
      <c r="A24" s="2892" t="s">
        <v>2695</v>
      </c>
      <c r="B24" s="2892" t="s">
        <v>2700</v>
      </c>
      <c r="C24" s="2892" t="s">
        <v>2697</v>
      </c>
      <c r="D24" s="2892" t="s">
        <v>2698</v>
      </c>
    </row>
    <row r="25" spans="1:4">
      <c r="A25" s="2895" t="s">
        <v>2701</v>
      </c>
      <c r="B25" s="2892" t="s">
        <v>951</v>
      </c>
      <c r="C25" s="2894"/>
      <c r="D25" s="1800" t="s">
        <v>2704</v>
      </c>
    </row>
    <row r="29" spans="1:4">
      <c r="D29" s="2893" t="s">
        <v>2039</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49" t="s">
        <v>53</v>
      </c>
      <c r="B15" s="3250" t="s">
        <v>845</v>
      </c>
      <c r="C15" s="3246"/>
    </row>
    <row r="16" spans="1:7" ht="14.25">
      <c r="A16" s="3249"/>
      <c r="B16" s="3247" t="s">
        <v>54</v>
      </c>
      <c r="C16" s="1172" t="s">
        <v>53</v>
      </c>
    </row>
    <row r="17" spans="1:3" ht="14.25">
      <c r="A17" s="3249"/>
      <c r="B17" s="3247"/>
      <c r="C17" s="1172" t="s">
        <v>55</v>
      </c>
    </row>
    <row r="18" spans="1:3" ht="14.25">
      <c r="A18" s="3249"/>
      <c r="B18" s="3247"/>
      <c r="C18" s="1172" t="s">
        <v>56</v>
      </c>
    </row>
    <row r="19" spans="1:3" ht="14.25">
      <c r="A19" s="3249"/>
      <c r="B19" s="3245" t="s">
        <v>57</v>
      </c>
      <c r="C19" s="3246"/>
    </row>
    <row r="20" spans="1:3" ht="14.25">
      <c r="A20" s="1173" t="s">
        <v>58</v>
      </c>
      <c r="B20" s="1174"/>
      <c r="C20" s="1175"/>
    </row>
    <row r="21" spans="1:3" ht="14.25">
      <c r="A21" s="3248" t="s">
        <v>59</v>
      </c>
      <c r="B21" s="3245" t="s">
        <v>60</v>
      </c>
      <c r="C21" s="3246"/>
    </row>
    <row r="22" spans="1:3" ht="14.25">
      <c r="A22" s="3248"/>
      <c r="B22" s="3245" t="s">
        <v>61</v>
      </c>
      <c r="C22" s="3246"/>
    </row>
    <row r="23" spans="1:3" ht="14.25">
      <c r="A23" s="3248"/>
      <c r="B23" s="3245" t="s">
        <v>62</v>
      </c>
      <c r="C23" s="3246"/>
    </row>
    <row r="24" spans="1:3" ht="14.25">
      <c r="A24" s="3248"/>
      <c r="B24" s="3251" t="s">
        <v>63</v>
      </c>
      <c r="C24" s="1176" t="s">
        <v>836</v>
      </c>
    </row>
    <row r="25" spans="1:3" ht="14.25">
      <c r="A25" s="3248"/>
      <c r="B25" s="3252"/>
      <c r="C25" s="1176" t="s">
        <v>837</v>
      </c>
    </row>
    <row r="26" spans="1:3" ht="14.25">
      <c r="A26" s="3248"/>
      <c r="B26" s="3252"/>
      <c r="C26" s="1176" t="s">
        <v>838</v>
      </c>
    </row>
    <row r="27" spans="1:3" ht="14.25">
      <c r="A27" s="3248"/>
      <c r="B27" s="3252"/>
      <c r="C27" s="1176" t="s">
        <v>839</v>
      </c>
    </row>
    <row r="28" spans="1:3" ht="14.25">
      <c r="A28" s="3248"/>
      <c r="B28" s="3252"/>
      <c r="C28" s="1176" t="s">
        <v>840</v>
      </c>
    </row>
    <row r="29" spans="1:3" ht="14.25">
      <c r="A29" s="3248"/>
      <c r="B29" s="3252"/>
      <c r="C29" s="1176" t="s">
        <v>841</v>
      </c>
    </row>
    <row r="30" spans="1:3" ht="14.25">
      <c r="A30" s="3248"/>
      <c r="B30" s="3252"/>
      <c r="C30" s="1176" t="s">
        <v>842</v>
      </c>
    </row>
    <row r="31" spans="1:3" ht="14.25">
      <c r="A31" s="3248"/>
      <c r="B31" s="3252"/>
      <c r="C31" s="1176" t="s">
        <v>843</v>
      </c>
    </row>
    <row r="32" spans="1:3" ht="14.25">
      <c r="A32" s="3248"/>
      <c r="B32" s="3252"/>
      <c r="C32" s="1176" t="s">
        <v>1646</v>
      </c>
    </row>
    <row r="33" spans="1:3" ht="14.25">
      <c r="A33" s="3248"/>
      <c r="B33" s="3242" t="s">
        <v>1652</v>
      </c>
      <c r="C33" s="1176" t="s">
        <v>1647</v>
      </c>
    </row>
    <row r="34" spans="1:3" ht="14.25">
      <c r="A34" s="3248"/>
      <c r="B34" s="3243"/>
      <c r="C34" s="1181" t="s">
        <v>1648</v>
      </c>
    </row>
    <row r="35" spans="1:3" ht="14.25">
      <c r="A35" s="3248"/>
      <c r="B35" s="3243"/>
      <c r="C35" s="1182" t="s">
        <v>1649</v>
      </c>
    </row>
    <row r="36" spans="1:3" ht="14.25">
      <c r="A36" s="3248"/>
      <c r="B36" s="3243"/>
      <c r="C36" s="1182" t="s">
        <v>1650</v>
      </c>
    </row>
    <row r="37" spans="1:3" ht="14.25">
      <c r="A37" s="3248"/>
      <c r="B37" s="3244"/>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43348</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0">
        <v>43849</v>
      </c>
      <c r="D4" s="2343" t="s">
        <v>1914</v>
      </c>
      <c r="E4" s="2343">
        <f ca="1">IF(F4&lt;B2,"已过期",96010014)</f>
        <v>96010014</v>
      </c>
      <c r="F4" s="3031">
        <v>47118</v>
      </c>
    </row>
    <row r="5" spans="1:6" ht="20.25" customHeight="1">
      <c r="A5" s="2343" t="s">
        <v>1915</v>
      </c>
      <c r="B5" s="2343">
        <f ca="1">IF(C5&lt;B2,"已过期",1119970074)</f>
        <v>1119970074</v>
      </c>
      <c r="C5" s="3030">
        <v>43849</v>
      </c>
      <c r="D5" s="2343" t="s">
        <v>1915</v>
      </c>
      <c r="E5" s="2343">
        <f ca="1">IF(F5&lt;B2,"已过期",2002110027)</f>
        <v>2002110027</v>
      </c>
      <c r="F5" s="3031">
        <v>46752</v>
      </c>
    </row>
    <row r="6" spans="1:6" ht="20.25" customHeight="1">
      <c r="A6" s="2343" t="s">
        <v>1916</v>
      </c>
      <c r="B6" s="2343">
        <f ca="1">IF(C6&lt;B2,"已过期",1119970111)</f>
        <v>1119970111</v>
      </c>
      <c r="C6" s="3030">
        <v>43849</v>
      </c>
      <c r="D6" s="2343" t="s">
        <v>1916</v>
      </c>
      <c r="E6" s="2343">
        <f ca="1">IF(F6&lt;B2,"已过期",94010078)</f>
        <v>94010078</v>
      </c>
      <c r="F6" s="3031">
        <v>46387</v>
      </c>
    </row>
    <row r="7" spans="1:6" ht="20.25" customHeight="1">
      <c r="A7" s="2343" t="s">
        <v>1917</v>
      </c>
      <c r="B7" s="2343">
        <f ca="1">IF(C7&lt;B2,"已过期",1120050019)</f>
        <v>1120050019</v>
      </c>
      <c r="C7" s="3030">
        <v>43359</v>
      </c>
      <c r="D7" s="2343" t="s">
        <v>1917</v>
      </c>
      <c r="E7" s="2343">
        <f ca="1">IF(F7&lt;B2,"已过期",2002110030)</f>
        <v>2002110030</v>
      </c>
      <c r="F7" s="3031">
        <v>46387</v>
      </c>
    </row>
    <row r="8" spans="1:6" ht="20.25" customHeight="1">
      <c r="A8" s="2343" t="s">
        <v>1918</v>
      </c>
      <c r="B8" s="2343">
        <f ca="1">IF(C8&lt;B2,"已过期",1120000080)</f>
        <v>1120000080</v>
      </c>
      <c r="C8" s="3030">
        <v>43849</v>
      </c>
      <c r="D8" s="2343" t="s">
        <v>1918</v>
      </c>
      <c r="E8" s="2343">
        <f ca="1">IF(F8&lt;B2,"已过期",2000110082)</f>
        <v>2000110082</v>
      </c>
      <c r="F8" s="3031">
        <v>46387</v>
      </c>
    </row>
    <row r="9" spans="1:6" ht="20.25" customHeight="1">
      <c r="A9" s="2343" t="s">
        <v>1919</v>
      </c>
      <c r="B9" s="2343">
        <f ca="1">IF(C9&lt;B2,"已过期",1419970001)</f>
        <v>1419970001</v>
      </c>
      <c r="C9" s="3030">
        <v>43867</v>
      </c>
      <c r="D9" s="2343" t="s">
        <v>1919</v>
      </c>
      <c r="E9" s="2343">
        <f ca="1">IF(F9&lt;B2,"已过期",2002110125)</f>
        <v>2002110125</v>
      </c>
      <c r="F9" s="3031">
        <v>47118</v>
      </c>
    </row>
    <row r="10" spans="1:6" ht="20.25" customHeight="1">
      <c r="A10" s="2343" t="s">
        <v>1920</v>
      </c>
      <c r="B10" s="2343">
        <f ca="1">IF(C10&lt;B2,"已过期",1120060040)</f>
        <v>1120060040</v>
      </c>
      <c r="C10" s="3030">
        <v>43483</v>
      </c>
      <c r="D10" s="2343" t="s">
        <v>1920</v>
      </c>
      <c r="E10" s="2343">
        <f ca="1">IF(F10&lt;B2,"已过期",2004110096)</f>
        <v>2004110096</v>
      </c>
      <c r="F10" s="3031">
        <v>47118</v>
      </c>
    </row>
    <row r="11" spans="1:6" ht="20.25" customHeight="1">
      <c r="A11" s="2343" t="s">
        <v>1921</v>
      </c>
      <c r="B11" s="2343">
        <f ca="1">IF(C11&lt;B2,"已过期",1120100036)</f>
        <v>1120100036</v>
      </c>
      <c r="C11" s="3030">
        <v>43622</v>
      </c>
      <c r="D11" s="2343" t="s">
        <v>1921</v>
      </c>
      <c r="E11" s="2343">
        <f ca="1">IF(F11&lt;B2,"已过期",2010110070)</f>
        <v>2010110070</v>
      </c>
      <c r="F11" s="3031">
        <v>47907</v>
      </c>
    </row>
    <row r="12" spans="1:6" ht="20.25" customHeight="1">
      <c r="A12" s="2343"/>
      <c r="B12" s="2343"/>
      <c r="C12" s="3030"/>
      <c r="D12" s="2343"/>
      <c r="E12" s="2343"/>
      <c r="F12" s="2343"/>
    </row>
    <row r="13" spans="1:6" ht="20.25" customHeight="1">
      <c r="A13" s="2343" t="s">
        <v>1922</v>
      </c>
      <c r="B13" s="2343">
        <f ca="1">IF(C13&lt;B2,"已过期",1120070131)</f>
        <v>1120070131</v>
      </c>
      <c r="C13" s="3030">
        <v>43814</v>
      </c>
      <c r="D13" s="2343" t="s">
        <v>1922</v>
      </c>
      <c r="E13" s="2343">
        <v>2014110011</v>
      </c>
      <c r="F13" s="3031">
        <v>49302</v>
      </c>
    </row>
    <row r="14" spans="1:6" ht="20.25" customHeight="1">
      <c r="A14" s="2343" t="s">
        <v>1923</v>
      </c>
      <c r="B14" s="2343">
        <f ca="1">IF(C14&lt;B2,"已过期",1120130020)</f>
        <v>1120130020</v>
      </c>
      <c r="C14" s="3030">
        <v>43622</v>
      </c>
      <c r="D14" s="2343"/>
      <c r="E14" s="2343"/>
      <c r="F14" s="2343"/>
    </row>
    <row r="15" spans="1:6" ht="20.25" customHeight="1">
      <c r="A15" s="2343" t="s">
        <v>2575</v>
      </c>
      <c r="B15" s="2343">
        <v>1120070085</v>
      </c>
      <c r="C15" s="3030">
        <v>43814</v>
      </c>
      <c r="D15" s="2343" t="s">
        <v>2575</v>
      </c>
      <c r="E15" s="2343">
        <v>2004110128</v>
      </c>
      <c r="F15" s="3031">
        <v>47118</v>
      </c>
    </row>
    <row r="16" spans="1:6" ht="20.25" customHeight="1">
      <c r="A16" s="2343" t="s">
        <v>1924</v>
      </c>
      <c r="B16" s="2343">
        <f ca="1">IF(C16&lt;B2,"已过期",1120140022)</f>
        <v>1120140022</v>
      </c>
      <c r="C16" s="3030">
        <v>44029</v>
      </c>
      <c r="D16" s="2343" t="s">
        <v>1924</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1925</v>
      </c>
      <c r="E21" s="2343">
        <f ca="1">IF(F21&lt;B2,"已过期",2011110090)</f>
        <v>2011110090</v>
      </c>
      <c r="F21" s="3031">
        <v>48302</v>
      </c>
    </row>
    <row r="22" spans="1:7" ht="20.25" customHeight="1">
      <c r="A22" s="2343" t="s">
        <v>1926</v>
      </c>
      <c r="B22" s="2343" t="str">
        <f ca="1">IF(C22&lt;B2,"已过期",1120020033)</f>
        <v>已过期</v>
      </c>
      <c r="C22" s="3030">
        <v>43304</v>
      </c>
      <c r="D22" s="2343" t="s">
        <v>1926</v>
      </c>
      <c r="E22" s="2343">
        <f ca="1">IF(F22&lt;B2,"已过期",2000110137)</f>
        <v>2000110137</v>
      </c>
      <c r="F22" s="3031">
        <v>46387</v>
      </c>
    </row>
    <row r="23" spans="1:7" ht="20.25" customHeight="1">
      <c r="A23" s="2343" t="s">
        <v>1927</v>
      </c>
      <c r="B23" s="2343">
        <f ca="1">IF(C23&lt;B2,"已过期",1120130048)</f>
        <v>1120130048</v>
      </c>
      <c r="C23" s="3030">
        <v>43686</v>
      </c>
      <c r="D23" s="2343"/>
      <c r="E23" s="2343"/>
      <c r="F23" s="2343"/>
    </row>
    <row r="24" spans="1:7" s="2347" customFormat="1" ht="20.25" customHeight="1">
      <c r="A24" s="2345" t="s">
        <v>2053</v>
      </c>
      <c r="B24" s="2345" t="s">
        <v>2053</v>
      </c>
      <c r="C24" s="3030"/>
      <c r="D24" s="3032" t="s">
        <v>2053</v>
      </c>
      <c r="E24" s="2345" t="s">
        <v>2053</v>
      </c>
      <c r="F24" s="2346"/>
    </row>
    <row r="25" spans="1:7" ht="20.25" customHeight="1">
      <c r="A25" s="3253" t="s">
        <v>1928</v>
      </c>
      <c r="B25" s="3253"/>
      <c r="C25" s="3253"/>
      <c r="D25" s="3253"/>
      <c r="E25" s="3253"/>
      <c r="F25" s="3253"/>
      <c r="G25" s="3253"/>
    </row>
    <row r="26" spans="1:7" ht="20.25" customHeight="1">
      <c r="A26" s="3254" t="s">
        <v>1929</v>
      </c>
      <c r="B26" s="3254"/>
      <c r="C26" s="3254"/>
      <c r="D26" s="3254" t="s">
        <v>1930</v>
      </c>
      <c r="E26" s="3254"/>
      <c r="F26" s="3254"/>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2546</v>
      </c>
      <c r="R1" s="2606" t="s">
        <v>2540</v>
      </c>
      <c r="S1" s="6" t="s">
        <v>145</v>
      </c>
      <c r="T1" s="7" t="s">
        <v>146</v>
      </c>
      <c r="U1" s="6" t="s">
        <v>147</v>
      </c>
      <c r="V1" s="6" t="s">
        <v>148</v>
      </c>
      <c r="W1" s="1004"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c r="A6" s="8" t="s">
        <v>99</v>
      </c>
      <c r="B6" s="1149" t="s">
        <v>1640</v>
      </c>
      <c r="C6" s="1552"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c r="A7" s="8" t="s">
        <v>102</v>
      </c>
      <c r="B7" s="8" t="s">
        <v>103</v>
      </c>
      <c r="C7" s="1550" t="s">
        <v>1714</v>
      </c>
      <c r="F7" s="9" t="s">
        <v>153</v>
      </c>
      <c r="H7" s="9" t="s">
        <v>104</v>
      </c>
      <c r="I7" s="9" t="s">
        <v>105</v>
      </c>
    </row>
    <row r="8" spans="1:23">
      <c r="A8" s="8" t="s">
        <v>106</v>
      </c>
      <c r="B8" s="1149" t="s">
        <v>3011</v>
      </c>
      <c r="C8" s="1550" t="s">
        <v>1715</v>
      </c>
      <c r="F8" s="9" t="s">
        <v>154</v>
      </c>
      <c r="H8" s="9"/>
      <c r="I8" s="9" t="s">
        <v>107</v>
      </c>
    </row>
    <row r="9" spans="1:23">
      <c r="A9" s="8" t="s">
        <v>108</v>
      </c>
      <c r="B9" s="8" t="s">
        <v>155</v>
      </c>
      <c r="C9" s="1550" t="s">
        <v>1716</v>
      </c>
      <c r="F9" s="9" t="s">
        <v>109</v>
      </c>
      <c r="H9" s="9"/>
    </row>
    <row r="10" spans="1:23">
      <c r="A10" s="8" t="s">
        <v>110</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37" t="s">
        <v>2955</v>
      </c>
      <c r="C18" s="1553"/>
    </row>
    <row r="19" spans="1:3">
      <c r="A19" s="8" t="s">
        <v>119</v>
      </c>
      <c r="B19" s="3137" t="s">
        <v>2963</v>
      </c>
      <c r="C19" s="1553"/>
    </row>
    <row r="20" spans="1:3">
      <c r="A20" s="8" t="s">
        <v>120</v>
      </c>
      <c r="B20" s="1149" t="s">
        <v>3013</v>
      </c>
      <c r="C20" s="1553"/>
    </row>
    <row r="21" spans="1:3">
      <c r="A21" s="8" t="s">
        <v>121</v>
      </c>
      <c r="B21" s="1149" t="s">
        <v>3015</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建邦中铁房地产开发有限公司拟使用北京市海淀区“海淀北部地区整体开发”西北旺镇亮甲店村HD00-0404-6006地块R2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55"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5日，在规划利用条件下、设定土地开发程度为红线外“七通”、宗地内场地平整，设定用途为住宅，剩余土地使用年限为的出让国有建设用地使用权价格。</v>
      </c>
      <c r="D53" s="1767"/>
      <c r="E53" s="1767"/>
    </row>
    <row r="54" spans="1:5">
      <c r="A54" s="3255"/>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55"/>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55"/>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55"/>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不动产收益法-库房</vt:lpstr>
      <vt:lpstr>不动产收益法-车库</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2018-09-05T01:51:08Z</dcterms:modified>
</cp:coreProperties>
</file>