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D:\桌面\2022-1-0242平谷联东U谷\"/>
    </mc:Choice>
  </mc:AlternateContent>
  <xr:revisionPtr revIDLastSave="0" documentId="13_ncr:1_{8D2D32EB-AA33-4E24-8349-319A3747902F}" xr6:coauthVersionLast="47" xr6:coauthVersionMax="47" xr10:uidLastSave="{00000000-0000-0000-0000-000000000000}"/>
  <bookViews>
    <workbookView xWindow="-120" yWindow="-120" windowWidth="19440" windowHeight="1500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9"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工业" sheetId="40" r:id="rId21"/>
    <sheet name="土地比较法-住宅、综合" sheetId="39" state="hidden" r:id="rId22"/>
    <sheet name="收益法" sheetId="15" r:id="rId23"/>
    <sheet name="土地案例" sheetId="7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6" i="1" l="1"/>
  <c r="O19" i="1"/>
  <c r="N19" i="1"/>
  <c r="D3" i="4"/>
  <c r="I36" i="15" l="1"/>
  <c r="H41" i="68"/>
  <c r="H33" i="68"/>
  <c r="H27" i="68"/>
  <c r="H22" i="68"/>
  <c r="J8" i="68"/>
  <c r="D27" i="74" l="1"/>
  <c r="I34" i="40"/>
  <c r="G34" i="40"/>
  <c r="E34" i="40"/>
  <c r="D66" i="40"/>
  <c r="E66" i="40" s="1"/>
  <c r="F66" i="40" s="1"/>
  <c r="G66" i="40" s="1"/>
  <c r="H66" i="40" s="1"/>
  <c r="I66" i="40" s="1"/>
  <c r="J66" i="40" s="1"/>
  <c r="K66" i="40" s="1"/>
  <c r="L66" i="40" s="1"/>
  <c r="M66" i="40" s="1"/>
  <c r="I7" i="40"/>
  <c r="G7" i="40"/>
  <c r="E7" i="40"/>
  <c r="I5" i="40"/>
  <c r="G5" i="40"/>
  <c r="E5" i="40"/>
  <c r="V4" i="78"/>
  <c r="I46" i="39" s="1"/>
  <c r="V3" i="78"/>
  <c r="G46" i="39" s="1"/>
  <c r="V2" i="78"/>
  <c r="E41" i="40" s="1"/>
  <c r="E46" i="39"/>
  <c r="I5" i="39"/>
  <c r="G5" i="39"/>
  <c r="E5" i="39"/>
  <c r="F6" i="79"/>
  <c r="D14" i="9"/>
  <c r="I38" i="39"/>
  <c r="G38" i="39"/>
  <c r="E38" i="39"/>
  <c r="D71" i="39"/>
  <c r="E71" i="39" s="1"/>
  <c r="F71" i="39" s="1"/>
  <c r="G71" i="39" s="1"/>
  <c r="H71" i="39" s="1"/>
  <c r="I71" i="39" s="1"/>
  <c r="J71" i="39" s="1"/>
  <c r="K71" i="39" s="1"/>
  <c r="L71" i="39" s="1"/>
  <c r="M71" i="39" s="1"/>
  <c r="I7" i="39"/>
  <c r="G7" i="39"/>
  <c r="E7" i="39"/>
  <c r="P7" i="78"/>
  <c r="Q7" i="78" s="1"/>
  <c r="R7" i="78" s="1"/>
  <c r="O7" i="78"/>
  <c r="Q6" i="78"/>
  <c r="R6" i="78" s="1"/>
  <c r="P6" i="78"/>
  <c r="O6" i="78"/>
  <c r="P5" i="78"/>
  <c r="Q5" i="78" s="1"/>
  <c r="R5" i="78" s="1"/>
  <c r="O5" i="78"/>
  <c r="P4" i="78"/>
  <c r="Q4" i="78" s="1"/>
  <c r="R4" i="78" s="1"/>
  <c r="O4" i="78"/>
  <c r="Q3" i="78"/>
  <c r="R3" i="78" s="1"/>
  <c r="P3" i="78"/>
  <c r="O3" i="78"/>
  <c r="P2" i="78"/>
  <c r="Q2" i="78" s="1"/>
  <c r="R2" i="78" s="1"/>
  <c r="O2" i="78"/>
  <c r="G41" i="40" l="1"/>
  <c r="I41" i="40"/>
  <c r="Y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D9" i="43"/>
  <c r="AD12" i="43" s="1"/>
  <c r="AC9" i="43"/>
  <c r="AC12" i="43" s="1"/>
  <c r="AB9" i="43"/>
  <c r="AB12" i="43" s="1"/>
  <c r="AA9" i="43"/>
  <c r="AA12" i="43" s="1"/>
  <c r="Z9" i="43"/>
  <c r="Z12" i="43" s="1"/>
  <c r="AA10" i="43"/>
  <c r="AB10" i="43"/>
  <c r="AF10" i="43"/>
  <c r="AJ10" i="43"/>
  <c r="K49" i="9"/>
  <c r="E107" i="9"/>
  <c r="A122" i="9" s="1"/>
  <c r="A8" i="52"/>
  <c r="E111" i="9"/>
  <c r="A126" i="9" s="1"/>
  <c r="A12" i="52" s="1"/>
  <c r="B56" i="72"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D65" i="71" s="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c r="Q35" i="71"/>
  <c r="AB35" i="71"/>
  <c r="P35" i="71"/>
  <c r="O35" i="71"/>
  <c r="Y35" i="71" s="1"/>
  <c r="Z35" i="71" s="1"/>
  <c r="N35" i="71"/>
  <c r="Q34" i="71"/>
  <c r="P34" i="71"/>
  <c r="O34" i="71"/>
  <c r="C35" i="71" s="1"/>
  <c r="D35" i="71" s="1"/>
  <c r="N34" i="71"/>
  <c r="D34" i="71"/>
  <c r="Q33" i="71"/>
  <c r="AB33" i="71"/>
  <c r="P33" i="71"/>
  <c r="O33" i="71"/>
  <c r="Y33" i="71" s="1"/>
  <c r="Z33" i="71" s="1"/>
  <c r="N33" i="71"/>
  <c r="Q32" i="71"/>
  <c r="AB32" i="71" s="1"/>
  <c r="P32" i="71"/>
  <c r="O32" i="71"/>
  <c r="Y32" i="71" s="1"/>
  <c r="Z32" i="71" s="1"/>
  <c r="N32" i="71"/>
  <c r="Q31" i="71"/>
  <c r="P31" i="71"/>
  <c r="O31" i="71"/>
  <c r="N31" i="71"/>
  <c r="Q30" i="71"/>
  <c r="F31" i="71" s="1"/>
  <c r="F32" i="71" s="1"/>
  <c r="P30" i="71"/>
  <c r="O30" i="71"/>
  <c r="N30" i="71"/>
  <c r="D30" i="71"/>
  <c r="Q29" i="71"/>
  <c r="P29" i="71"/>
  <c r="O29" i="71"/>
  <c r="N29" i="71"/>
  <c r="Q28" i="71"/>
  <c r="P28" i="71"/>
  <c r="O28" i="71"/>
  <c r="N28" i="71"/>
  <c r="X27" i="71" s="1"/>
  <c r="Q27" i="71"/>
  <c r="AB27" i="71"/>
  <c r="P27" i="71"/>
  <c r="O27" i="71"/>
  <c r="Y27" i="71" s="1"/>
  <c r="Z27" i="71" s="1"/>
  <c r="N27" i="71"/>
  <c r="Q26" i="71"/>
  <c r="AB23" i="71" s="1"/>
  <c r="P26" i="71"/>
  <c r="O26" i="71"/>
  <c r="N26" i="71"/>
  <c r="D26" i="71"/>
  <c r="O25" i="71"/>
  <c r="N25" i="71"/>
  <c r="B25" i="71" s="1"/>
  <c r="B24" i="71" s="1"/>
  <c r="B23"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X29" i="71"/>
  <c r="AA29" i="71"/>
  <c r="C31" i="71"/>
  <c r="AA31" i="71"/>
  <c r="AA32" i="71"/>
  <c r="X33" i="71"/>
  <c r="AA33" i="71"/>
  <c r="Y34" i="71"/>
  <c r="Z34" i="71" s="1"/>
  <c r="X35" i="71"/>
  <c r="AA35" i="71"/>
  <c r="F48" i="71"/>
  <c r="F49" i="71" s="1"/>
  <c r="V49" i="71" s="1"/>
  <c r="C25" i="71"/>
  <c r="X23" i="71"/>
  <c r="P25" i="71"/>
  <c r="AA22" i="71" s="1"/>
  <c r="U65" i="71"/>
  <c r="E64" i="71"/>
  <c r="E63" i="71" s="1"/>
  <c r="P63" i="71" s="1"/>
  <c r="Q25" i="71"/>
  <c r="C60" i="71"/>
  <c r="N64" i="71"/>
  <c r="B63" i="71"/>
  <c r="T65" i="71"/>
  <c r="Q65" i="71"/>
  <c r="C68" i="71"/>
  <c r="D68" i="71" s="1"/>
  <c r="E68" i="71"/>
  <c r="E67" i="71" s="1"/>
  <c r="D69" i="71"/>
  <c r="E72" i="71"/>
  <c r="E71" i="71" s="1"/>
  <c r="C76" i="71"/>
  <c r="C75" i="71" s="1"/>
  <c r="D75" i="71" s="1"/>
  <c r="D77" i="71"/>
  <c r="C84" i="71"/>
  <c r="C83" i="71" s="1"/>
  <c r="D83" i="71" s="1"/>
  <c r="S25" i="71"/>
  <c r="F25" i="71"/>
  <c r="F24" i="71"/>
  <c r="F23" i="71" s="1"/>
  <c r="AB25" i="71"/>
  <c r="D25" i="71"/>
  <c r="U25" i="71" s="1"/>
  <c r="N62" i="71"/>
  <c r="N63" i="71"/>
  <c r="D84" i="71"/>
  <c r="D76" i="71"/>
  <c r="C67" i="71"/>
  <c r="D67" i="71" s="1"/>
  <c r="P64" i="71"/>
  <c r="P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6" i="43" s="1"/>
  <c r="C22" i="20"/>
  <c r="B75" i="43" s="1"/>
  <c r="B55" i="43"/>
  <c r="S18" i="36"/>
  <c r="U18" i="36"/>
  <c r="H25" i="40"/>
  <c r="AB25" i="40" s="1"/>
  <c r="J25" i="40"/>
  <c r="W25" i="40" s="1"/>
  <c r="H29" i="39"/>
  <c r="AB29" i="39" s="1"/>
  <c r="J29" i="39"/>
  <c r="AC29" i="39" s="1"/>
  <c r="J18" i="36"/>
  <c r="AC18" i="36" s="1"/>
  <c r="H18" i="35"/>
  <c r="AB18" i="35" s="1"/>
  <c r="S18" i="35"/>
  <c r="G68" i="35"/>
  <c r="J18" i="35"/>
  <c r="F77" i="37"/>
  <c r="G77" i="37" s="1"/>
  <c r="H21" i="37"/>
  <c r="F21" i="37"/>
  <c r="AA21" i="37" s="1"/>
  <c r="H21" i="34"/>
  <c r="AB21" i="34" s="1"/>
  <c r="F83" i="33"/>
  <c r="H21" i="33"/>
  <c r="U21" i="33" s="1"/>
  <c r="F21" i="33"/>
  <c r="AA21" i="33" s="1"/>
  <c r="S21" i="21"/>
  <c r="H1" i="69"/>
  <c r="U25" i="40"/>
  <c r="U29" i="39"/>
  <c r="W29" i="39"/>
  <c r="W18" i="36"/>
  <c r="AB21" i="37"/>
  <c r="U21" i="37"/>
  <c r="S21" i="37"/>
  <c r="U21" i="34"/>
  <c r="AB21" i="33"/>
  <c r="S21" i="33"/>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G12" i="1" s="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AB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W31" i="36"/>
  <c r="U31" i="36"/>
  <c r="J33" i="36"/>
  <c r="W33" i="36" s="1"/>
  <c r="H22" i="35"/>
  <c r="AB22" i="35" s="1"/>
  <c r="AC27" i="35"/>
  <c r="U31" i="35"/>
  <c r="W22" i="35"/>
  <c r="S31" i="35"/>
  <c r="F36" i="34"/>
  <c r="J35" i="34"/>
  <c r="S34" i="34"/>
  <c r="U34" i="34"/>
  <c r="H39" i="33"/>
  <c r="AB39" i="33"/>
  <c r="F26" i="33"/>
  <c r="AA26" i="33"/>
  <c r="U33" i="33"/>
  <c r="S40" i="33"/>
  <c r="W39" i="33"/>
  <c r="H39" i="37"/>
  <c r="AB39" i="37"/>
  <c r="F11" i="40"/>
  <c r="AA11" i="40" s="1"/>
  <c r="H11" i="40"/>
  <c r="AB11" i="40" s="1"/>
  <c r="AB39" i="40"/>
  <c r="AC40" i="40"/>
  <c r="AA9" i="40"/>
  <c r="S34" i="40"/>
  <c r="U38" i="40"/>
  <c r="S40" i="40"/>
  <c r="W31" i="40"/>
  <c r="S38" i="40"/>
  <c r="F42" i="39"/>
  <c r="AA42" i="39"/>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AB11" i="39" s="1"/>
  <c r="S40" i="39"/>
  <c r="H32" i="33"/>
  <c r="AB32" i="33" s="1"/>
  <c r="H11" i="21"/>
  <c r="U11" i="21" s="1"/>
  <c r="J11" i="21"/>
  <c r="W11" i="21" s="1"/>
  <c r="H37" i="40"/>
  <c r="U37" i="40" s="1"/>
  <c r="H36" i="40"/>
  <c r="AB36" i="40" s="1"/>
  <c r="F35" i="40"/>
  <c r="AA35" i="40"/>
  <c r="H23" i="40"/>
  <c r="AB23"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5" i="40"/>
  <c r="S15" i="40" s="1"/>
  <c r="H15" i="40"/>
  <c r="AB15" i="40" s="1"/>
  <c r="S12" i="36"/>
  <c r="AA12" i="36"/>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AZ520" i="3" s="1"/>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U11" i="33"/>
  <c r="U19" i="21"/>
  <c r="W44" i="21"/>
  <c r="U26" i="21"/>
  <c r="AC46" i="21"/>
  <c r="U12" i="21"/>
  <c r="AB38" i="21"/>
  <c r="F43" i="33"/>
  <c r="AA43" i="33"/>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B33" i="40"/>
  <c r="W23"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9" i="39"/>
  <c r="W8" i="39"/>
  <c r="J19" i="40"/>
  <c r="AC19" i="40" s="1"/>
  <c r="J50" i="40"/>
  <c r="B54" i="72"/>
  <c r="H103" i="9"/>
  <c r="D8" i="53" s="1"/>
  <c r="B16" i="53"/>
  <c r="B33" i="72" s="1"/>
  <c r="W35" i="40"/>
  <c r="A118" i="9"/>
  <c r="A4" i="52"/>
  <c r="B41" i="72" s="1"/>
  <c r="J11" i="39"/>
  <c r="W11" i="39" s="1"/>
  <c r="F11" i="39"/>
  <c r="AA11" i="39" s="1"/>
  <c r="G4" i="4"/>
  <c r="I4" i="4"/>
  <c r="K5" i="4" s="1"/>
  <c r="B47" i="48" s="1"/>
  <c r="A2" i="9"/>
  <c r="F59" i="43"/>
  <c r="H62" i="43" s="1"/>
  <c r="AZ20" i="3"/>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83" i="3"/>
  <c r="AZ152" i="3"/>
  <c r="AZ168"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8" i="3"/>
  <c r="AZ194" i="3"/>
  <c r="AZ500" i="3"/>
  <c r="BA16" i="3"/>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BA379" i="3"/>
  <c r="BL380" i="3"/>
  <c r="G381" i="3"/>
  <c r="BA383" i="3"/>
  <c r="BL384" i="3"/>
  <c r="AZ384" i="3" s="1"/>
  <c r="G385" i="3"/>
  <c r="BA387" i="3"/>
  <c r="AZ387" i="3" s="1"/>
  <c r="BL388" i="3"/>
  <c r="G389" i="3"/>
  <c r="BA391" i="3"/>
  <c r="AZ391" i="3" s="1"/>
  <c r="BL392" i="3"/>
  <c r="G393" i="3"/>
  <c r="AZ275" i="3"/>
  <c r="AZ283" i="3"/>
  <c r="AZ291" i="3"/>
  <c r="AZ299" i="3"/>
  <c r="BO5" i="3"/>
  <c r="BM5" i="3"/>
  <c r="F29"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12" i="6" s="1"/>
  <c r="BR5" i="3"/>
  <c r="G28" i="6" s="1"/>
  <c r="AZ396" i="3"/>
  <c r="AZ394" i="3"/>
  <c r="E8" i="6"/>
  <c r="F27" i="6" s="1"/>
  <c r="G509" i="3"/>
  <c r="BL493" i="3"/>
  <c r="AZ491" i="3"/>
  <c r="AZ376" i="3"/>
  <c r="AZ390" i="3"/>
  <c r="AZ493" i="3"/>
  <c r="F36" i="43"/>
  <c r="F81" i="43"/>
  <c r="H83" i="43"/>
  <c r="H113" i="43"/>
  <c r="F48" i="43"/>
  <c r="H52" i="43" s="1"/>
  <c r="F70" i="43"/>
  <c r="H73" i="43" s="1"/>
  <c r="M11" i="43"/>
  <c r="D17" i="43"/>
  <c r="F39" i="43"/>
  <c r="I17" i="43"/>
  <c r="F35" i="43"/>
  <c r="J17" i="43"/>
  <c r="F6" i="1"/>
  <c r="G6" i="1" s="1"/>
  <c r="U17" i="39"/>
  <c r="S14" i="35"/>
  <c r="U43" i="21"/>
  <c r="U35" i="21"/>
  <c r="AC35" i="21"/>
  <c r="U10"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4" i="3"/>
  <c r="AZ386" i="3"/>
  <c r="C40" i="11"/>
  <c r="AZ223" i="3"/>
  <c r="AZ232" i="3"/>
  <c r="AZ235" i="3"/>
  <c r="AZ248" i="3"/>
  <c r="AZ251" i="3"/>
  <c r="AZ280" i="3"/>
  <c r="AZ296" i="3"/>
  <c r="AZ114" i="3"/>
  <c r="AZ133" i="3"/>
  <c r="AZ29" i="3"/>
  <c r="AZ31" i="3"/>
  <c r="AZ33" i="3"/>
  <c r="AZ37" i="3"/>
  <c r="AZ42" i="3"/>
  <c r="AZ45" i="3"/>
  <c r="AZ58" i="3"/>
  <c r="AZ61" i="3"/>
  <c r="AZ77" i="3"/>
  <c r="AZ82"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E15" i="6"/>
  <c r="E60" i="40" s="1"/>
  <c r="G29" i="6"/>
  <c r="AC26" i="33"/>
  <c r="W26" i="33"/>
  <c r="W27" i="34"/>
  <c r="AC27" i="34"/>
  <c r="AC39" i="40"/>
  <c r="W39" i="40"/>
  <c r="AZ412" i="3"/>
  <c r="AZ428" i="3"/>
  <c r="AZ465" i="3"/>
  <c r="AZ437" i="3"/>
  <c r="AZ441" i="3"/>
  <c r="AZ490" i="3"/>
  <c r="F28" i="6"/>
  <c r="BL14" i="3"/>
  <c r="U30" i="33"/>
  <c r="AC13" i="34"/>
  <c r="AA47" i="34"/>
  <c r="W28" i="37"/>
  <c r="S19" i="39"/>
  <c r="F12" i="33"/>
  <c r="H12" i="39"/>
  <c r="AB12" i="39" s="1"/>
  <c r="F39" i="40"/>
  <c r="BA14" i="3"/>
  <c r="AZ14" i="3"/>
  <c r="AZ367" i="3"/>
  <c r="AZ234" i="3"/>
  <c r="AZ250" i="3"/>
  <c r="AZ157" i="3"/>
  <c r="AZ173" i="3"/>
  <c r="AZ189" i="3"/>
  <c r="AZ35" i="3"/>
  <c r="AZ41" i="3"/>
  <c r="S12" i="1"/>
  <c r="R12" i="1"/>
  <c r="B12" i="1"/>
  <c r="E12" i="1" s="1"/>
  <c r="S10" i="1"/>
  <c r="AQ10" i="1" s="1"/>
  <c r="R10" i="1"/>
  <c r="B10" i="1"/>
  <c r="E10" i="1"/>
  <c r="AZ80" i="3"/>
  <c r="AZ84" i="3"/>
  <c r="AZ88" i="3"/>
  <c r="K12" i="1"/>
  <c r="M12" i="1" s="1"/>
  <c r="S13" i="1"/>
  <c r="AR13" i="1" s="1"/>
  <c r="R13" i="1"/>
  <c r="S11" i="1"/>
  <c r="AQ11" i="1" s="1"/>
  <c r="R11" i="1"/>
  <c r="S9" i="1"/>
  <c r="AR9" i="1" s="1"/>
  <c r="R9" i="1"/>
  <c r="J51" i="67"/>
  <c r="H100" i="43"/>
  <c r="AC34" i="33"/>
  <c r="S22" i="31"/>
  <c r="J100" i="43"/>
  <c r="AB37" i="40"/>
  <c r="S35" i="40"/>
  <c r="U35" i="40"/>
  <c r="AC36" i="40"/>
  <c r="W38" i="40"/>
  <c r="AA32" i="40"/>
  <c r="S23" i="40"/>
  <c r="AC15" i="40"/>
  <c r="AA19" i="40"/>
  <c r="S28" i="40"/>
  <c r="AB19" i="40"/>
  <c r="W42" i="39"/>
  <c r="U37"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s="1"/>
  <c r="F17" i="37"/>
  <c r="AA17" i="37" s="1"/>
  <c r="AB17" i="37"/>
  <c r="F19" i="37"/>
  <c r="F23" i="37"/>
  <c r="S23" i="37" s="1"/>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AB23" i="33" s="1"/>
  <c r="F19" i="33"/>
  <c r="S19" i="33" s="1"/>
  <c r="W19" i="33"/>
  <c r="J17" i="33"/>
  <c r="S15" i="33"/>
  <c r="W15" i="33"/>
  <c r="U9" i="33"/>
  <c r="J10" i="33"/>
  <c r="H10" i="33"/>
  <c r="U10" i="33" s="1"/>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BA13" i="3"/>
  <c r="E11" i="6"/>
  <c r="E61" i="39" s="1"/>
  <c r="BL17" i="3"/>
  <c r="AZ17" i="3" s="1"/>
  <c r="BL13" i="3"/>
  <c r="J56" i="9"/>
  <c r="J57" i="9" s="1"/>
  <c r="J59" i="9" s="1"/>
  <c r="J61" i="9" s="1"/>
  <c r="A24" i="51"/>
  <c r="B18" i="72" s="1"/>
  <c r="U29" i="34"/>
  <c r="E14" i="6"/>
  <c r="E64" i="39" s="1"/>
  <c r="E5" i="6"/>
  <c r="E32" i="6"/>
  <c r="L19" i="6"/>
  <c r="G1" i="68"/>
  <c r="K1" i="12"/>
  <c r="T12" i="1"/>
  <c r="E19" i="68"/>
  <c r="G22" i="69"/>
  <c r="G26"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N3" i="43"/>
  <c r="F38" i="43"/>
  <c r="F37" i="43"/>
  <c r="M9" i="43"/>
  <c r="N5" i="43"/>
  <c r="M12" i="43"/>
  <c r="C7" i="35"/>
  <c r="C48" i="35" s="1"/>
  <c r="D48" i="35" s="1"/>
  <c r="T35" i="4"/>
  <c r="A19" i="51"/>
  <c r="B14" i="72" s="1"/>
  <c r="A4" i="51"/>
  <c r="B6" i="72" s="1"/>
  <c r="C4" i="12"/>
  <c r="H66" i="43"/>
  <c r="H65" i="43"/>
  <c r="H64" i="43"/>
  <c r="H63" i="43"/>
  <c r="H55" i="43"/>
  <c r="H56" i="43"/>
  <c r="H72" i="43"/>
  <c r="L20" i="6"/>
  <c r="E51" i="40"/>
  <c r="B6" i="1"/>
  <c r="E6" i="1" s="1"/>
  <c r="S8" i="1"/>
  <c r="AR8" i="1" s="1"/>
  <c r="K11" i="1"/>
  <c r="M11" i="1" s="1"/>
  <c r="O11" i="1" s="1"/>
  <c r="AP6" i="1"/>
  <c r="B9" i="1"/>
  <c r="E9" i="1" s="1"/>
  <c r="K7" i="1"/>
  <c r="G1" i="15"/>
  <c r="G1" i="69"/>
  <c r="G1" i="67"/>
  <c r="W23" i="40"/>
  <c r="U32" i="40"/>
  <c r="AB31" i="40"/>
  <c r="S37" i="40"/>
  <c r="AB28" i="40"/>
  <c r="W28" i="40"/>
  <c r="W19" i="40"/>
  <c r="W27" i="40"/>
  <c r="W37" i="40"/>
  <c r="AC14" i="40"/>
  <c r="S13" i="40"/>
  <c r="S33" i="40"/>
  <c r="AA15" i="40"/>
  <c r="S31" i="40"/>
  <c r="AB13" i="40"/>
  <c r="U15" i="40"/>
  <c r="U8" i="40"/>
  <c r="S8" i="40"/>
  <c r="U42" i="39"/>
  <c r="AB23"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D19" i="12"/>
  <c r="C19" i="12" s="1"/>
  <c r="AQ9" i="1"/>
  <c r="D9" i="68"/>
  <c r="C9" i="68" s="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S19" i="37"/>
  <c r="AA19" i="37"/>
  <c r="AA23" i="37"/>
  <c r="J23" i="37"/>
  <c r="J10" i="37"/>
  <c r="I60"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c r="K87" i="33" s="1"/>
  <c r="L87" i="33" s="1"/>
  <c r="M87" i="33" s="1"/>
  <c r="J25" i="33"/>
  <c r="W25" i="33" s="1"/>
  <c r="U23" i="33"/>
  <c r="F23" i="33"/>
  <c r="G85" i="33"/>
  <c r="AC23" i="33"/>
  <c r="W23" i="33"/>
  <c r="H19" i="33"/>
  <c r="AB19" i="33" s="1"/>
  <c r="G79" i="33"/>
  <c r="H17" i="33"/>
  <c r="F17" i="33"/>
  <c r="W17" i="33"/>
  <c r="AC17" i="33"/>
  <c r="AB10" i="33"/>
  <c r="AC10" i="33"/>
  <c r="W10" i="33"/>
  <c r="AC37" i="21"/>
  <c r="U33" i="21"/>
  <c r="S37" i="21"/>
  <c r="AA23" i="21"/>
  <c r="AB15" i="21"/>
  <c r="J23" i="21"/>
  <c r="AC23" i="21" s="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AA17" i="33"/>
  <c r="S17" i="33"/>
  <c r="U17" i="33"/>
  <c r="AB17" i="33"/>
  <c r="U23" i="21"/>
  <c r="AB23" i="21"/>
  <c r="W23" i="21"/>
  <c r="AC11" i="37"/>
  <c r="W11" i="37"/>
  <c r="AC11" i="34"/>
  <c r="R7" i="1"/>
  <c r="R8" i="1"/>
  <c r="AE7" i="1"/>
  <c r="AE8" i="1"/>
  <c r="AG6" i="1"/>
  <c r="H109" i="9"/>
  <c r="H112" i="9"/>
  <c r="D21" i="53" s="1"/>
  <c r="B39" i="72" s="1"/>
  <c r="AD3" i="7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E10" i="76"/>
  <c r="J15" i="15"/>
  <c r="F16" i="15"/>
  <c r="L47" i="15"/>
  <c r="M28" i="15"/>
  <c r="AO7" i="1"/>
  <c r="F36" i="15"/>
  <c r="E7" i="76"/>
  <c r="M22" i="15"/>
  <c r="F37" i="67"/>
  <c r="M9" i="15"/>
  <c r="AO11" i="1"/>
  <c r="F38" i="15"/>
  <c r="M23" i="67"/>
  <c r="E9" i="76"/>
  <c r="M26" i="67"/>
  <c r="F7" i="67"/>
  <c r="AO10" i="1"/>
  <c r="F16" i="67"/>
  <c r="B12" i="76"/>
  <c r="M6" i="67"/>
  <c r="F37" i="15"/>
  <c r="F9" i="15"/>
  <c r="F36" i="67"/>
  <c r="L48" i="67"/>
  <c r="M28" i="67"/>
  <c r="AO9" i="1"/>
  <c r="F4" i="73"/>
  <c r="E11" i="76"/>
  <c r="F40" i="15"/>
  <c r="F43" i="15"/>
  <c r="M22" i="67"/>
  <c r="M6" i="15"/>
  <c r="E12" i="76"/>
  <c r="M21" i="67"/>
  <c r="B8" i="76"/>
  <c r="F8" i="67"/>
  <c r="M24" i="15"/>
  <c r="B7" i="76"/>
  <c r="F9" i="67"/>
  <c r="M9" i="67"/>
  <c r="E2" i="69"/>
  <c r="AO13" i="1"/>
  <c r="M29" i="15"/>
  <c r="F38" i="67"/>
  <c r="M8" i="15"/>
  <c r="J15" i="67"/>
  <c r="E2" i="68"/>
  <c r="M23" i="15"/>
  <c r="F6" i="15"/>
  <c r="D2" i="21"/>
  <c r="M8" i="67"/>
  <c r="F13" i="67"/>
  <c r="F40" i="67"/>
  <c r="F6" i="67"/>
  <c r="F6" i="73"/>
  <c r="B13" i="76"/>
  <c r="D2" i="36"/>
  <c r="E13" i="76"/>
  <c r="D2" i="33"/>
  <c r="D2" i="37"/>
  <c r="F7" i="73"/>
  <c r="C76" i="15"/>
  <c r="B10" i="76"/>
  <c r="AO12" i="1"/>
  <c r="F42" i="15"/>
  <c r="L48" i="15"/>
  <c r="M27" i="67"/>
  <c r="B9" i="76"/>
  <c r="C76" i="67"/>
  <c r="F20" i="31"/>
  <c r="M24" i="67"/>
  <c r="L47" i="67"/>
  <c r="F26" i="15"/>
  <c r="D2" i="34"/>
  <c r="F5" i="73"/>
  <c r="F8" i="15"/>
  <c r="F7" i="15"/>
  <c r="F42" i="67"/>
  <c r="B11" i="76"/>
  <c r="F3" i="73"/>
  <c r="M27" i="15"/>
  <c r="F26" i="67"/>
  <c r="M26" i="15"/>
  <c r="AO8" i="1"/>
  <c r="F35" i="67"/>
  <c r="E8" i="76"/>
  <c r="F13" i="15"/>
  <c r="M29" i="67"/>
  <c r="D2" i="35"/>
  <c r="F41" i="67"/>
  <c r="F43" i="67"/>
  <c r="H1" i="15" l="1"/>
  <c r="E57" i="40"/>
  <c r="E62" i="39"/>
  <c r="E59" i="40"/>
  <c r="E56" i="39"/>
  <c r="E10" i="6"/>
  <c r="E13" i="6"/>
  <c r="M47" i="9"/>
  <c r="G17" i="43"/>
  <c r="C16" i="43" s="1"/>
  <c r="E29" i="6"/>
  <c r="K15" i="1" s="1"/>
  <c r="F30" i="6"/>
  <c r="AZ314" i="3"/>
  <c r="AC12" i="33"/>
  <c r="W12" i="33"/>
  <c r="AC43" i="39"/>
  <c r="W43" i="39"/>
  <c r="U45" i="39"/>
  <c r="AB45" i="39"/>
  <c r="W27" i="21"/>
  <c r="AC27" i="21"/>
  <c r="W9" i="35"/>
  <c r="AC9" i="35"/>
  <c r="AC39" i="37"/>
  <c r="W39" i="37"/>
  <c r="W12" i="39"/>
  <c r="AC12" i="39"/>
  <c r="AB44" i="39"/>
  <c r="U44" i="39"/>
  <c r="AC12" i="40"/>
  <c r="W12" i="40"/>
  <c r="F86" i="40"/>
  <c r="G86" i="40" s="1"/>
  <c r="H17" i="40"/>
  <c r="U17" i="40" s="1"/>
  <c r="F17" i="40"/>
  <c r="AB40" i="40"/>
  <c r="U40" i="40"/>
  <c r="AZ319" i="3"/>
  <c r="AZ183" i="3"/>
  <c r="AZ151" i="3"/>
  <c r="S11" i="39"/>
  <c r="W14" i="39"/>
  <c r="AC13" i="40"/>
  <c r="W44" i="33"/>
  <c r="AZ495" i="3"/>
  <c r="AZ499" i="3"/>
  <c r="AZ513" i="3"/>
  <c r="AZ551" i="3"/>
  <c r="AZ567" i="3"/>
  <c r="AZ575" i="3"/>
  <c r="AZ511" i="3"/>
  <c r="AZ515" i="3"/>
  <c r="AZ519" i="3"/>
  <c r="AZ565" i="3"/>
  <c r="AZ569" i="3"/>
  <c r="AZ573" i="3"/>
  <c r="AZ577" i="3"/>
  <c r="AZ587" i="3"/>
  <c r="AZ504" i="3"/>
  <c r="AZ534" i="3"/>
  <c r="AZ542" i="3"/>
  <c r="AZ556" i="3"/>
  <c r="S44" i="34"/>
  <c r="U13" i="33"/>
  <c r="AB45" i="33"/>
  <c r="AA14" i="34"/>
  <c r="AB46" i="34"/>
  <c r="W11" i="36"/>
  <c r="U46" i="33"/>
  <c r="U33" i="35"/>
  <c r="AC34" i="36"/>
  <c r="AC11" i="40"/>
  <c r="U8" i="35"/>
  <c r="C15" i="39"/>
  <c r="C25" i="39"/>
  <c r="S27" i="35"/>
  <c r="W33" i="33"/>
  <c r="U35" i="33"/>
  <c r="S9" i="33"/>
  <c r="W28" i="35"/>
  <c r="BL586" i="3"/>
  <c r="AZ586" i="3" s="1"/>
  <c r="BL585" i="3"/>
  <c r="AZ585" i="3" s="1"/>
  <c r="F9" i="34"/>
  <c r="F44" i="39"/>
  <c r="S30" i="40"/>
  <c r="AA39" i="34"/>
  <c r="AZ379" i="3"/>
  <c r="AZ345" i="3"/>
  <c r="AZ318" i="3"/>
  <c r="AZ372" i="3"/>
  <c r="AZ337" i="3"/>
  <c r="AZ320" i="3"/>
  <c r="AZ305" i="3"/>
  <c r="AZ199" i="3"/>
  <c r="AZ167" i="3"/>
  <c r="AZ362" i="3"/>
  <c r="AZ341" i="3"/>
  <c r="AZ309" i="3"/>
  <c r="AZ583" i="3"/>
  <c r="G582" i="3"/>
  <c r="G566" i="3"/>
  <c r="G552" i="3"/>
  <c r="BA551" i="3"/>
  <c r="G551" i="3"/>
  <c r="BL550" i="3"/>
  <c r="BA550" i="3"/>
  <c r="AZ550" i="3" s="1"/>
  <c r="BL548" i="3"/>
  <c r="AZ548" i="3" s="1"/>
  <c r="I4" i="6"/>
  <c r="G3" i="43" s="1"/>
  <c r="H5" i="3"/>
  <c r="BL16" i="3"/>
  <c r="AZ16" i="3" s="1"/>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AZ462" i="3" s="1"/>
  <c r="AZ276" i="3"/>
  <c r="AZ134" i="3"/>
  <c r="AZ145" i="3"/>
  <c r="G10" i="1"/>
  <c r="BL15" i="3"/>
  <c r="AZ423" i="3"/>
  <c r="AZ430" i="3"/>
  <c r="AZ440" i="3"/>
  <c r="AZ442" i="3"/>
  <c r="AZ446" i="3"/>
  <c r="G464" i="3"/>
  <c r="BL464" i="3"/>
  <c r="G467" i="3"/>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BL486" i="3"/>
  <c r="G488" i="3"/>
  <c r="BL488" i="3"/>
  <c r="G490" i="3"/>
  <c r="G491" i="3"/>
  <c r="G492" i="3"/>
  <c r="BL492" i="3"/>
  <c r="G307" i="3"/>
  <c r="BL308" i="3"/>
  <c r="AZ308" i="3" s="1"/>
  <c r="BL314" i="3"/>
  <c r="BA316" i="3"/>
  <c r="AZ316" i="3" s="1"/>
  <c r="BA319" i="3"/>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BA270" i="3"/>
  <c r="AZ270" i="3" s="1"/>
  <c r="BA271" i="3"/>
  <c r="AZ271" i="3" s="1"/>
  <c r="BL273" i="3"/>
  <c r="AZ273" i="3" s="1"/>
  <c r="G275" i="3"/>
  <c r="G276" i="3"/>
  <c r="BL276" i="3"/>
  <c r="BA277" i="3"/>
  <c r="AZ277" i="3" s="1"/>
  <c r="BL279" i="3"/>
  <c r="AZ279" i="3" s="1"/>
  <c r="BL281" i="3"/>
  <c r="AZ281"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BA136" i="3"/>
  <c r="AZ136" i="3" s="1"/>
  <c r="BL137" i="3"/>
  <c r="AZ137" i="3" s="1"/>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BA169" i="3"/>
  <c r="AZ169" i="3" s="1"/>
  <c r="BA170" i="3"/>
  <c r="AZ170" i="3" s="1"/>
  <c r="BL171" i="3"/>
  <c r="AZ171" i="3" s="1"/>
  <c r="BL174" i="3"/>
  <c r="AZ174" i="3" s="1"/>
  <c r="BA176" i="3"/>
  <c r="AZ176" i="3" s="1"/>
  <c r="BL177" i="3"/>
  <c r="G180" i="3"/>
  <c r="BA181" i="3"/>
  <c r="AZ181" i="3" s="1"/>
  <c r="BA182" i="3"/>
  <c r="AZ182" i="3" s="1"/>
  <c r="BL183" i="3"/>
  <c r="BA185" i="3"/>
  <c r="AZ185" i="3" s="1"/>
  <c r="BA186" i="3"/>
  <c r="AZ186" i="3" s="1"/>
  <c r="BL187" i="3"/>
  <c r="AZ187" i="3" s="1"/>
  <c r="BL190" i="3"/>
  <c r="AZ190" i="3" s="1"/>
  <c r="BA192" i="3"/>
  <c r="AZ192" i="3" s="1"/>
  <c r="BL193" i="3"/>
  <c r="G196" i="3"/>
  <c r="BA197" i="3"/>
  <c r="AZ197" i="3" s="1"/>
  <c r="BA198" i="3"/>
  <c r="AZ198" i="3" s="1"/>
  <c r="BL199" i="3"/>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5" i="3" s="1"/>
  <c r="B3" i="3" s="1"/>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E59" i="43"/>
  <c r="B57" i="43" s="1"/>
  <c r="AC21" i="21"/>
  <c r="U21" i="21"/>
  <c r="U18" i="35"/>
  <c r="AC25" i="40"/>
  <c r="AA29" i="39"/>
  <c r="S29" i="39"/>
  <c r="E76" i="71"/>
  <c r="E75" i="71" s="1"/>
  <c r="C61" i="71"/>
  <c r="D60" i="71"/>
  <c r="C36" i="71"/>
  <c r="X25" i="71"/>
  <c r="AB30" i="71"/>
  <c r="Y28" i="71"/>
  <c r="Z28" i="71" s="1"/>
  <c r="AB28" i="71"/>
  <c r="Y29" i="71"/>
  <c r="Z29" i="71" s="1"/>
  <c r="AB29" i="71"/>
  <c r="Y30" i="71"/>
  <c r="Z30" i="71" s="1"/>
  <c r="F33" i="71"/>
  <c r="V33" i="71" s="1"/>
  <c r="Y31" i="71"/>
  <c r="Z31" i="71" s="1"/>
  <c r="AB31" i="71"/>
  <c r="X30" i="71"/>
  <c r="X31" i="71"/>
  <c r="X32" i="71"/>
  <c r="AI10" i="43"/>
  <c r="X22" i="71"/>
  <c r="Y22" i="71"/>
  <c r="Z22" i="71" s="1"/>
  <c r="S21" i="34"/>
  <c r="AA3" i="71"/>
  <c r="E25" i="71"/>
  <c r="E24" i="71" s="1"/>
  <c r="E23" i="71" s="1"/>
  <c r="C24" i="71"/>
  <c r="T25" i="71"/>
  <c r="C32" i="71"/>
  <c r="D31" i="71"/>
  <c r="Y26" i="71"/>
  <c r="Z26" i="71" s="1"/>
  <c r="C27" i="71"/>
  <c r="Y23" i="71"/>
  <c r="Z23" i="71" s="1"/>
  <c r="Y24" i="71"/>
  <c r="Z24" i="71" s="1"/>
  <c r="Y25" i="71"/>
  <c r="Z25" i="71" s="1"/>
  <c r="AB26" i="71"/>
  <c r="AB24" i="71"/>
  <c r="X26" i="71"/>
  <c r="X28" i="71"/>
  <c r="F35" i="71"/>
  <c r="F36" i="71" s="1"/>
  <c r="F37" i="71" s="1"/>
  <c r="V37" i="71" s="1"/>
  <c r="AB34" i="71"/>
  <c r="O65" i="71"/>
  <c r="C64" i="71"/>
  <c r="T73" i="71"/>
  <c r="C72" i="71"/>
  <c r="D81" i="71"/>
  <c r="C80" i="71"/>
  <c r="AE12" i="43"/>
  <c r="AE10" i="43"/>
  <c r="X24" i="71"/>
  <c r="AA24" i="71"/>
  <c r="AB22" i="71"/>
  <c r="E20" i="71"/>
  <c r="E19" i="71" s="1"/>
  <c r="E18" i="71" s="1"/>
  <c r="E17" i="71" s="1"/>
  <c r="V21" i="71"/>
  <c r="P27" i="6"/>
  <c r="AA27" i="71"/>
  <c r="AA30" i="71"/>
  <c r="B40" i="71"/>
  <c r="B41" i="71" s="1"/>
  <c r="S41" i="71" s="1"/>
  <c r="B44" i="71"/>
  <c r="B45" i="71" s="1"/>
  <c r="S45" i="71" s="1"/>
  <c r="E52" i="71"/>
  <c r="E53" i="71" s="1"/>
  <c r="U53" i="71" s="1"/>
  <c r="B56" i="71"/>
  <c r="B57" i="71" s="1"/>
  <c r="S57" i="71" s="1"/>
  <c r="E56" i="71"/>
  <c r="E57" i="71" s="1"/>
  <c r="U57" i="71" s="1"/>
  <c r="K56" i="9"/>
  <c r="P74" i="67"/>
  <c r="U36" i="40"/>
  <c r="S25" i="40"/>
  <c r="U21" i="40"/>
  <c r="AB17" i="40"/>
  <c r="J17" i="40"/>
  <c r="W17" i="40" s="1"/>
  <c r="AC9" i="40"/>
  <c r="S36" i="40"/>
  <c r="W34" i="40"/>
  <c r="U34" i="40"/>
  <c r="U11" i="40"/>
  <c r="U9" i="40"/>
  <c r="W8" i="40"/>
  <c r="C25" i="40"/>
  <c r="C27" i="39"/>
  <c r="AA39" i="39"/>
  <c r="AC41" i="39"/>
  <c r="W39" i="39"/>
  <c r="AB41" i="39"/>
  <c r="U9" i="39"/>
  <c r="H111" i="9"/>
  <c r="D126" i="9" s="1"/>
  <c r="B19" i="53"/>
  <c r="B37" i="72" s="1"/>
  <c r="D19" i="53"/>
  <c r="B38" i="72" s="1"/>
  <c r="J1" i="73"/>
  <c r="C7" i="21"/>
  <c r="C58" i="21" s="1"/>
  <c r="C7" i="39"/>
  <c r="C68" i="39" s="1"/>
  <c r="D68" i="39" s="1"/>
  <c r="C7" i="34"/>
  <c r="C59" i="34" s="1"/>
  <c r="D59" i="34" s="1"/>
  <c r="E59" i="34" s="1"/>
  <c r="F59" i="34" s="1"/>
  <c r="G59" i="34" s="1"/>
  <c r="H59" i="34" s="1"/>
  <c r="I59" i="34" s="1"/>
  <c r="J59" i="34" s="1"/>
  <c r="J51" i="15"/>
  <c r="J53" i="15" s="1"/>
  <c r="L56" i="15" s="1"/>
  <c r="P61" i="15"/>
  <c r="F34" i="68"/>
  <c r="F34" i="11"/>
  <c r="D23" i="15"/>
  <c r="G22" i="11"/>
  <c r="G22" i="68"/>
  <c r="E1" i="73"/>
  <c r="K1" i="73" s="1"/>
  <c r="U38" i="39"/>
  <c r="AC38" i="39"/>
  <c r="S38" i="39"/>
  <c r="AC11" i="39"/>
  <c r="B41" i="1"/>
  <c r="F30" i="69" s="1"/>
  <c r="D93" i="9"/>
  <c r="D68" i="9"/>
  <c r="F28" i="15"/>
  <c r="F28" i="67"/>
  <c r="C23" i="12"/>
  <c r="C40" i="69"/>
  <c r="C21" i="69"/>
  <c r="E19" i="11"/>
  <c r="D22" i="67"/>
  <c r="L27" i="6"/>
  <c r="T13" i="1"/>
  <c r="Q16" i="1"/>
  <c r="F27" i="69" s="1"/>
  <c r="C36" i="69"/>
  <c r="T7" i="1"/>
  <c r="M7" i="1"/>
  <c r="O7" i="1" s="1"/>
  <c r="T9" i="1"/>
  <c r="AQ13" i="1"/>
  <c r="T10" i="1"/>
  <c r="H16" i="1"/>
  <c r="T8" i="1"/>
  <c r="D9" i="11"/>
  <c r="C9" i="11" s="1"/>
  <c r="D9" i="69"/>
  <c r="C9" i="69" s="1"/>
  <c r="AQ12" i="1"/>
  <c r="AR12" i="1"/>
  <c r="S6" i="43"/>
  <c r="J22" i="43"/>
  <c r="AZ13" i="3"/>
  <c r="F31" i="6"/>
  <c r="AR11" i="1"/>
  <c r="T11" i="1"/>
  <c r="H50" i="43"/>
  <c r="G13" i="1"/>
  <c r="G9" i="1"/>
  <c r="C20" i="43"/>
  <c r="C70" i="39"/>
  <c r="G19" i="43"/>
  <c r="O19" i="43" s="1"/>
  <c r="C19" i="43" s="1"/>
  <c r="C35" i="43" s="1"/>
  <c r="E35" i="43" s="1"/>
  <c r="C7" i="40"/>
  <c r="C63" i="40" s="1"/>
  <c r="C7" i="33"/>
  <c r="C58" i="33" s="1"/>
  <c r="D58" i="33" s="1"/>
  <c r="E58" i="33" s="1"/>
  <c r="F58" i="33" s="1"/>
  <c r="G58" i="33" s="1"/>
  <c r="H58" i="33" s="1"/>
  <c r="I58" i="33" s="1"/>
  <c r="J58" i="33" s="1"/>
  <c r="K58" i="33" s="1"/>
  <c r="L58" i="33" s="1"/>
  <c r="M58" i="33" s="1"/>
  <c r="N58" i="33" s="1"/>
  <c r="O58" i="33" s="1"/>
  <c r="C42" i="1"/>
  <c r="C7" i="36"/>
  <c r="C46" i="36" s="1"/>
  <c r="D46" i="36" s="1"/>
  <c r="E46" i="36" s="1"/>
  <c r="F46" i="36" s="1"/>
  <c r="G46" i="36" s="1"/>
  <c r="H46" i="36" s="1"/>
  <c r="I46" i="36" s="1"/>
  <c r="J46" i="36" s="1"/>
  <c r="D127" i="9"/>
  <c r="D13" i="52" s="1"/>
  <c r="D12" i="52"/>
  <c r="I14" i="74"/>
  <c r="B8" i="74" s="1"/>
  <c r="D20" i="53"/>
  <c r="B40" i="72" s="1"/>
  <c r="O12" i="1"/>
  <c r="P12" i="1" s="1"/>
  <c r="G30" i="6"/>
  <c r="G31" i="6" s="1"/>
  <c r="E28" i="6"/>
  <c r="W9" i="34"/>
  <c r="AC9" i="34"/>
  <c r="AC24" i="35"/>
  <c r="W24" i="35"/>
  <c r="AC34" i="35"/>
  <c r="W34" i="35"/>
  <c r="U36" i="35"/>
  <c r="AB36" i="35"/>
  <c r="AA32" i="36"/>
  <c r="S32" i="36"/>
  <c r="D16" i="53"/>
  <c r="H110" i="9"/>
  <c r="D18" i="53" s="1"/>
  <c r="B35" i="72" s="1"/>
  <c r="D124" i="9"/>
  <c r="P7" i="1"/>
  <c r="F27" i="68"/>
  <c r="F45" i="68" s="1"/>
  <c r="P6" i="1"/>
  <c r="P11" i="1"/>
  <c r="AZ521" i="3"/>
  <c r="F22" i="43"/>
  <c r="K101" i="43"/>
  <c r="F101" i="43"/>
  <c r="N101" i="43"/>
  <c r="E22" i="43"/>
  <c r="H22" i="43"/>
  <c r="D101" i="43"/>
  <c r="M101" i="43"/>
  <c r="I101" i="43"/>
  <c r="E101"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W45" i="21"/>
  <c r="AC45" i="21"/>
  <c r="S12" i="34"/>
  <c r="AA12" i="34"/>
  <c r="U34" i="36"/>
  <c r="AB34" i="36"/>
  <c r="U33" i="36"/>
  <c r="AB33" i="36"/>
  <c r="U25" i="37"/>
  <c r="AB25" i="37"/>
  <c r="AA19" i="33"/>
  <c r="AR10" i="1"/>
  <c r="E56" i="40"/>
  <c r="E65" i="39"/>
  <c r="AA35" i="33"/>
  <c r="AC39" i="34"/>
  <c r="U44" i="34"/>
  <c r="AB27" i="36"/>
  <c r="U12" i="39"/>
  <c r="AA27" i="40"/>
  <c r="AB27" i="40"/>
  <c r="AA34" i="33"/>
  <c r="H75" i="43"/>
  <c r="AZ399" i="3"/>
  <c r="AZ404" i="3"/>
  <c r="AZ411" i="3"/>
  <c r="AZ414" i="3"/>
  <c r="AZ421" i="3"/>
  <c r="AZ449" i="3"/>
  <c r="AZ453" i="3"/>
  <c r="AZ455" i="3"/>
  <c r="AZ460" i="3"/>
  <c r="AB11" i="36"/>
  <c r="AA14" i="33"/>
  <c r="AA44" i="33"/>
  <c r="H9" i="34"/>
  <c r="F34" i="35"/>
  <c r="H34" i="35"/>
  <c r="J36" i="35"/>
  <c r="O8" i="1"/>
  <c r="P8" i="1" s="1"/>
  <c r="AZ409" i="3"/>
  <c r="AZ425" i="3"/>
  <c r="AZ432" i="3"/>
  <c r="AZ464" i="3"/>
  <c r="AZ468" i="3"/>
  <c r="AZ470" i="3"/>
  <c r="AZ479" i="3"/>
  <c r="AZ485" i="3"/>
  <c r="AZ262" i="3"/>
  <c r="AZ488" i="3"/>
  <c r="AZ492" i="3"/>
  <c r="AZ395" i="3"/>
  <c r="AZ208" i="3"/>
  <c r="AZ211" i="3"/>
  <c r="AZ219" i="3"/>
  <c r="AZ236" i="3"/>
  <c r="AZ252" i="3"/>
  <c r="AZ267" i="3"/>
  <c r="AZ284" i="3"/>
  <c r="AZ300" i="3"/>
  <c r="AZ302" i="3"/>
  <c r="AZ113" i="3"/>
  <c r="AZ126" i="3"/>
  <c r="AZ129" i="3"/>
  <c r="AZ141" i="3"/>
  <c r="AZ161" i="3"/>
  <c r="AZ177" i="3"/>
  <c r="AZ193" i="3"/>
  <c r="AZ34" i="3"/>
  <c r="AZ38" i="3"/>
  <c r="AZ44" i="3"/>
  <c r="AZ48" i="3"/>
  <c r="AZ60" i="3"/>
  <c r="AZ64" i="3"/>
  <c r="AZ78" i="3"/>
  <c r="AZ91" i="3"/>
  <c r="AZ98" i="3"/>
  <c r="AZ104" i="3"/>
  <c r="F40" i="68"/>
  <c r="C21" i="68"/>
  <c r="C40" i="68"/>
  <c r="T61" i="71"/>
  <c r="D61" i="71"/>
  <c r="C23" i="71"/>
  <c r="D23" i="71" s="1"/>
  <c r="D24" i="71"/>
  <c r="D32" i="71"/>
  <c r="C33" i="71"/>
  <c r="C40" i="71"/>
  <c r="D39" i="71"/>
  <c r="C44" i="71"/>
  <c r="D44" i="71" s="1"/>
  <c r="D43" i="71"/>
  <c r="D47" i="71"/>
  <c r="C48" i="71"/>
  <c r="D51" i="71"/>
  <c r="C52" i="71"/>
  <c r="D55" i="71"/>
  <c r="C56" i="71"/>
  <c r="Y5" i="71"/>
  <c r="Z5" i="71" s="1"/>
  <c r="X5" i="71"/>
  <c r="AB5" i="71"/>
  <c r="AA5" i="71"/>
  <c r="F27" i="71"/>
  <c r="F28" i="71" s="1"/>
  <c r="F29" i="71" s="1"/>
  <c r="V29" i="71" s="1"/>
  <c r="Y7" i="71"/>
  <c r="Z7" i="71" s="1"/>
  <c r="Y6" i="71"/>
  <c r="Z6" i="71" s="1"/>
  <c r="AA6" i="71"/>
  <c r="AA7" i="71"/>
  <c r="X21" i="71"/>
  <c r="Y21" i="71"/>
  <c r="Z21" i="71" s="1"/>
  <c r="AA20" i="71"/>
  <c r="X19" i="71"/>
  <c r="AA18" i="71"/>
  <c r="X18" i="71"/>
  <c r="Y15" i="71"/>
  <c r="Z15" i="71" s="1"/>
  <c r="X14" i="71"/>
  <c r="Y14" i="71"/>
  <c r="Z14" i="71" s="1"/>
  <c r="AA14" i="71"/>
  <c r="AB15" i="71"/>
  <c r="Y11" i="71"/>
  <c r="Z11" i="71" s="1"/>
  <c r="AB10" i="71"/>
  <c r="C29" i="39"/>
  <c r="B66" i="43"/>
  <c r="V25" i="71"/>
  <c r="AA25" i="71"/>
  <c r="AA23" i="71"/>
  <c r="AA28" i="71"/>
  <c r="X6" i="71"/>
  <c r="X7" i="71"/>
  <c r="Y36" i="71"/>
  <c r="Z36" i="71" s="1"/>
  <c r="AA36" i="71"/>
  <c r="AB6" i="71"/>
  <c r="F64" i="71"/>
  <c r="Y19" i="71"/>
  <c r="Z19" i="71" s="1"/>
  <c r="AB20" i="71"/>
  <c r="X15" i="71"/>
  <c r="AA15" i="71"/>
  <c r="Y18" i="71"/>
  <c r="Z18" i="71" s="1"/>
  <c r="AA19" i="71"/>
  <c r="AB18" i="71"/>
  <c r="X12" i="71"/>
  <c r="AA12" i="71"/>
  <c r="AB8" i="71"/>
  <c r="Y8" i="71"/>
  <c r="Z8" i="71" s="1"/>
  <c r="Y10" i="71"/>
  <c r="Z10" i="71" s="1"/>
  <c r="Y9" i="71"/>
  <c r="Z9" i="71" s="1"/>
  <c r="AA9" i="71"/>
  <c r="AA8" i="71"/>
  <c r="AA11" i="71"/>
  <c r="X10" i="71"/>
  <c r="X9" i="71"/>
  <c r="AH10" i="43"/>
  <c r="AD10" i="43"/>
  <c r="Z10" i="43"/>
  <c r="AG10" i="43"/>
  <c r="AC10" i="43"/>
  <c r="AA21" i="71"/>
  <c r="AB21" i="71"/>
  <c r="B21" i="71"/>
  <c r="C21" i="71"/>
  <c r="Y20" i="71"/>
  <c r="Z20" i="71" s="1"/>
  <c r="AB12" i="71"/>
  <c r="AB14" i="71"/>
  <c r="AB7" i="71"/>
  <c r="AB9" i="71"/>
  <c r="AB11" i="71"/>
  <c r="AA10" i="71"/>
  <c r="X8" i="71"/>
  <c r="X11" i="71"/>
  <c r="C5" i="43"/>
  <c r="D5" i="43"/>
  <c r="G16" i="1"/>
  <c r="F10" i="40"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D7" i="73"/>
  <c r="D4" i="73"/>
  <c r="C16" i="15"/>
  <c r="D5" i="73"/>
  <c r="D6" i="73"/>
  <c r="C17" i="67"/>
  <c r="C16" i="67"/>
  <c r="D3" i="73"/>
  <c r="C14" i="67"/>
  <c r="E58" i="40" l="1"/>
  <c r="E63" i="39"/>
  <c r="E66" i="39" s="1"/>
  <c r="E16" i="6"/>
  <c r="C38" i="43"/>
  <c r="J7" i="34"/>
  <c r="C39" i="43"/>
  <c r="C36" i="68"/>
  <c r="M59" i="15"/>
  <c r="N59" i="15"/>
  <c r="J57" i="15"/>
  <c r="J55" i="15" s="1"/>
  <c r="J58" i="15" s="1"/>
  <c r="Q50" i="15" s="1"/>
  <c r="L59" i="15"/>
  <c r="Q61" i="15" s="1"/>
  <c r="I54" i="15"/>
  <c r="E125" i="3"/>
  <c r="N6" i="3"/>
  <c r="E553" i="3"/>
  <c r="E352" i="3"/>
  <c r="AR6" i="3"/>
  <c r="E380" i="3"/>
  <c r="E135" i="3"/>
  <c r="E224" i="3"/>
  <c r="E313" i="3"/>
  <c r="E532" i="3"/>
  <c r="E538" i="3"/>
  <c r="E45" i="3"/>
  <c r="E519" i="3"/>
  <c r="E529" i="3"/>
  <c r="E487" i="3"/>
  <c r="E398" i="3"/>
  <c r="E416" i="3"/>
  <c r="E459" i="3"/>
  <c r="E374" i="3"/>
  <c r="E500" i="3"/>
  <c r="E413" i="3"/>
  <c r="E520" i="3"/>
  <c r="E436" i="3"/>
  <c r="E39" i="3"/>
  <c r="E90" i="3"/>
  <c r="E57" i="3"/>
  <c r="E131" i="3"/>
  <c r="E187" i="3"/>
  <c r="E155" i="3"/>
  <c r="E240" i="3"/>
  <c r="E297" i="3"/>
  <c r="E259" i="3"/>
  <c r="E348" i="3"/>
  <c r="E375" i="3"/>
  <c r="E504" i="3"/>
  <c r="E110" i="3"/>
  <c r="E540" i="3"/>
  <c r="E521" i="3"/>
  <c r="E65" i="3"/>
  <c r="E190" i="3"/>
  <c r="E174" i="3"/>
  <c r="E220" i="3"/>
  <c r="E324" i="3"/>
  <c r="E383" i="3"/>
  <c r="E342" i="3"/>
  <c r="E522" i="3"/>
  <c r="E35" i="3"/>
  <c r="E49" i="3"/>
  <c r="E206" i="3"/>
  <c r="E370" i="3"/>
  <c r="AF6" i="3"/>
  <c r="E102" i="3"/>
  <c r="E80" i="3"/>
  <c r="E113" i="3"/>
  <c r="E158" i="3"/>
  <c r="E287" i="3"/>
  <c r="E308" i="3"/>
  <c r="E326" i="3"/>
  <c r="E22" i="3"/>
  <c r="E545" i="3"/>
  <c r="E270" i="3"/>
  <c r="E216" i="3"/>
  <c r="E193" i="3"/>
  <c r="E573" i="3"/>
  <c r="E442" i="3"/>
  <c r="E466" i="3"/>
  <c r="E541" i="3"/>
  <c r="E255" i="3"/>
  <c r="I3" i="6"/>
  <c r="AP6" i="3"/>
  <c r="E554" i="3"/>
  <c r="E517" i="3"/>
  <c r="E417" i="3"/>
  <c r="E56" i="3"/>
  <c r="E152" i="3"/>
  <c r="E132" i="3"/>
  <c r="E192" i="3"/>
  <c r="E258" i="3"/>
  <c r="E241" i="3"/>
  <c r="E363" i="3"/>
  <c r="E349" i="3"/>
  <c r="E389" i="3"/>
  <c r="E544" i="3"/>
  <c r="E76" i="3"/>
  <c r="E462" i="3"/>
  <c r="E446" i="3"/>
  <c r="E98" i="3"/>
  <c r="E138" i="3"/>
  <c r="E137" i="3"/>
  <c r="E194" i="3"/>
  <c r="E325" i="3"/>
  <c r="E392" i="3"/>
  <c r="AQ6" i="3"/>
  <c r="E52" i="3"/>
  <c r="E36" i="3"/>
  <c r="E112" i="3"/>
  <c r="E147" i="3"/>
  <c r="E289" i="3"/>
  <c r="E340" i="3"/>
  <c r="E364" i="3"/>
  <c r="E50" i="3"/>
  <c r="E20" i="3"/>
  <c r="E62" i="3"/>
  <c r="E176" i="3"/>
  <c r="E265" i="3"/>
  <c r="E365" i="3"/>
  <c r="E524" i="3"/>
  <c r="E101" i="3"/>
  <c r="E53" i="3"/>
  <c r="E319" i="3"/>
  <c r="E501" i="3"/>
  <c r="E153" i="3"/>
  <c r="E426" i="3"/>
  <c r="E328" i="3"/>
  <c r="E583" i="3"/>
  <c r="X6" i="3"/>
  <c r="E336" i="3"/>
  <c r="E246" i="3"/>
  <c r="E293" i="3"/>
  <c r="E358" i="3"/>
  <c r="E559" i="3"/>
  <c r="E551" i="3"/>
  <c r="V6" i="3"/>
  <c r="E407" i="3"/>
  <c r="E320" i="3"/>
  <c r="E294" i="3"/>
  <c r="E230" i="3"/>
  <c r="E130" i="3"/>
  <c r="E254" i="3"/>
  <c r="E221" i="3"/>
  <c r="E149" i="3"/>
  <c r="E77" i="3"/>
  <c r="E212" i="3"/>
  <c r="E253" i="3"/>
  <c r="E167" i="3"/>
  <c r="E199" i="3"/>
  <c r="E141" i="3"/>
  <c r="E286" i="3"/>
  <c r="E312" i="3"/>
  <c r="E575" i="3"/>
  <c r="AD6" i="3"/>
  <c r="E499" i="3"/>
  <c r="E542" i="3"/>
  <c r="R6" i="3"/>
  <c r="E552" i="3"/>
  <c r="E502" i="3"/>
  <c r="E421" i="3"/>
  <c r="E217" i="3"/>
  <c r="E268" i="3"/>
  <c r="AJ6" i="3"/>
  <c r="E567" i="3"/>
  <c r="E227" i="3"/>
  <c r="E390" i="3"/>
  <c r="E523" i="3"/>
  <c r="E418" i="3"/>
  <c r="E321" i="3"/>
  <c r="E169" i="3"/>
  <c r="E290" i="3"/>
  <c r="E140" i="3"/>
  <c r="E223" i="3"/>
  <c r="E197" i="3"/>
  <c r="E173" i="3"/>
  <c r="E369" i="3"/>
  <c r="E525" i="3"/>
  <c r="E534" i="3"/>
  <c r="T6" i="3"/>
  <c r="E405"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03" i="3"/>
  <c r="E64" i="3"/>
  <c r="E4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37" i="3"/>
  <c r="Q6" i="3"/>
  <c r="E330" i="3"/>
  <c r="E177" i="3"/>
  <c r="E120" i="3"/>
  <c r="E185" i="3"/>
  <c r="E439" i="3"/>
  <c r="E533" i="3"/>
  <c r="E510" i="3"/>
  <c r="E282"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75" i="3"/>
  <c r="E530" i="3"/>
  <c r="E343" i="3"/>
  <c r="E305" i="3"/>
  <c r="E508" i="3"/>
  <c r="E347" i="3"/>
  <c r="AA6" i="3"/>
  <c r="E399" i="3"/>
  <c r="E280" i="3"/>
  <c r="E124" i="3"/>
  <c r="E311" i="3"/>
  <c r="E514" i="3"/>
  <c r="E570" i="3"/>
  <c r="M6" i="3"/>
  <c r="AB6" i="3"/>
  <c r="E387" i="3"/>
  <c r="E335" i="3"/>
  <c r="E215" i="3"/>
  <c r="E189" i="3"/>
  <c r="E134" i="3"/>
  <c r="E91" i="3"/>
  <c r="E180" i="3"/>
  <c r="E207" i="3"/>
  <c r="E252" i="3"/>
  <c r="E271" i="3"/>
  <c r="E204" i="3"/>
  <c r="E145" i="3"/>
  <c r="E164" i="3"/>
  <c r="E107" i="3"/>
  <c r="E327" i="3"/>
  <c r="E379" i="3"/>
  <c r="E576" i="3"/>
  <c r="E585" i="3"/>
  <c r="Z6" i="3"/>
  <c r="U6" i="3"/>
  <c r="AG6" i="3"/>
  <c r="E515" i="3"/>
  <c r="AO6" i="3"/>
  <c r="E411" i="3"/>
  <c r="E526" i="3"/>
  <c r="E322" i="3"/>
  <c r="E539" i="3"/>
  <c r="E461" i="3"/>
  <c r="E165" i="3"/>
  <c r="S6" i="3"/>
  <c r="E506" i="3"/>
  <c r="E338" i="3"/>
  <c r="E298" i="3"/>
  <c r="E61" i="3"/>
  <c r="E117" i="3"/>
  <c r="E85" i="3"/>
  <c r="E238" i="3"/>
  <c r="E116" i="3"/>
  <c r="E105" i="3"/>
  <c r="E393" i="3"/>
  <c r="E493" i="3"/>
  <c r="E564" i="3"/>
  <c r="E543"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E560" i="3"/>
  <c r="K6" i="3"/>
  <c r="E133" i="3"/>
  <c r="E277" i="3"/>
  <c r="E161" i="3"/>
  <c r="E231" i="3"/>
  <c r="E561" i="3"/>
  <c r="E205" i="3"/>
  <c r="E329"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C36" i="43"/>
  <c r="E36" i="43" s="1"/>
  <c r="E16" i="71"/>
  <c r="E15" i="71" s="1"/>
  <c r="E14" i="71" s="1"/>
  <c r="E13" i="71" s="1"/>
  <c r="V17" i="71"/>
  <c r="D80" i="71"/>
  <c r="C79" i="71"/>
  <c r="D79" i="71" s="1"/>
  <c r="C71" i="71"/>
  <c r="D71" i="71" s="1"/>
  <c r="D72" i="71"/>
  <c r="O64" i="71"/>
  <c r="C63" i="71"/>
  <c r="D64" i="71"/>
  <c r="D36" i="71"/>
  <c r="C37" i="71"/>
  <c r="E86" i="3"/>
  <c r="E58" i="3"/>
  <c r="E299" i="3"/>
  <c r="E235" i="3"/>
  <c r="E219" i="3"/>
  <c r="E378" i="3"/>
  <c r="E491" i="3"/>
  <c r="E464" i="3"/>
  <c r="E460" i="3"/>
  <c r="S3" i="43"/>
  <c r="S5" i="43"/>
  <c r="E582" i="3"/>
  <c r="AA9" i="34"/>
  <c r="S9" i="34"/>
  <c r="AA17" i="40"/>
  <c r="S17" i="40"/>
  <c r="C33" i="43"/>
  <c r="F27" i="11"/>
  <c r="C47" i="11" s="1"/>
  <c r="D45" i="11" s="1"/>
  <c r="F53" i="9"/>
  <c r="F32" i="67"/>
  <c r="F60" i="67" s="1"/>
  <c r="F31" i="12"/>
  <c r="C31" i="12" s="1"/>
  <c r="C28" i="71"/>
  <c r="D27" i="71"/>
  <c r="E95" i="3"/>
  <c r="E83" i="3"/>
  <c r="E59" i="3"/>
  <c r="E47" i="3"/>
  <c r="E37" i="3"/>
  <c r="E34" i="3"/>
  <c r="AZ22" i="3"/>
  <c r="BA5" i="3"/>
  <c r="E27" i="6" s="1"/>
  <c r="K21" i="6" s="1"/>
  <c r="M21" i="6" s="1"/>
  <c r="I21" i="6" s="1"/>
  <c r="S21" i="6" s="1"/>
  <c r="E128" i="3"/>
  <c r="E123" i="3"/>
  <c r="E292" i="3"/>
  <c r="E275" i="3"/>
  <c r="E251" i="3"/>
  <c r="E234" i="3"/>
  <c r="E232" i="3"/>
  <c r="E218" i="3"/>
  <c r="E339" i="3"/>
  <c r="AZ486" i="3"/>
  <c r="E479" i="3"/>
  <c r="AZ15" i="3"/>
  <c r="AZ5" i="3" s="1"/>
  <c r="BL5" i="3"/>
  <c r="E449" i="3"/>
  <c r="E435" i="3"/>
  <c r="E430" i="3"/>
  <c r="AZ406" i="3"/>
  <c r="E566" i="3"/>
  <c r="AA44" i="39"/>
  <c r="S44" i="39"/>
  <c r="AC17" i="40"/>
  <c r="T3" i="43"/>
  <c r="V3" i="43" s="1"/>
  <c r="T2" i="43"/>
  <c r="V2" i="43" s="1"/>
  <c r="C34" i="43"/>
  <c r="C37" i="43"/>
  <c r="E37" i="43" s="1"/>
  <c r="T11" i="43"/>
  <c r="V11" i="43" s="1"/>
  <c r="C47" i="69"/>
  <c r="D45" i="69" s="1"/>
  <c r="F45" i="69"/>
  <c r="F28" i="12"/>
  <c r="F48" i="69"/>
  <c r="C48" i="69"/>
  <c r="F30" i="68"/>
  <c r="F48" i="68" s="1"/>
  <c r="F52" i="9"/>
  <c r="F32" i="15"/>
  <c r="F60" i="15" s="1"/>
  <c r="F54" i="9"/>
  <c r="F48" i="9"/>
  <c r="O52" i="9" s="1"/>
  <c r="F30" i="11"/>
  <c r="M18" i="15"/>
  <c r="M18" i="67"/>
  <c r="T6" i="43"/>
  <c r="V6" i="43" s="1"/>
  <c r="C29" i="69"/>
  <c r="D27" i="69" s="1"/>
  <c r="AC6" i="3"/>
  <c r="D22" i="43"/>
  <c r="T12" i="43"/>
  <c r="V12" i="43" s="1"/>
  <c r="T14" i="43"/>
  <c r="V14" i="43" s="1"/>
  <c r="T5" i="43"/>
  <c r="V5" i="43" s="1"/>
  <c r="T13" i="43"/>
  <c r="V13" i="43" s="1"/>
  <c r="T10" i="43"/>
  <c r="V10" i="43" s="1"/>
  <c r="T4" i="43"/>
  <c r="V4" i="43" s="1"/>
  <c r="T9" i="43"/>
  <c r="V9" i="43" s="1"/>
  <c r="C29" i="68"/>
  <c r="D27" i="68" s="1"/>
  <c r="J10" i="39"/>
  <c r="W10" i="39" s="1"/>
  <c r="H10" i="40"/>
  <c r="AB10" i="40" s="1"/>
  <c r="F10" i="39"/>
  <c r="S10" i="39" s="1"/>
  <c r="H10" i="39"/>
  <c r="AB10" i="39" s="1"/>
  <c r="J10" i="40"/>
  <c r="W10" i="40" s="1"/>
  <c r="K46" i="36"/>
  <c r="L46" i="36" s="1"/>
  <c r="M46" i="36" s="1"/>
  <c r="N46" i="36" s="1"/>
  <c r="O46" i="36" s="1"/>
  <c r="J7" i="36"/>
  <c r="C28" i="15"/>
  <c r="C13" i="12"/>
  <c r="C77" i="9"/>
  <c r="C74" i="9" s="1"/>
  <c r="C30" i="68"/>
  <c r="C36" i="11"/>
  <c r="C30" i="69"/>
  <c r="C28" i="67"/>
  <c r="C24" i="12"/>
  <c r="D70" i="39"/>
  <c r="E68" i="39"/>
  <c r="C47" i="68"/>
  <c r="D45" i="68" s="1"/>
  <c r="G36" i="43"/>
  <c r="I36" i="43" s="1"/>
  <c r="F7" i="36"/>
  <c r="J7" i="37"/>
  <c r="H7" i="36"/>
  <c r="H7" i="34"/>
  <c r="F7" i="34"/>
  <c r="C20" i="71"/>
  <c r="D21" i="71"/>
  <c r="U21" i="71" s="1"/>
  <c r="T21" i="71"/>
  <c r="D56" i="71"/>
  <c r="C57" i="71"/>
  <c r="D52" i="71"/>
  <c r="C53" i="71"/>
  <c r="D48" i="71"/>
  <c r="C49" i="71"/>
  <c r="T33" i="71"/>
  <c r="D33"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9" i="43"/>
  <c r="M104" i="43"/>
  <c r="M107" i="43"/>
  <c r="M105" i="43"/>
  <c r="M102" i="43"/>
  <c r="M103" i="43"/>
  <c r="M106" i="43"/>
  <c r="N103" i="43"/>
  <c r="N106" i="43"/>
  <c r="N107" i="43"/>
  <c r="N102" i="43"/>
  <c r="N105" i="43"/>
  <c r="N104" i="43"/>
  <c r="N109" i="43"/>
  <c r="K107" i="43"/>
  <c r="K104" i="43"/>
  <c r="K106" i="43"/>
  <c r="K103" i="43"/>
  <c r="K102" i="43"/>
  <c r="K105" i="43"/>
  <c r="K109" i="43"/>
  <c r="B34" i="72"/>
  <c r="D17" i="53"/>
  <c r="B36" i="72" s="1"/>
  <c r="B20" i="71"/>
  <c r="B19" i="71" s="1"/>
  <c r="B18" i="71" s="1"/>
  <c r="B17" i="71" s="1"/>
  <c r="S21" i="71"/>
  <c r="F63" i="71"/>
  <c r="Q64" i="71"/>
  <c r="D40" i="71"/>
  <c r="C41" i="71"/>
  <c r="W36" i="35"/>
  <c r="AC36" i="35"/>
  <c r="S34" i="35"/>
  <c r="AA34" i="35"/>
  <c r="H107" i="43"/>
  <c r="H106" i="43"/>
  <c r="H105" i="43"/>
  <c r="H103" i="43"/>
  <c r="H109" i="43"/>
  <c r="H102" i="43"/>
  <c r="H104"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F107" i="43"/>
  <c r="F106" i="43"/>
  <c r="F103" i="43"/>
  <c r="F104" i="43"/>
  <c r="F102" i="43"/>
  <c r="F105" i="43"/>
  <c r="F109" i="43"/>
  <c r="D10" i="52"/>
  <c r="D125" i="9"/>
  <c r="D11" i="52" s="1"/>
  <c r="H14" i="74"/>
  <c r="B7" i="74" s="1"/>
  <c r="K22" i="6"/>
  <c r="M22" i="6" s="1"/>
  <c r="I22" i="6" s="1"/>
  <c r="S22" i="6" s="1"/>
  <c r="E30" i="6"/>
  <c r="K20" i="6"/>
  <c r="M20" i="6" s="1"/>
  <c r="I20" i="6" s="1"/>
  <c r="S20" i="6" s="1"/>
  <c r="K19" i="6"/>
  <c r="S6" i="1" s="1"/>
  <c r="K14" i="1"/>
  <c r="K23" i="6"/>
  <c r="M23" i="6" s="1"/>
  <c r="I23" i="6" s="1"/>
  <c r="S23" i="6" s="1"/>
  <c r="T8" i="43"/>
  <c r="V8" i="43" s="1"/>
  <c r="T16" i="43"/>
  <c r="V16" i="43" s="1"/>
  <c r="T7" i="43"/>
  <c r="V7" i="43" s="1"/>
  <c r="C29" i="43"/>
  <c r="E29" i="43" s="1"/>
  <c r="T15" i="43"/>
  <c r="V15" i="43" s="1"/>
  <c r="F59" i="67"/>
  <c r="G35" i="43"/>
  <c r="I35" i="43" s="1"/>
  <c r="H7" i="37"/>
  <c r="AB7" i="37" s="1"/>
  <c r="T42" i="37" s="1"/>
  <c r="G42" i="37" s="1"/>
  <c r="U10" i="40"/>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C17" i="15"/>
  <c r="AE6" i="1"/>
  <c r="G1" i="73"/>
  <c r="C29" i="11" l="1"/>
  <c r="D27" i="11" s="1"/>
  <c r="Q74" i="15"/>
  <c r="K25" i="6"/>
  <c r="M25" i="6" s="1"/>
  <c r="I25" i="6" s="1"/>
  <c r="S25" i="6" s="1"/>
  <c r="K24" i="6"/>
  <c r="M24" i="6" s="1"/>
  <c r="I24" i="6" s="1"/>
  <c r="S24" i="6" s="1"/>
  <c r="K26" i="6"/>
  <c r="M26" i="6" s="1"/>
  <c r="I26" i="6" s="1"/>
  <c r="S26" i="6" s="1"/>
  <c r="E31" i="6"/>
  <c r="B40" i="1"/>
  <c r="F25" i="12" s="1"/>
  <c r="AY6" i="3"/>
  <c r="E3" i="6"/>
  <c r="E6" i="70"/>
  <c r="E2" i="70" s="1"/>
  <c r="T37" i="71"/>
  <c r="D37" i="71"/>
  <c r="V13" i="71"/>
  <c r="E12" i="71"/>
  <c r="E11" i="71" s="1"/>
  <c r="E10" i="71" s="1"/>
  <c r="E9" i="71" s="1"/>
  <c r="H6" i="3"/>
  <c r="E6" i="3" s="1"/>
  <c r="D28" i="71"/>
  <c r="C29" i="71"/>
  <c r="D63" i="71"/>
  <c r="O62" i="71"/>
  <c r="O63" i="71"/>
  <c r="C26" i="43"/>
  <c r="G37" i="43"/>
  <c r="I37" i="43" s="1"/>
  <c r="C29" i="12"/>
  <c r="D28" i="12" s="1"/>
  <c r="C48" i="68"/>
  <c r="C48" i="11"/>
  <c r="C30" i="11"/>
  <c r="U10" i="39"/>
  <c r="AQ6" i="1"/>
  <c r="AR6" i="1"/>
  <c r="S16" i="1"/>
  <c r="T6" i="1"/>
  <c r="AA10" i="39"/>
  <c r="C30" i="43"/>
  <c r="E30" i="43" s="1"/>
  <c r="C27" i="43" s="1"/>
  <c r="AC10" i="40"/>
  <c r="AC10" i="39"/>
  <c r="F68" i="39"/>
  <c r="E70" i="39"/>
  <c r="T41" i="71"/>
  <c r="D41" i="71"/>
  <c r="T49" i="71"/>
  <c r="D49" i="71"/>
  <c r="T53" i="71"/>
  <c r="D53" i="71"/>
  <c r="T57" i="71"/>
  <c r="D5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M19" i="6"/>
  <c r="K27" i="6"/>
  <c r="C115" i="43"/>
  <c r="D113" i="43"/>
  <c r="Q63" i="71"/>
  <c r="Q62" i="71"/>
  <c r="B16" i="71"/>
  <c r="B15" i="71" s="1"/>
  <c r="B14" i="71" s="1"/>
  <c r="B13" i="71" s="1"/>
  <c r="S17" i="71"/>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41" i="15"/>
  <c r="E6" i="76"/>
  <c r="C14" i="15"/>
  <c r="F22" i="11" l="1"/>
  <c r="C44" i="11" s="1"/>
  <c r="D41" i="11" s="1"/>
  <c r="F24" i="15"/>
  <c r="C24" i="15" s="1"/>
  <c r="F22" i="69"/>
  <c r="F41" i="69" s="1"/>
  <c r="F22" i="68"/>
  <c r="C44" i="68" s="1"/>
  <c r="D41" i="68" s="1"/>
  <c r="F24" i="67"/>
  <c r="C24" i="67" s="1"/>
  <c r="C18" i="15"/>
  <c r="C15" i="15"/>
  <c r="E8" i="71"/>
  <c r="E7" i="71" s="1"/>
  <c r="E6" i="71" s="1"/>
  <c r="E5" i="71" s="1"/>
  <c r="V9" i="71"/>
  <c r="T29" i="71"/>
  <c r="D29" i="71"/>
  <c r="F69" i="15"/>
  <c r="J29" i="15"/>
  <c r="G68" i="39"/>
  <c r="F70" i="39"/>
  <c r="C20" i="11"/>
  <c r="C28" i="11" s="1"/>
  <c r="C27" i="11" s="1"/>
  <c r="C7" i="74"/>
  <c r="C35" i="69"/>
  <c r="C38" i="69"/>
  <c r="O14" i="1"/>
  <c r="O16" i="1" s="1"/>
  <c r="M16" i="1"/>
  <c r="T16" i="1"/>
  <c r="D19" i="71"/>
  <c r="C18" i="71"/>
  <c r="D17" i="12"/>
  <c r="C17" i="12" s="1"/>
  <c r="C14" i="12"/>
  <c r="D10" i="68"/>
  <c r="D10" i="69"/>
  <c r="D10" i="11"/>
  <c r="C10" i="11" s="1"/>
  <c r="D20" i="12"/>
  <c r="C20" i="12" s="1"/>
  <c r="B12" i="71"/>
  <c r="B11" i="71" s="1"/>
  <c r="B10" i="71" s="1"/>
  <c r="B9" i="71" s="1"/>
  <c r="S13" i="71"/>
  <c r="M27" i="6"/>
  <c r="I19" i="6"/>
  <c r="H19" i="6" s="1"/>
  <c r="H20" i="6"/>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D25" i="6"/>
  <c r="R25" i="6" s="1"/>
  <c r="D15" i="6"/>
  <c r="D22" i="6"/>
  <c r="D21" i="6"/>
  <c r="D24" i="6"/>
  <c r="D20" i="6"/>
  <c r="R20" i="6"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2" i="76"/>
  <c r="B2" i="43"/>
  <c r="C60" i="15"/>
  <c r="C66" i="15"/>
  <c r="C26" i="12"/>
  <c r="D25" i="12" s="1"/>
  <c r="C38" i="67"/>
  <c r="C38" i="15"/>
  <c r="C66" i="67"/>
  <c r="C60" i="67"/>
  <c r="B6" i="76"/>
  <c r="C26" i="68" l="1"/>
  <c r="D22" i="68" s="1"/>
  <c r="F41" i="68"/>
  <c r="C25" i="11"/>
  <c r="C26" i="69"/>
  <c r="D22" i="69" s="1"/>
  <c r="C23" i="11"/>
  <c r="C26" i="11"/>
  <c r="D22" i="11" s="1"/>
  <c r="C24" i="11"/>
  <c r="C23" i="67"/>
  <c r="C29" i="67" s="1"/>
  <c r="C33" i="67" s="1"/>
  <c r="C31" i="67" s="1"/>
  <c r="C44" i="69"/>
  <c r="D41" i="69" s="1"/>
  <c r="C19" i="15"/>
  <c r="C20" i="15" s="1"/>
  <c r="H27" i="6"/>
  <c r="D30" i="6"/>
  <c r="D16" i="6"/>
  <c r="R24" i="6"/>
  <c r="R22" i="6"/>
  <c r="R21" i="6"/>
  <c r="G70" i="39"/>
  <c r="H68" i="39"/>
  <c r="R23" i="6"/>
  <c r="A7" i="51"/>
  <c r="B7" i="72" s="1"/>
  <c r="C4" i="52"/>
  <c r="B45" i="72" s="1"/>
  <c r="A10" i="51"/>
  <c r="B9" i="72" s="1"/>
  <c r="D27" i="6"/>
  <c r="R19" i="6"/>
  <c r="B8" i="71"/>
  <c r="B7" i="71" s="1"/>
  <c r="B6" i="71" s="1"/>
  <c r="B5" i="71" s="1"/>
  <c r="S9" i="71"/>
  <c r="C10" i="68"/>
  <c r="B29" i="1" s="1"/>
  <c r="C8" i="68" s="1"/>
  <c r="D19" i="68"/>
  <c r="N16" i="1"/>
  <c r="L16" i="1"/>
  <c r="C34" i="11"/>
  <c r="C34" i="68"/>
  <c r="P14" i="1"/>
  <c r="P16" i="1" s="1"/>
  <c r="C11" i="12" s="1"/>
  <c r="R26" i="6"/>
  <c r="D8" i="74"/>
  <c r="D7" i="74"/>
  <c r="I27" i="6"/>
  <c r="S19" i="6"/>
  <c r="S27" i="6" s="1"/>
  <c r="C10" i="69"/>
  <c r="C8" i="69" s="1"/>
  <c r="C5" i="69" s="1"/>
  <c r="D19" i="69"/>
  <c r="C17" i="71"/>
  <c r="D1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6" i="67"/>
  <c r="D31" i="6" l="1"/>
  <c r="C31" i="11"/>
  <c r="J19" i="67"/>
  <c r="J17" i="67" s="1"/>
  <c r="Q49" i="67"/>
  <c r="J14" i="67"/>
  <c r="J22" i="67" s="1"/>
  <c r="J59" i="67"/>
  <c r="J60" i="67" s="1"/>
  <c r="Q48" i="67" s="1"/>
  <c r="C57" i="67"/>
  <c r="C61" i="67" s="1"/>
  <c r="C59" i="67" s="1"/>
  <c r="C13" i="67"/>
  <c r="C56" i="67" s="1"/>
  <c r="C65" i="67" s="1"/>
  <c r="C26" i="15"/>
  <c r="C23" i="15"/>
  <c r="C18" i="12"/>
  <c r="R27" i="6"/>
  <c r="R6" i="1"/>
  <c r="I68" i="39"/>
  <c r="H70" i="39"/>
  <c r="C16" i="71"/>
  <c r="T17" i="71"/>
  <c r="D17" i="71"/>
  <c r="U17" i="71" s="1"/>
  <c r="C23" i="69"/>
  <c r="C15" i="12"/>
  <c r="C12" i="12"/>
  <c r="C38" i="11"/>
  <c r="C35" i="11"/>
  <c r="F50" i="11"/>
  <c r="F50" i="68"/>
  <c r="F50" i="69"/>
  <c r="I6" i="6"/>
  <c r="I5" i="6"/>
  <c r="C19" i="69"/>
  <c r="C24" i="69" s="1"/>
  <c r="D37" i="69"/>
  <c r="C37" i="69" s="1"/>
  <c r="C33" i="69" s="1"/>
  <c r="C35" i="68"/>
  <c r="C38" i="68"/>
  <c r="C19" i="68"/>
  <c r="D37" i="68"/>
  <c r="C37" i="68" s="1"/>
  <c r="I63" i="40"/>
  <c r="H65" i="40"/>
  <c r="I58" i="21"/>
  <c r="J58" i="21" s="1"/>
  <c r="K58" i="21" s="1"/>
  <c r="L58" i="21" s="1"/>
  <c r="M58" i="21" s="1"/>
  <c r="N58" i="21" s="1"/>
  <c r="O58" i="21" s="1"/>
  <c r="H7" i="21" s="1"/>
  <c r="J48" i="35"/>
  <c r="J13" i="67"/>
  <c r="J23" i="67" s="1"/>
  <c r="F35" i="15"/>
  <c r="M21" i="15"/>
  <c r="C75" i="67" l="1"/>
  <c r="C37" i="67"/>
  <c r="C30" i="67" s="1"/>
  <c r="C39" i="67" s="1"/>
  <c r="C40" i="67" s="1"/>
  <c r="L46" i="67"/>
  <c r="C64" i="67"/>
  <c r="C58" i="67" s="1"/>
  <c r="C67" i="67" s="1"/>
  <c r="C68" i="67" s="1"/>
  <c r="C29" i="15"/>
  <c r="C36" i="15" s="1"/>
  <c r="Q70" i="67"/>
  <c r="F7" i="21"/>
  <c r="S7" i="21" s="1"/>
  <c r="J7" i="21"/>
  <c r="W7" i="21" s="1"/>
  <c r="F63" i="15"/>
  <c r="C62" i="15" s="1"/>
  <c r="C34" i="15"/>
  <c r="C31" i="15" s="1"/>
  <c r="J20" i="15"/>
  <c r="R16" i="1"/>
  <c r="I70" i="39"/>
  <c r="J68" i="39"/>
  <c r="C16" i="12"/>
  <c r="C21" i="12" s="1"/>
  <c r="C22" i="12" s="1"/>
  <c r="C30" i="12" s="1"/>
  <c r="C28" i="12" s="1"/>
  <c r="C33" i="68"/>
  <c r="C39" i="68" s="1"/>
  <c r="C24" i="68"/>
  <c r="C33" i="11"/>
  <c r="C20" i="69"/>
  <c r="C39" i="69"/>
  <c r="C43" i="69" s="1"/>
  <c r="C42" i="69"/>
  <c r="C15" i="71"/>
  <c r="D16" i="71"/>
  <c r="U7" i="21"/>
  <c r="AB7" i="21"/>
  <c r="T48" i="21" s="1"/>
  <c r="G48" i="21" s="1"/>
  <c r="J63" i="40"/>
  <c r="I65" i="40"/>
  <c r="K48" i="35"/>
  <c r="L48" i="35" s="1"/>
  <c r="M48" i="35" s="1"/>
  <c r="N48" i="35" s="1"/>
  <c r="O48" i="35" s="1"/>
  <c r="H7" i="35" s="1"/>
  <c r="AC7" i="21"/>
  <c r="V48" i="21" s="1"/>
  <c r="I48" i="21" s="1"/>
  <c r="J16" i="67"/>
  <c r="J25" i="67" s="1"/>
  <c r="AA7" i="21" l="1"/>
  <c r="R48" i="21" s="1"/>
  <c r="Q49" i="15"/>
  <c r="J59" i="15"/>
  <c r="J60" i="15" s="1"/>
  <c r="Q48" i="15" s="1"/>
  <c r="J14" i="15"/>
  <c r="J13" i="15" s="1"/>
  <c r="J23" i="15" s="1"/>
  <c r="Q69" i="67"/>
  <c r="Q68" i="67" s="1"/>
  <c r="C80" i="67"/>
  <c r="C79" i="67" s="1"/>
  <c r="C13" i="15"/>
  <c r="Q70" i="15" s="1"/>
  <c r="J19" i="15"/>
  <c r="J17" i="15" s="1"/>
  <c r="C57" i="15"/>
  <c r="C64" i="15" s="1"/>
  <c r="J7" i="35"/>
  <c r="W7" i="35" s="1"/>
  <c r="J70" i="39"/>
  <c r="K68" i="39"/>
  <c r="C41" i="69"/>
  <c r="C27" i="12"/>
  <c r="C25" i="12" s="1"/>
  <c r="C32" i="12" s="1"/>
  <c r="B2" i="12" s="1"/>
  <c r="B3" i="12" s="1"/>
  <c r="C46" i="69"/>
  <c r="C45" i="69" s="1"/>
  <c r="C42" i="68"/>
  <c r="C14" i="71"/>
  <c r="D15" i="71"/>
  <c r="C46" i="68"/>
  <c r="C45" i="68" s="1"/>
  <c r="C43" i="68"/>
  <c r="C39" i="11"/>
  <c r="C42" i="11"/>
  <c r="C28" i="69"/>
  <c r="C27" i="69" s="1"/>
  <c r="C25" i="69"/>
  <c r="C22" i="69" s="1"/>
  <c r="J65" i="40"/>
  <c r="K63" i="40"/>
  <c r="I52" i="21"/>
  <c r="J52" i="21" s="1"/>
  <c r="U7" i="35"/>
  <c r="AB7" i="35"/>
  <c r="T38" i="35" s="1"/>
  <c r="G38" i="35" s="1"/>
  <c r="R49" i="21"/>
  <c r="E48" i="21"/>
  <c r="G52" i="21"/>
  <c r="H52" i="21" s="1"/>
  <c r="G53" i="21"/>
  <c r="H53" i="21" s="1"/>
  <c r="F7" i="35"/>
  <c r="L57" i="15"/>
  <c r="L60" i="15" s="1"/>
  <c r="C45" i="67"/>
  <c r="C46" i="67" s="1"/>
  <c r="C71" i="67"/>
  <c r="C43" i="67"/>
  <c r="D2" i="67"/>
  <c r="Q47" i="67"/>
  <c r="Q53" i="67" s="1"/>
  <c r="Q56" i="67"/>
  <c r="Q65" i="67"/>
  <c r="C83" i="67"/>
  <c r="C82" i="67" s="1"/>
  <c r="L51" i="67"/>
  <c r="Q67" i="67" l="1"/>
  <c r="L57" i="67"/>
  <c r="L60" i="67" s="1"/>
  <c r="Q57" i="67" s="1"/>
  <c r="Q62" i="67" s="1"/>
  <c r="C37" i="15"/>
  <c r="C30" i="15" s="1"/>
  <c r="C39" i="15" s="1"/>
  <c r="L46" i="15"/>
  <c r="C61" i="15"/>
  <c r="C59" i="15" s="1"/>
  <c r="J22" i="15"/>
  <c r="J16" i="15" s="1"/>
  <c r="J25" i="15" s="1"/>
  <c r="C75" i="15"/>
  <c r="C80" i="15" s="1"/>
  <c r="C79" i="15" s="1"/>
  <c r="C56" i="15"/>
  <c r="C65" i="15" s="1"/>
  <c r="C40" i="15"/>
  <c r="Q56" i="15" s="1"/>
  <c r="AC7" i="35"/>
  <c r="V38" i="35" s="1"/>
  <c r="I38" i="35" s="1"/>
  <c r="C41" i="68"/>
  <c r="C49" i="68" s="1"/>
  <c r="C51" i="68" s="1"/>
  <c r="L68" i="39"/>
  <c r="K70" i="39"/>
  <c r="C49" i="69"/>
  <c r="C51" i="69" s="1"/>
  <c r="C31" i="69"/>
  <c r="C13" i="71"/>
  <c r="D14"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B2" i="67"/>
  <c r="B3" i="67"/>
  <c r="L51" i="15"/>
  <c r="Q67" i="15" l="1"/>
  <c r="Q69" i="15"/>
  <c r="Q68" i="15" s="1"/>
  <c r="C58" i="15"/>
  <c r="C67" i="15" s="1"/>
  <c r="C68" i="15" s="1"/>
  <c r="C71" i="15" s="1"/>
  <c r="C83" i="15"/>
  <c r="C82" i="15" s="1"/>
  <c r="C46" i="15"/>
  <c r="B2" i="15"/>
  <c r="Q62" i="15"/>
  <c r="C43" i="15"/>
  <c r="Q65" i="15"/>
  <c r="Q75" i="15" s="1"/>
  <c r="Q47" i="15"/>
  <c r="Q53" i="15" s="1"/>
  <c r="C52" i="69"/>
  <c r="B2" i="69" s="1"/>
  <c r="B3" i="69" s="1"/>
  <c r="C49" i="11"/>
  <c r="C51" i="11" s="1"/>
  <c r="C52" i="11" s="1"/>
  <c r="B2" i="11" s="1"/>
  <c r="B3" i="11" s="1"/>
  <c r="M68" i="39"/>
  <c r="L70" i="39"/>
  <c r="C12" i="71"/>
  <c r="T13" i="71"/>
  <c r="D13" i="71"/>
  <c r="U13" i="71" s="1"/>
  <c r="R39" i="35"/>
  <c r="E38" i="35"/>
  <c r="M63" i="40"/>
  <c r="L65" i="40"/>
  <c r="D19" i="9"/>
  <c r="AO6" i="1"/>
  <c r="D21" i="9" l="1"/>
  <c r="D102" i="9"/>
  <c r="B6" i="70"/>
  <c r="B2" i="70" s="1"/>
  <c r="B3" i="70" s="1"/>
  <c r="B3" i="15"/>
  <c r="C57" i="69"/>
  <c r="C56" i="69" s="1"/>
  <c r="M70" i="39"/>
  <c r="N68" i="39"/>
  <c r="C56" i="11"/>
  <c r="C57" i="11" s="1"/>
  <c r="D12" i="71"/>
  <c r="C11" i="71"/>
  <c r="C39" i="35"/>
  <c r="B2" i="35" s="1"/>
  <c r="B3" i="35" s="1"/>
  <c r="C38" i="35"/>
  <c r="N63" i="40"/>
  <c r="M65" i="40"/>
  <c r="E43" i="35"/>
  <c r="F43" i="35" s="1"/>
  <c r="E42" i="35"/>
  <c r="F42" i="35" s="1"/>
  <c r="I43" i="35"/>
  <c r="J43" i="35" s="1"/>
  <c r="D20" i="9"/>
  <c r="D103" i="9" l="1"/>
  <c r="O68" i="39"/>
  <c r="O70" i="39" s="1"/>
  <c r="N70" i="39"/>
  <c r="F7" i="39" s="1"/>
  <c r="H7" i="39"/>
  <c r="C10" i="71"/>
  <c r="D11" i="71"/>
  <c r="O63" i="40"/>
  <c r="O65" i="40" s="1"/>
  <c r="N65" i="40"/>
  <c r="J7" i="39" l="1"/>
  <c r="AC7" i="39" s="1"/>
  <c r="V47" i="39" s="1"/>
  <c r="I47" i="39" s="1"/>
  <c r="AB7" i="39"/>
  <c r="T47" i="39" s="1"/>
  <c r="G47" i="39" s="1"/>
  <c r="U7" i="39"/>
  <c r="S7" i="39"/>
  <c r="AA7" i="39"/>
  <c r="R47" i="39" s="1"/>
  <c r="C9" i="71"/>
  <c r="D10" i="71"/>
  <c r="J7" i="40"/>
  <c r="F7" i="40"/>
  <c r="H7" i="40"/>
  <c r="W7" i="39" l="1"/>
  <c r="R48" i="39"/>
  <c r="E47" i="39"/>
  <c r="I51" i="39"/>
  <c r="J51" i="39" s="1"/>
  <c r="I52" i="39"/>
  <c r="J52"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C48" i="39"/>
  <c r="C47" i="39"/>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B3" i="40" s="1"/>
  <c r="C23" i="68"/>
  <c r="C20" i="68"/>
  <c r="C25" i="68" s="1"/>
  <c r="D5" i="71"/>
  <c r="M20" i="43" s="1"/>
  <c r="C28" i="68" l="1"/>
  <c r="C27" i="68" s="1"/>
  <c r="C22" i="68"/>
  <c r="C31" i="68" l="1"/>
  <c r="C52" i="68" s="1"/>
  <c r="B2" i="68" s="1"/>
  <c r="C19" i="9"/>
  <c r="C57" i="68" l="1"/>
  <c r="C56" i="68" s="1"/>
  <c r="C102" i="9"/>
  <c r="C21" i="9"/>
  <c r="D22" i="9"/>
  <c r="G19" i="9"/>
  <c r="B3" i="68"/>
  <c r="D34" i="9"/>
  <c r="D35" i="9"/>
  <c r="C20" i="9"/>
  <c r="C103" i="9" l="1"/>
  <c r="G20" i="9"/>
  <c r="C32" i="9"/>
  <c r="C35" i="9" s="1"/>
  <c r="C34" i="9" s="1"/>
  <c r="G21" i="9"/>
  <c r="D118" i="9" l="1"/>
  <c r="D119" i="9" s="1"/>
  <c r="D5" i="52" s="1"/>
  <c r="B49" i="72" s="1"/>
  <c r="F118" i="9"/>
  <c r="F4" i="52" s="1"/>
  <c r="B51" i="72" s="1"/>
  <c r="H118" i="9"/>
  <c r="H119" i="9" s="1"/>
  <c r="H5" i="52" s="1"/>
  <c r="G118" i="9" l="1"/>
  <c r="G4" i="52" s="1"/>
  <c r="B52" i="72" s="1"/>
  <c r="H101" i="9"/>
  <c r="H107" i="9" s="1"/>
  <c r="I118" i="9"/>
  <c r="H102" i="9" s="1"/>
  <c r="D7" i="53" s="1"/>
  <c r="B21" i="72" s="1"/>
  <c r="D14" i="74"/>
  <c r="D26" i="74" s="1"/>
  <c r="D28" i="74" s="1"/>
  <c r="C104" i="9"/>
  <c r="H4" i="52"/>
  <c r="D4" i="52"/>
  <c r="B47" i="72" s="1"/>
  <c r="F119" i="9"/>
  <c r="F5" i="52" s="1"/>
  <c r="B53" i="72" s="1"/>
  <c r="H108" i="9" l="1"/>
  <c r="D15" i="53" s="1"/>
  <c r="B31" i="72" s="1"/>
  <c r="M49" i="9"/>
  <c r="E118" i="9"/>
  <c r="E4" i="52" s="1"/>
  <c r="B48" i="72" s="1"/>
  <c r="D122" i="9"/>
  <c r="D123" i="9" s="1"/>
  <c r="D9" i="52" s="1"/>
  <c r="D5" i="53"/>
  <c r="D6" i="53" s="1"/>
  <c r="B22" i="72" s="1"/>
  <c r="D13" i="53"/>
  <c r="D14" i="53" s="1"/>
  <c r="B32" i="72" s="1"/>
  <c r="I4" i="52"/>
  <c r="C105" i="9"/>
  <c r="M48" i="9"/>
  <c r="D45" i="9"/>
  <c r="C85" i="9" s="1"/>
  <c r="E14" i="74"/>
  <c r="B5" i="74"/>
  <c r="F14" i="74"/>
  <c r="D8" i="52"/>
  <c r="L68" i="9" l="1"/>
  <c r="M68" i="9" s="1"/>
  <c r="L66" i="9"/>
  <c r="M66" i="9" s="1"/>
  <c r="L63" i="9"/>
  <c r="M63" i="9" s="1"/>
  <c r="L65" i="9"/>
  <c r="M65" i="9" s="1"/>
  <c r="L64" i="9"/>
  <c r="M64" i="9" s="1"/>
  <c r="L67" i="9"/>
  <c r="M67" i="9" s="1"/>
  <c r="G14" i="74"/>
  <c r="B6" i="74" s="1"/>
  <c r="D6" i="74" s="1"/>
  <c r="B20" i="72"/>
  <c r="C78" i="9"/>
  <c r="C73" i="9" s="1"/>
  <c r="B30" i="72"/>
  <c r="C93" i="9"/>
  <c r="C86" i="9" s="1"/>
  <c r="C95" i="9" s="1"/>
  <c r="D53" i="9"/>
  <c r="C72" i="9"/>
  <c r="D52" i="9"/>
  <c r="C64" i="9"/>
  <c r="C63" i="9" s="1"/>
  <c r="C67" i="9" s="1"/>
  <c r="D59" i="9" s="1"/>
  <c r="M55" i="9" s="1"/>
  <c r="D55" i="9"/>
  <c r="M53" i="9" s="1"/>
  <c r="D5" i="74"/>
  <c r="C5" i="74"/>
  <c r="C79" i="9" l="1"/>
  <c r="C6" i="74"/>
  <c r="M69" i="9"/>
  <c r="N69" i="9" s="1"/>
  <c r="C68" i="9"/>
  <c r="D54"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<sst xmlns="http://schemas.openxmlformats.org/spreadsheetml/2006/main" count="7531" uniqueCount="3234">
  <si>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</si>
  <si>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</si>
  <si>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</si>
  <si>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</si>
  <si>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</si>
  <si>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</si>
  <si>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</si>
  <si>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</si>
  <si>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</si>
  <si>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</si>
  <si>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</si>
  <si>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</si>
  <si>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</si>
  <si>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</si>
  <si>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</si>
  <si>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</si>
  <si>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</si>
  <si>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</si>
  <si>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</si>
  <si>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</si>
  <si>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</si>
  <si>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</si>
  <si>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</si>
  <si>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</si>
  <si>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</si>
  <si>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</si>
  <si>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</si>
  <si>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</si>
  <si>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</si>
  <si>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</si>
  <si>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</si>
  <si>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</si>
  <si>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</si>
  <si>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</si>
  <si>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</si>
  <si>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</si>
  <si>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</si>
  <si>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</si>
  <si>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</si>
  <si>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</si>
  <si>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</si>
  <si>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</si>
  <si>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</si>
  <si>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</si>
  <si>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</si>
  <si>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</si>
  <si>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</si>
  <si>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</si>
  <si>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</si>
  <si>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</si>
  <si>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</si>
  <si>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</si>
  <si>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</si>
  <si>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</si>
  <si>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</si>
  <si>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</si>
  <si>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</si>
  <si>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</si>
  <si>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</si>
  <si>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</si>
  <si>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</si>
  <si>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</si>
  <si>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</si>
  <si>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</si>
  <si>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</si>
  <si>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</si>
  <si>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</si>
  <si>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</si>
  <si>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</si>
  <si>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</si>
  <si>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</si>
  <si>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</si>
  <si>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</si>
  <si>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</si>
  <si>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</si>
  <si>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</si>
  <si>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</si>
  <si>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</si>
  <si>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</si>
  <si>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</si>
  <si>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</si>
  <si>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</si>
  <si>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</si>
  <si>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</si>
  <si>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</si>
  <si>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</si>
  <si>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</si>
  <si>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</si>
  <si>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</si>
  <si>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</si>
  <si>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</si>
  <si>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</si>
  <si>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</si>
  <si>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</si>
  <si>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</si>
  <si>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</si>
  <si>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</si>
  <si>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</si>
  <si>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</si>
  <si>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</si>
  <si>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</si>
  <si>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</si>
  <si>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</si>
  <si>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</si>
  <si>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</si>
  <si>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</si>
  <si>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</si>
  <si>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</si>
  <si>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</si>
  <si>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</si>
  <si>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</si>
  <si>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</si>
  <si>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</si>
  <si>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</si>
  <si>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</si>
  <si>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</si>
  <si>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</si>
  <si>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</si>
  <si>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</si>
  <si>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</si>
  <si>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</si>
  <si>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</si>
  <si>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</si>
  <si>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</si>
  <si>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</si>
  <si>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</si>
  <si>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</si>
  <si>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</si>
  <si>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</si>
  <si>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</si>
  <si>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</si>
  <si>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</si>
  <si>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</si>
  <si>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</si>
  <si>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</si>
  <si>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</si>
  <si>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</si>
  <si>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</si>
  <si>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</si>
  <si>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</si>
  <si>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</si>
  <si>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</si>
  <si>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</si>
  <si>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</si>
  <si>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</si>
  <si>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</si>
  <si>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</si>
  <si>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</si>
  <si>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</si>
  <si>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</si>
  <si>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</si>
  <si>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</si>
  <si>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</si>
  <si>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</si>
  <si>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</si>
  <si>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</si>
  <si>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</si>
  <si>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</si>
  <si>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</si>
  <si>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</si>
  <si>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</si>
  <si>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</si>
  <si>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</si>
  <si>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</si>
  <si>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</si>
  <si>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</si>
  <si>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</si>
  <si>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</si>
  <si>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</si>
  <si>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</si>
  <si>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</si>
  <si>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</si>
  <si>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</si>
  <si>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</si>
  <si>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</si>
  <si>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</si>
  <si>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</si>
  <si>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</si>
  <si>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</si>
  <si>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</si>
  <si>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</si>
  <si>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</si>
  <si>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</si>
  <si>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</si>
  <si>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</si>
  <si>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</si>
  <si>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</si>
  <si>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</si>
  <si>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</si>
  <si>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</si>
  <si>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</si>
  <si>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</si>
  <si>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</si>
  <si>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</si>
  <si>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</si>
  <si>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</si>
  <si>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</si>
  <si>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</si>
  <si>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</si>
  <si>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</si>
  <si>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</si>
  <si>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</si>
  <si>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</si>
  <si>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</si>
  <si>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</si>
  <si>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</si>
  <si>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</si>
  <si>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</si>
  <si>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</si>
  <si>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</si>
  <si>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</si>
  <si>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</si>
  <si>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</si>
  <si>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</si>
  <si>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</si>
  <si>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</si>
  <si>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</si>
  <si>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</si>
  <si>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</si>
  <si>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</si>
  <si>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</si>
  <si>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</si>
  <si>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</si>
  <si>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</si>
  <si>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</si>
  <si>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</si>
  <si>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</si>
  <si>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</si>
  <si>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</si>
  <si>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</si>
  <si>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</si>
  <si>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</si>
  <si>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</si>
  <si>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</si>
  <si>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</si>
  <si>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</si>
  <si>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</si>
  <si>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</si>
  <si>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</si>
  <si>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</si>
  <si>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</si>
  <si>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</si>
  <si>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</si>
  <si>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</si>
  <si>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</si>
  <si>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</si>
  <si>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</si>
  <si>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</si>
  <si>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</si>
  <si>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</si>
  <si>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</si>
  <si>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</si>
  <si>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</si>
  <si>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</si>
  <si>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</si>
  <si>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</si>
  <si>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</si>
  <si>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</si>
  <si>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</si>
  <si>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</si>
  <si>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</si>
  <si>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</si>
  <si>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</si>
  <si>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</si>
  <si>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</si>
  <si>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</si>
  <si>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</si>
  <si>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</si>
  <si>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</si>
  <si>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</si>
  <si>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</si>
  <si>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</si>
  <si>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</si>
  <si>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</si>
  <si>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</si>
  <si>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</si>
  <si>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</si>
  <si>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</si>
  <si>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</si>
  <si>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</si>
  <si>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</si>
  <si>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</si>
  <si>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</si>
  <si>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</si>
  <si>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</si>
  <si>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</si>
  <si>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</si>
  <si>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</si>
  <si>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</si>
  <si>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</si>
  <si>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</si>
  <si>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</si>
  <si>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</si>
  <si>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</si>
  <si>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</si>
  <si>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</si>
  <si>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</si>
  <si>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</si>
  <si>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</si>
  <si>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</si>
  <si>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</si>
  <si>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</si>
  <si>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</si>
  <si>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</si>
  <si>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</si>
  <si>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</si>
  <si>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</si>
  <si>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</si>
  <si>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</si>
  <si>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</si>
  <si>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</si>
  <si>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</si>
  <si>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</si>
  <si>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</si>
  <si>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</si>
  <si>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</si>
  <si>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</si>
  <si>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</si>
  <si>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</si>
  <si>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</si>
  <si>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</si>
  <si>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</si>
  <si>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</si>
  <si>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</si>
  <si>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</si>
  <si>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</si>
  <si>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</si>
  <si>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</si>
  <si>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</si>
  <si>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</si>
  <si>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</si>
  <si>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</si>
  <si>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</si>
  <si>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</si>
  <si>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</si>
  <si>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</si>
  <si>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</si>
  <si>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</si>
  <si>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</si>
  <si>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</si>
  <si>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</si>
  <si>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</si>
  <si>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</si>
  <si>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</si>
  <si>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</si>
  <si>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</si>
  <si>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</si>
  <si>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</si>
  <si>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</si>
  <si>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</si>
  <si>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</si>
  <si>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</si>
  <si>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</si>
  <si>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</si>
  <si>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</si>
  <si>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</si>
  <si>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</si>
  <si>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</si>
  <si>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</si>
  <si>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</si>
  <si>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</si>
  <si>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</si>
  <si>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</si>
  <si>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</si>
  <si>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</si>
  <si>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</si>
  <si>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</si>
  <si>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</si>
  <si>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</si>
  <si>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</si>
  <si>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</si>
  <si>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</si>
  <si>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</si>
  <si>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</si>
  <si>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</si>
  <si>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</si>
  <si>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</si>
  <si>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</si>
  <si>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</si>
  <si>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</si>
  <si>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</si>
  <si>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</si>
  <si>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</si>
  <si>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</si>
  <si>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</si>
  <si>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</si>
  <si>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</si>
  <si>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</si>
  <si>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</si>
  <si>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</si>
  <si>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</si>
  <si>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</si>
  <si>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</si>
  <si>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</si>
  <si>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</si>
  <si>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</si>
  <si>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</si>
  <si>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</si>
  <si>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</si>
  <si>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</si>
  <si>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</si>
  <si>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</si>
  <si>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</si>
  <si>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</si>
  <si>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</si>
  <si>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</si>
  <si>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</si>
  <si>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</si>
  <si>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</si>
  <si>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</si>
  <si>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</si>
  <si>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</si>
  <si>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</si>
  <si>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</si>
  <si>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</si>
  <si>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</si>
  <si>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</si>
  <si>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</si>
  <si>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</si>
  <si>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</si>
  <si>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</si>
  <si>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</si>
  <si>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</si>
  <si>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</si>
  <si>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</si>
  <si>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</si>
  <si>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</si>
  <si>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</si>
  <si>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</si>
  <si>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</si>
  <si>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</si>
  <si>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</si>
  <si>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</si>
  <si>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</si>
  <si>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</si>
  <si>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</si>
  <si>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</si>
  <si>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</si>
  <si>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</si>
  <si>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</si>
  <si>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</si>
  <si>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</si>
  <si>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</si>
  <si>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</si>
  <si>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</si>
  <si>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</si>
  <si>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</si>
  <si>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</si>
  <si>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</si>
  <si>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</si>
  <si>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</si>
  <si>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</si>
  <si>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</si>
  <si>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</si>
  <si>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</si>
  <si>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</si>
  <si>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</si>
  <si>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</si>
  <si>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</si>
  <si>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</si>
  <si>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</si>
  <si>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</si>
  <si>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</si>
  <si>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</si>
  <si>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</si>
  <si>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</si>
  <si>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</si>
  <si>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</si>
  <si>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</si>
  <si>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</si>
  <si>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</si>
  <si>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</si>
  <si>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</si>
  <si>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</si>
  <si>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</si>
  <si>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</si>
  <si>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</si>
  <si>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</si>
  <si>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</si>
  <si>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</si>
  <si>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</si>
  <si>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</si>
  <si>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</si>
  <si>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</si>
  <si>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</si>
  <si>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</si>
  <si>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</si>
  <si>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</si>
  <si>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</si>
  <si>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</si>
  <si>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</si>
  <si>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</si>
  <si>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</si>
  <si>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</si>
  <si>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</si>
  <si>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</si>
  <si>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</si>
  <si>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</si>
  <si>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</si>
  <si>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</si>
  <si>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</si>
  <si>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</si>
  <si>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</si>
  <si>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</si>
  <si>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</si>
  <si>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</si>
  <si>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</si>
  <si>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</si>
  <si>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</si>
  <si>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</si>
  <si>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</si>
  <si>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</si>
  <si>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</si>
  <si>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</si>
  <si>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</si>
  <si>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</si>
  <si>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</si>
  <si>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</si>
  <si>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</si>
  <si>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</si>
  <si>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</si>
  <si>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</si>
  <si>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</si>
  <si>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</si>
  <si>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</si>
  <si>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</si>
  <si>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</si>
  <si>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</si>
  <si>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</si>
  <si>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</si>
  <si>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</si>
  <si>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</si>
  <si>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</si>
  <si>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</si>
  <si>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</si>
  <si>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</si>
  <si>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</si>
  <si>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</si>
  <si>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</si>
  <si>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</si>
  <si>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</si>
  <si>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</si>
  <si>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</si>
  <si>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</si>
  <si>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</si>
  <si>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</si>
  <si>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</si>
  <si>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</si>
  <si>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</si>
  <si>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</si>
  <si>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</si>
  <si>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</si>
  <si>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</si>
  <si>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</si>
  <si>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</si>
  <si>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</si>
  <si>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</si>
  <si>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</si>
  <si>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</si>
  <si>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</si>
  <si>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</si>
  <si>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</si>
  <si>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</si>
  <si>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</si>
  <si>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</si>
  <si>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</si>
  <si>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</si>
  <si>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</si>
  <si>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</si>
  <si>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</si>
  <si>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</si>
  <si>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</si>
  <si>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</si>
  <si>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</si>
  <si>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</si>
  <si>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</si>
  <si>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</si>
  <si>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</si>
  <si>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</si>
  <si>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</si>
  <si>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</si>
  <si>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</si>
  <si>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</si>
  <si>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</si>
  <si>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</si>
  <si>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</si>
  <si>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</si>
  <si>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</si>
  <si>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</si>
  <si>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</si>
  <si>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</si>
  <si>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</si>
  <si>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</si>
  <si>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</si>
  <si>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</si>
  <si>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</si>
  <si>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</si>
  <si>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</si>
  <si>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</si>
  <si>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</si>
  <si>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</si>
  <si>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</si>
  <si>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</si>
  <si>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</si>
  <si>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</si>
  <si>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</si>
  <si>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</si>
  <si>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</si>
  <si>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</si>
  <si>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</si>
  <si>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</si>
  <si>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</si>
  <si>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</si>
  <si>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</si>
  <si>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</si>
  <si>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</si>
  <si>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</si>
  <si>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</si>
  <si>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</si>
  <si>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</si>
  <si>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</si>
  <si>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</si>
  <si>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</si>
  <si>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</si>
  <si>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</si>
  <si>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</si>
  <si>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</si>
  <si>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</si>
  <si>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</si>
  <si>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</si>
  <si>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</si>
  <si>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</si>
  <si>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</si>
  <si>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</si>
  <si>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</si>
  <si>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</si>
  <si>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</si>
  <si>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</si>
  <si>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</si>
  <si>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</si>
  <si>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</si>
  <si>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</si>
  <si>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</si>
  <si>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</si>
  <si>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</si>
  <si>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</si>
  <si>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</si>
  <si>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</si>
  <si>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</si>
  <si>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</si>
  <si>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</si>
  <si>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</si>
  <si>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</si>
  <si>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</si>
  <si>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</si>
  <si>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</si>
  <si>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</si>
  <si>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</si>
  <si>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</si>
  <si>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</si>
  <si>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</si>
  <si>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</si>
  <si>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</si>
  <si>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</si>
  <si>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</si>
  <si>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</si>
  <si>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</si>
  <si>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</si>
  <si>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</si>
  <si>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</si>
  <si>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</si>
  <si>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</si>
  <si>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</si>
  <si>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</si>
  <si>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</si>
  <si>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</si>
  <si>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</si>
  <si>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</si>
  <si>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</si>
  <si>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</si>
  <si>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</si>
  <si>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</si>
  <si>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</si>
  <si>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</si>
  <si>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</si>
  <si>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</si>
  <si>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</si>
  <si>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</si>
  <si>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</si>
  <si>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</si>
  <si>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</si>
  <si>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</si>
  <si>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</si>
  <si>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</si>
  <si>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</si>
  <si>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</si>
  <si>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</si>
  <si>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</si>
  <si>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</si>
  <si>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</si>
  <si>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</si>
  <si>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</si>
  <si>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</si>
  <si>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</si>
  <si>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</si>
  <si>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</si>
  <si>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</si>
  <si>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</si>
  <si>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</si>
  <si>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</si>
  <si>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</si>
  <si>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</si>
  <si>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</si>
  <si>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</si>
  <si>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</si>
  <si>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</si>
  <si>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</si>
  <si>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</si>
  <si>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</si>
  <si>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</si>
  <si>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</si>
  <si>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</si>
  <si>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</si>
  <si>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</si>
  <si>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</si>
  <si>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</si>
  <si>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</si>
  <si>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</si>
  <si>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</si>
  <si>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</si>
  <si>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</si>
  <si>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</si>
  <si>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</si>
  <si>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</si>
  <si>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</si>
  <si>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</si>
  <si>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</si>
  <si>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</si>
  <si>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</si>
  <si>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</si>
  <si>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</si>
  <si>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</si>
  <si>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</si>
  <si>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</si>
  <si>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</si>
  <si>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</si>
  <si>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</si>
  <si>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</si>
  <si>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</si>
  <si>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</si>
  <si>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</si>
  <si>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</si>
  <si>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</si>
  <si>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</si>
  <si>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</si>
  <si>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</si>
  <si>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</si>
  <si>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</si>
  <si>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</si>
  <si>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</si>
  <si>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</si>
  <si>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</si>
  <si>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</si>
  <si>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</si>
  <si>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</si>
  <si>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</si>
  <si>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</si>
  <si>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</si>
  <si>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</si>
  <si>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</si>
  <si>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</si>
  <si>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</si>
  <si>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</si>
  <si>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</si>
  <si>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</si>
  <si>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</si>
  <si>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</si>
  <si>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</si>
  <si>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</si>
  <si>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</si>
  <si>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</si>
  <si>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</si>
  <si>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</si>
  <si>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</si>
  <si>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</si>
  <si>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</si>
  <si>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</si>
  <si>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</si>
  <si>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</si>
  <si>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</si>
  <si>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</si>
  <si>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</si>
  <si>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</si>
  <si>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</si>
  <si>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</si>
  <si>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</si>
  <si>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</si>
  <si>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</si>
  <si>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</si>
  <si>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</si>
  <si>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</si>
  <si>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</si>
  <si>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</si>
  <si>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</si>
  <si>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</si>
  <si>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</si>
  <si>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</si>
  <si>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</si>
  <si>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</si>
  <si>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</si>
  <si>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</si>
  <si>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</si>
  <si>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</si>
  <si>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</si>
  <si>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</si>
  <si>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</si>
  <si>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</si>
  <si>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</si>
  <si>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</si>
  <si>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</si>
  <si>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</si>
  <si>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</si>
  <si>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</si>
  <si>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</si>
  <si>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</si>
  <si>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</si>
  <si>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</si>
  <si>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</si>
  <si>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</si>
  <si>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</si>
  <si>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</si>
  <si>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</si>
  <si>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</si>
  <si>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</si>
  <si>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</si>
  <si>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</si>
  <si>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</si>
  <si>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</si>
  <si>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</si>
  <si>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</si>
  <si>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</si>
  <si>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</si>
  <si>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</si>
  <si>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</si>
  <si>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</si>
  <si>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</si>
  <si>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</si>
  <si>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</si>
  <si>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</si>
  <si>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</si>
  <si>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</si>
  <si>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</si>
  <si>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</si>
  <si>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</si>
  <si>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</si>
  <si>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</si>
  <si>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</si>
  <si>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</si>
  <si>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</si>
  <si>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</si>
  <si>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</si>
  <si>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</si>
  <si>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</si>
  <si>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</si>
  <si>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</si>
  <si>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</si>
  <si>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</si>
  <si>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</si>
  <si>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</si>
  <si>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</si>
  <si>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</si>
  <si>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</si>
  <si>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</si>
  <si>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</si>
  <si>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</si>
  <si>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</si>
  <si>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</si>
  <si>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</si>
  <si>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</si>
  <si>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</si>
  <si>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</si>
  <si>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</si>
  <si>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</si>
  <si>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</si>
  <si>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</si>
  <si>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</si>
  <si>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</si>
  <si>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</si>
  <si>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</si>
  <si>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</si>
  <si>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</si>
  <si>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</si>
  <si>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</si>
  <si>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</si>
  <si>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</si>
  <si>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</si>
  <si>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</si>
  <si>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</si>
  <si>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</si>
  <si>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</si>
  <si>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</si>
  <si>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</si>
  <si>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</si>
  <si>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</si>
  <si>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</si>
  <si>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</si>
  <si>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</si>
  <si>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</si>
  <si>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</si>
  <si>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</si>
  <si>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</si>
  <si>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</si>
  <si>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</si>
  <si>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</si>
  <si>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</si>
  <si>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</si>
  <si>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</si>
  <si>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</si>
  <si>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</si>
  <si>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</si>
  <si>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</si>
  <si>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</si>
  <si>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</si>
  <si>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</si>
  <si>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</si>
  <si>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</si>
  <si>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</si>
  <si>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</si>
  <si>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</si>
  <si>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</si>
  <si>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</si>
  <si>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</si>
  <si>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</si>
  <si>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</si>
  <si>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</si>
  <si>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</si>
  <si>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</si>
  <si>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</si>
  <si>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</si>
  <si>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</si>
  <si>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</si>
  <si>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</si>
  <si>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</si>
  <si>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</si>
  <si>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</si>
  <si>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</si>
  <si>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</si>
  <si>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</si>
  <si>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</si>
  <si>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</si>
  <si>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</si>
  <si>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</si>
  <si>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</si>
  <si>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</si>
  <si>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</si>
  <si>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</si>
  <si>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</si>
  <si>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</si>
  <si>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</si>
  <si>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</si>
  <si>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</si>
  <si>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</si>
  <si>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</si>
  <si>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</si>
  <si>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</si>
  <si>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</si>
  <si>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</si>
  <si>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</si>
  <si>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</si>
  <si>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</si>
  <si>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</si>
  <si>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</si>
  <si>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</si>
  <si>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</si>
  <si>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</si>
  <si>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</si>
  <si>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</si>
  <si>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</si>
  <si>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</si>
  <si>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</si>
  <si>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</si>
  <si>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</si>
  <si>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</si>
  <si>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</si>
  <si>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</si>
  <si>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</si>
  <si>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</si>
  <si>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</si>
  <si>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</si>
  <si>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</si>
  <si>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</si>
  <si>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</si>
  <si>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</si>
  <si>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</si>
  <si>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</si>
  <si>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</si>
  <si>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</si>
  <si>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</si>
  <si>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</si>
  <si>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</si>
  <si>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</si>
  <si>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</si>
  <si>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</si>
  <si>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</si>
  <si>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</si>
  <si>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</si>
  <si>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</si>
  <si>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</si>
  <si>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</si>
  <si>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</si>
  <si>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</si>
  <si>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</si>
  <si>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</si>
  <si>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</si>
  <si>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</si>
  <si>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</si>
  <si>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</si>
  <si>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</si>
  <si>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</si>
  <si>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</si>
  <si>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</si>
  <si>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</si>
  <si>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</si>
  <si>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</si>
  <si>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</si>
  <si>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</si>
  <si>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</si>
  <si>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</si>
  <si>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</si>
  <si>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</si>
  <si>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</si>
  <si>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</si>
  <si>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</si>
  <si>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</si>
  <si>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</si>
  <si>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</si>
  <si>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</si>
  <si>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</si>
  <si>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</si>
  <si>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</si>
  <si>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</si>
  <si>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</si>
  <si>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</si>
  <si>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</si>
  <si>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</si>
  <si>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</si>
  <si>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</si>
  <si>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</si>
  <si>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</si>
  <si>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</si>
  <si>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</si>
  <si>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</si>
  <si>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</si>
  <si>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</si>
  <si>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</si>
  <si>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</si>
  <si>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</si>
  <si>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</si>
  <si>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</si>
  <si>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</si>
  <si>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</si>
  <si>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</si>
  <si>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</si>
  <si>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</si>
  <si>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</si>
  <si>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</si>
  <si>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</si>
  <si>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</si>
  <si>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</si>
  <si>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</si>
  <si>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</si>
  <si>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</si>
  <si>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</si>
  <si>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</si>
  <si>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</si>
  <si>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</si>
  <si>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</si>
  <si>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</si>
  <si>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</si>
  <si>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</si>
  <si>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</si>
  <si>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</si>
  <si>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</si>
  <si>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</si>
  <si>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</si>
  <si>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</si>
  <si>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</si>
  <si>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</si>
  <si>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</si>
  <si>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</si>
  <si>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</si>
  <si>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</si>
  <si>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</si>
  <si>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</si>
  <si>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</si>
  <si>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</si>
  <si>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</si>
  <si>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</si>
  <si>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</si>
  <si>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</si>
  <si>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</si>
  <si>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</si>
  <si>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</si>
  <si>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</si>
  <si>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</si>
  <si>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</si>
  <si>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</si>
  <si>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</si>
  <si>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</si>
  <si>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</si>
  <si>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</si>
  <si>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</si>
  <si>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</si>
  <si>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</si>
  <si>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</si>
  <si>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</si>
  <si>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</si>
  <si>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</si>
  <si>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</si>
  <si>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</si>
  <si>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</si>
  <si>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</si>
  <si>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</si>
  <si>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</si>
  <si>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</si>
  <si>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</si>
  <si>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</si>
  <si>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</si>
  <si>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</si>
  <si>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</si>
  <si>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</si>
  <si>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</si>
  <si>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</si>
  <si>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</si>
  <si>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</si>
  <si>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</si>
  <si>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</si>
  <si>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</si>
  <si>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</si>
  <si>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</si>
  <si>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</si>
  <si>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</si>
  <si>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</si>
  <si>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</si>
  <si>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</si>
  <si>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</si>
  <si>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</si>
  <si>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</si>
  <si>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</si>
  <si>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</si>
  <si>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</si>
  <si>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</si>
  <si>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</si>
  <si>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</si>
  <si>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</si>
  <si>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</si>
  <si>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</si>
  <si>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</si>
  <si>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</si>
  <si>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</si>
  <si>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</si>
  <si>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</si>
  <si>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</si>
  <si>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</si>
  <si>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</si>
  <si>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</si>
  <si>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</si>
  <si>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</si>
  <si>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</si>
  <si>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</si>
  <si>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</si>
  <si>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</si>
  <si>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</si>
  <si>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</si>
  <si>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</si>
  <si>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</si>
  <si>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</si>
  <si>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</si>
  <si>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</si>
  <si>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</si>
  <si>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</si>
  <si>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</si>
  <si>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</si>
  <si>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</si>
  <si>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</si>
  <si>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</si>
  <si>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</si>
  <si>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</si>
  <si>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</si>
  <si>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</si>
  <si>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</si>
  <si>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</si>
  <si>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</si>
  <si>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</si>
  <si>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</si>
  <si>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</si>
  <si>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</si>
  <si>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</si>
  <si>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</si>
  <si>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</si>
  <si>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</si>
  <si>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</si>
  <si>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</si>
  <si>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</si>
  <si>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</si>
  <si>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</si>
  <si>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</si>
  <si>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</si>
  <si>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</si>
  <si>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</si>
  <si>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</si>
  <si>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</si>
  <si>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</si>
  <si>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</si>
  <si>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</si>
  <si>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</si>
  <si>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</si>
  <si>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</si>
  <si>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</si>
  <si>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</si>
  <si>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</si>
  <si>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</si>
  <si>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</si>
  <si>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</si>
  <si>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</si>
  <si>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</si>
  <si>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</si>
  <si>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</si>
  <si>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</si>
  <si>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</si>
  <si>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</si>
  <si>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</si>
  <si>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</si>
  <si>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</si>
  <si>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</si>
  <si>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</si>
  <si>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</si>
  <si>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</si>
  <si>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</si>
  <si>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</si>
  <si>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</si>
  <si>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</si>
  <si>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</si>
  <si>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</si>
  <si>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</si>
  <si>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</si>
  <si>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</si>
  <si>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</si>
  <si>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</si>
  <si>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</si>
  <si>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</si>
  <si>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</si>
  <si>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</si>
  <si>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</si>
  <si>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</si>
  <si>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</si>
  <si>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</si>
  <si>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</si>
  <si>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</si>
  <si>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</si>
  <si>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</si>
  <si>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</si>
  <si>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</si>
  <si>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</si>
  <si>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</si>
  <si>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</si>
  <si>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</si>
  <si>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</si>
  <si>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</si>
  <si>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</si>
  <si>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</si>
  <si>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</si>
  <si>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</si>
  <si>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</si>
  <si>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</si>
  <si>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</si>
  <si>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</si>
  <si>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</si>
  <si>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</si>
  <si>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</si>
  <si>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</si>
  <si>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</si>
  <si>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</si>
  <si>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</si>
  <si>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</si>
  <si>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</si>
  <si>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</si>
  <si>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</si>
  <si>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</si>
  <si>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</si>
  <si>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</si>
  <si>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</si>
  <si>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</si>
  <si>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</si>
  <si>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</si>
  <si>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</si>
  <si>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</si>
  <si>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</si>
  <si>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</si>
  <si>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</si>
  <si>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</si>
  <si>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</si>
  <si>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</si>
  <si>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</si>
  <si>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</si>
  <si>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</si>
  <si>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</si>
  <si>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</si>
  <si>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</si>
  <si>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</si>
  <si>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</si>
  <si>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</si>
  <si>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</si>
  <si>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</si>
  <si>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</si>
  <si>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</si>
  <si>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</si>
  <si>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</si>
  <si>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</si>
  <si>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</si>
  <si>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</si>
  <si>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</si>
  <si>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</si>
  <si>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</si>
  <si>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</si>
  <si>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</si>
  <si>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</si>
  <si>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</si>
  <si>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</si>
  <si>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</si>
  <si>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</si>
  <si>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</si>
  <si>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</si>
  <si>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</si>
  <si>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</si>
  <si>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</si>
  <si>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</si>
  <si>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</si>
  <si>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</si>
  <si>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</si>
  <si>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</si>
  <si>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</si>
  <si>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</si>
  <si>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</si>
  <si>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</si>
  <si>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</si>
  <si>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</si>
  <si>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</si>
  <si>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</si>
  <si>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</si>
  <si>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</si>
  <si>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</si>
  <si>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</si>
  <si>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</si>
  <si>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</si>
  <si>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</si>
  <si>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</si>
  <si>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</si>
  <si>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</si>
  <si>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</si>
  <si>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</si>
  <si>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</si>
  <si>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</si>
  <si>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</si>
  <si>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</si>
  <si>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</si>
  <si>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</si>
  <si>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</si>
  <si>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</si>
  <si>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</si>
  <si>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</si>
  <si>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</si>
  <si>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</si>
  <si>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</si>
  <si>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</si>
  <si>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</si>
  <si>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</si>
  <si>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</si>
  <si>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</si>
  <si>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</si>
  <si>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</si>
  <si>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</si>
  <si>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</si>
  <si>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</si>
  <si>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</si>
  <si>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</si>
  <si>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</si>
  <si>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</si>
  <si>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</si>
  <si>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</si>
  <si>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</si>
  <si>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</si>
  <si>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</si>
  <si>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</si>
  <si>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</si>
  <si>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</si>
  <si>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</si>
  <si>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</si>
  <si>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</si>
  <si>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</si>
  <si>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</si>
  <si>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</si>
  <si>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</si>
  <si>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</si>
  <si>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</si>
  <si>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</si>
  <si>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</si>
  <si>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</si>
  <si>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</si>
  <si>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</si>
  <si>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</si>
  <si>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</si>
  <si>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</si>
  <si>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</si>
  <si>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</si>
  <si>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</si>
  <si>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</si>
  <si>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</si>
  <si>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</si>
  <si>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</si>
  <si>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</si>
  <si>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</si>
  <si>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</si>
  <si>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</si>
  <si>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</si>
  <si>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</si>
  <si>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</si>
  <si>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</si>
  <si>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</si>
  <si>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</si>
  <si>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</si>
  <si>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</si>
  <si>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</si>
  <si>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</si>
  <si>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</si>
  <si>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</si>
  <si>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</si>
  <si>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</si>
  <si>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</si>
  <si>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</si>
  <si>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</si>
  <si>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</si>
  <si>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</si>
  <si>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</si>
  <si>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</si>
  <si>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</si>
  <si>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</si>
  <si>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</si>
  <si>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</si>
  <si>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</si>
  <si>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</si>
  <si>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</si>
  <si>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</si>
  <si>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</si>
  <si>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</si>
  <si>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</si>
  <si>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</si>
  <si>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</si>
  <si>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</si>
  <si>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</si>
  <si>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</si>
  <si>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</si>
  <si>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</si>
  <si>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</si>
  <si>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</si>
  <si>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</si>
  <si>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</si>
  <si>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</si>
  <si>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</si>
  <si>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</si>
  <si>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</si>
  <si>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</si>
  <si>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</si>
  <si>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</si>
  <si>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</si>
  <si>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</si>
  <si>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</si>
  <si>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</si>
  <si>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</si>
  <si>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</si>
  <si>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</si>
  <si>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</si>
  <si>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</si>
  <si>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</si>
  <si>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</si>
  <si>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</si>
  <si>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</si>
  <si>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</si>
  <si>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</si>
  <si>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</si>
  <si>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</si>
  <si>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</si>
  <si>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</si>
  <si>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</si>
  <si>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</si>
  <si>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</si>
  <si>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</si>
  <si>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</si>
  <si>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</si>
  <si>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</si>
  <si>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</si>
  <si>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</si>
  <si>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</si>
  <si>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</si>
  <si>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</si>
  <si>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</si>
  <si>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</si>
  <si>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</si>
  <si>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</si>
  <si>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</si>
  <si>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</si>
  <si>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</si>
  <si>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</si>
  <si>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</si>
  <si>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</si>
  <si>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</si>
  <si>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</si>
  <si>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</si>
  <si>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</si>
  <si>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</si>
  <si>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</si>
  <si>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</si>
  <si>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</si>
  <si>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</si>
  <si>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</si>
  <si>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</si>
  <si>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</si>
  <si>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</si>
  <si>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</si>
  <si>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</si>
  <si>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</si>
  <si>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</si>
  <si>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</si>
  <si>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</si>
  <si>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</si>
  <si>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</si>
  <si>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</si>
  <si>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</si>
  <si>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</si>
  <si>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</si>
  <si>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</si>
  <si>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</si>
  <si>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</si>
  <si>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</si>
  <si>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</si>
  <si>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</si>
  <si>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</si>
  <si>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</si>
  <si>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</si>
  <si>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</si>
  <si>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</si>
  <si>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</si>
  <si>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</si>
  <si>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</si>
  <si>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</si>
  <si>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</si>
  <si>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</si>
  <si>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</si>
  <si>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</si>
  <si>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</si>
  <si>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</si>
  <si>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</si>
  <si>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</si>
  <si>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</si>
  <si>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</si>
  <si>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</si>
  <si>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</si>
  <si>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</si>
  <si>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</si>
  <si>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</si>
  <si>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</si>
  <si>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</si>
  <si>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</si>
  <si>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</si>
  <si>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</si>
  <si>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</si>
  <si>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</si>
  <si>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</si>
  <si>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</si>
  <si>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</si>
  <si>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</si>
  <si>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</si>
  <si>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</si>
  <si>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</si>
  <si>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</si>
  <si>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</si>
  <si>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</si>
  <si>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</si>
  <si>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</si>
  <si>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</si>
  <si>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</si>
  <si>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</si>
  <si>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</si>
  <si>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</si>
  <si>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</si>
  <si>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</si>
  <si>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</si>
  <si>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</si>
  <si>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</si>
  <si>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</si>
  <si>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</si>
  <si>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</si>
  <si>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</si>
  <si>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</si>
  <si>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</si>
  <si>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</si>
  <si>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</si>
  <si>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</si>
  <si>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</si>
  <si>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</si>
  <si>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</si>
  <si>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</si>
  <si>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</si>
  <si>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</si>
  <si>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</si>
  <si>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</si>
  <si>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</si>
  <si>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</si>
  <si>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</si>
  <si>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</si>
  <si>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</si>
  <si>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</si>
  <si>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</si>
  <si>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</si>
  <si>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</si>
  <si>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</si>
  <si>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</si>
  <si>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</si>
  <si>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</si>
  <si>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</si>
  <si>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</si>
  <si>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</si>
  <si>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</si>
  <si>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</si>
  <si>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</si>
  <si>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</si>
  <si>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</si>
  <si>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</si>
  <si>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</si>
  <si>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</si>
  <si>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</si>
  <si>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</si>
  <si>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</si>
  <si>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</si>
  <si>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</si>
  <si>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</si>
  <si>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</si>
  <si>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</si>
  <si>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</si>
  <si>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</si>
  <si>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</si>
  <si>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</si>
  <si>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</si>
  <si>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</si>
  <si>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</si>
  <si>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</si>
  <si>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</si>
  <si>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</si>
  <si>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</si>
  <si>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</si>
  <si>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</si>
  <si>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</si>
  <si>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</si>
  <si>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</si>
  <si>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</si>
  <si>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</si>
  <si>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</si>
  <si>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</si>
  <si>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</si>
  <si>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</si>
  <si>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</si>
  <si>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</si>
  <si>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</si>
  <si>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</si>
  <si>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</si>
  <si>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</si>
  <si>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</si>
  <si>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</si>
  <si>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</si>
  <si>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</si>
  <si>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</si>
  <si>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</si>
  <si>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</si>
  <si>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</si>
  <si>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</si>
  <si>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</si>
  <si>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</si>
  <si>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</si>
  <si>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</si>
  <si>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</si>
  <si>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</si>
  <si>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</si>
  <si>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</si>
  <si>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</si>
  <si>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</si>
  <si>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</si>
  <si>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</si>
  <si>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</si>
  <si>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</si>
  <si>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</si>
  <si>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</si>
  <si>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</si>
  <si>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</si>
  <si>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</si>
  <si>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</si>
  <si>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</si>
  <si>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</si>
  <si>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</si>
  <si>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</si>
  <si>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</si>
  <si>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</si>
  <si>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</si>
  <si>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</si>
  <si>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</si>
  <si>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</si>
  <si>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</si>
  <si>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</si>
  <si>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</si>
  <si>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</si>
  <si>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</si>
  <si>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</si>
  <si>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</si>
  <si>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</si>
  <si>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</si>
  <si>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</si>
  <si>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</si>
  <si>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</si>
  <si>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</si>
  <si>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</si>
  <si>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</si>
  <si>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</si>
  <si>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</si>
  <si>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</si>
  <si>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</si>
  <si>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</si>
  <si>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</si>
  <si>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</si>
  <si>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</si>
  <si>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</si>
  <si>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</si>
  <si>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</si>
  <si>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</si>
  <si>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</si>
  <si>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</si>
  <si>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</si>
  <si>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</si>
  <si>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</si>
  <si>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</si>
  <si>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</si>
  <si>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</si>
  <si>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</si>
  <si>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</si>
  <si>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</si>
  <si>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</si>
  <si>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</si>
  <si>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</si>
  <si>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</si>
  <si>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</si>
  <si>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</si>
  <si>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</si>
  <si>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</si>
  <si>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</si>
  <si>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</si>
  <si>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</si>
  <si>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</si>
  <si>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</si>
  <si>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</si>
  <si>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</si>
  <si>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</si>
  <si>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</si>
  <si>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</si>
  <si>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</si>
  <si>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</si>
  <si>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</si>
  <si>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</si>
  <si>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</si>
  <si>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</si>
  <si>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</si>
  <si>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</si>
  <si>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</si>
  <si>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</si>
  <si>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</si>
  <si>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</si>
  <si>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</si>
  <si>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</si>
  <si>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</si>
  <si>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</si>
  <si>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</si>
  <si>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</si>
  <si>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</si>
  <si>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</si>
  <si>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</si>
  <si>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</si>
  <si>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</si>
  <si>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</si>
  <si>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</si>
  <si>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</si>
  <si>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</si>
  <si>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</si>
  <si>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</si>
  <si>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</si>
  <si>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</si>
  <si>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</si>
  <si>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</si>
  <si>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</si>
  <si>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</si>
  <si>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</si>
  <si>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</si>
  <si>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</si>
  <si>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</si>
  <si>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</si>
  <si>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</si>
  <si>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</si>
  <si>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</si>
  <si>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</si>
  <si>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</si>
  <si>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</si>
  <si>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</si>
  <si>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</si>
  <si>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</si>
  <si>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</si>
  <si>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</si>
  <si>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</si>
  <si>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</si>
  <si>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</si>
  <si>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</si>
  <si>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</si>
  <si>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</si>
  <si>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</si>
  <si>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</si>
  <si>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</si>
  <si>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</si>
  <si>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</si>
  <si>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</si>
  <si>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</si>
  <si>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</si>
  <si>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</si>
  <si>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</si>
  <si>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</si>
  <si>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</si>
  <si>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</si>
  <si>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</si>
  <si>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</si>
  <si>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</si>
  <si>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</si>
  <si>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</si>
  <si>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</si>
  <si>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</si>
  <si>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</si>
  <si>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</si>
  <si>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</si>
  <si>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</si>
  <si>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</si>
  <si>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</si>
  <si>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</si>
  <si>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</si>
  <si>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</si>
  <si>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</si>
  <si>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</si>
  <si>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</si>
  <si>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</si>
  <si>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</si>
  <si>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</si>
  <si>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</si>
  <si>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</si>
  <si>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</si>
  <si>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</si>
  <si>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</si>
  <si>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</si>
  <si>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</si>
  <si>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</si>
  <si>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</si>
  <si>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</si>
  <si>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</si>
  <si>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</si>
  <si>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</si>
  <si>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</si>
  <si>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</si>
  <si>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</si>
  <si>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</si>
  <si>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</si>
  <si>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</si>
  <si>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</si>
  <si>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</si>
  <si>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</si>
  <si>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</si>
  <si>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</si>
  <si>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</si>
  <si>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</si>
  <si>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</si>
  <si>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</si>
  <si>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</si>
  <si>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</si>
  <si>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</si>
  <si>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</si>
  <si>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</si>
  <si>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</si>
  <si>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</si>
  <si>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</si>
  <si>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</si>
  <si>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</si>
  <si>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</si>
  <si>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</si>
  <si>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</si>
  <si>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</si>
  <si>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</si>
  <si>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</si>
  <si>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</si>
  <si>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</si>
  <si>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</si>
  <si>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</si>
  <si>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</si>
  <si>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</si>
  <si>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</si>
  <si>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</si>
  <si>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</si>
  <si>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</si>
  <si>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</si>
  <si>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</si>
  <si>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</si>
  <si>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</si>
  <si>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</si>
  <si>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</si>
  <si>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</si>
  <si>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</si>
  <si>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</si>
  <si>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</si>
  <si>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</si>
  <si>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</si>
  <si>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</si>
  <si>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</si>
  <si>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</si>
  <si>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</si>
  <si>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</si>
  <si>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</si>
  <si>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</si>
  <si>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</si>
  <si>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</si>
  <si>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</si>
  <si>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</si>
  <si>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</si>
  <si>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</si>
  <si>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</si>
  <si>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</si>
  <si>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</si>
  <si>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</si>
  <si>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</si>
  <si>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</si>
  <si>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</si>
  <si>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</si>
  <si>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</si>
  <si>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</si>
  <si>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</si>
  <si>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</si>
  <si>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</si>
  <si>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</si>
  <si>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</si>
  <si>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</si>
  <si>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</si>
  <si>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</si>
  <si>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</si>
  <si>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</si>
  <si>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</si>
  <si>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</si>
  <si>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</si>
  <si>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</si>
  <si>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</si>
  <si>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</si>
  <si>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</si>
  <si>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</si>
  <si>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</si>
  <si>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</si>
  <si>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</si>
  <si>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</si>
  <si>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</si>
  <si>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</si>
  <si>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</si>
  <si>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</si>
  <si>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</si>
  <si>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</si>
  <si>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</si>
  <si>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</si>
  <si>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</si>
  <si>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</si>
  <si>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</si>
  <si>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</si>
  <si>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</si>
  <si>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</si>
  <si>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</si>
  <si>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</si>
  <si>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</si>
  <si>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</si>
  <si>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</si>
  <si>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</si>
  <si>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</si>
  <si>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</si>
  <si>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</si>
  <si>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</si>
  <si>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</si>
  <si>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</si>
  <si>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</si>
  <si>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</si>
  <si>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</si>
  <si>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</si>
  <si>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</si>
  <si>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</si>
  <si>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</si>
  <si>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</si>
  <si>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</si>
  <si>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</si>
  <si>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</si>
  <si>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</si>
  <si>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</si>
  <si>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</si>
  <si>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</si>
  <si>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</si>
  <si>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</si>
  <si>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</si>
  <si>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</si>
  <si>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</si>
  <si>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</si>
  <si>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</si>
  <si>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</si>
  <si>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</si>
  <si>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</si>
  <si>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</si>
  <si>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</si>
  <si>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</si>
  <si>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</si>
  <si>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</si>
  <si>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</si>
  <si>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</si>
  <si>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</si>
  <si>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</si>
  <si>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</si>
  <si>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</si>
  <si>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</si>
  <si>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</si>
  <si>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</si>
  <si>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</si>
  <si>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</si>
  <si>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</si>
  <si>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</si>
  <si>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</si>
  <si>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</si>
  <si>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</si>
  <si>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</si>
  <si>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</si>
  <si>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</si>
  <si>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</si>
  <si>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</si>
  <si>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</si>
  <si>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</si>
  <si>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</si>
  <si>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</si>
  <si>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</si>
  <si>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</si>
  <si>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</si>
  <si>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</si>
  <si>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</si>
  <si>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</si>
  <si>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</si>
  <si>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</si>
  <si>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</si>
  <si>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</si>
  <si>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</si>
  <si>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</si>
  <si>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</si>
  <si>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</si>
  <si>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</si>
  <si>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</si>
  <si>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</si>
  <si>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</si>
  <si>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</si>
  <si>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</si>
  <si>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</si>
  <si>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</si>
  <si>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</si>
  <si>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</si>
  <si>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</si>
  <si>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</si>
  <si>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</si>
  <si>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</si>
  <si>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</si>
  <si>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</si>
  <si>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</si>
  <si>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</si>
  <si>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</si>
  <si>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</si>
  <si>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</si>
  <si>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</si>
  <si>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</si>
  <si>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</si>
  <si>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</si>
  <si>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</si>
  <si>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</si>
  <si>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</si>
  <si>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</si>
  <si>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</si>
  <si>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</si>
  <si>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</si>
  <si>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</si>
  <si>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</si>
  <si>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</si>
  <si>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</si>
  <si>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</si>
  <si>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</si>
  <si>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</si>
  <si>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</si>
  <si>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</si>
  <si>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</si>
  <si>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</si>
  <si>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</si>
  <si>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</si>
  <si>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</si>
  <si>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</si>
  <si>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</si>
  <si>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</si>
  <si>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</si>
  <si>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</si>
  <si>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</si>
  <si>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</si>
  <si>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</si>
  <si>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</si>
  <si>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</si>
  <si>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</si>
  <si>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</si>
  <si>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</si>
  <si>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</si>
  <si>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</si>
  <si>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</si>
  <si>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</si>
  <si>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</si>
  <si>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</si>
  <si>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</si>
  <si>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</si>
  <si>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</si>
  <si>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</si>
  <si>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</si>
  <si>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</si>
  <si>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</si>
  <si>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</si>
  <si>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</si>
  <si>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</si>
  <si>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</si>
  <si>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</si>
  <si>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</si>
  <si>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</si>
  <si>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</si>
  <si>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</si>
  <si>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</si>
  <si>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</si>
  <si>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</si>
  <si>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</si>
  <si>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</si>
  <si>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</si>
  <si>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</si>
  <si>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</si>
  <si>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</si>
  <si>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</si>
  <si>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</si>
  <si>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</si>
  <si>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</si>
  <si>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</si>
  <si>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</si>
  <si>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</si>
  <si>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</si>
  <si>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</si>
  <si>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</si>
  <si>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</si>
  <si>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</si>
  <si>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</si>
  <si>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</si>
  <si>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</si>
  <si>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</si>
  <si>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</si>
  <si>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</si>
  <si>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</si>
  <si>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</si>
  <si>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</si>
  <si>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</si>
  <si>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</si>
  <si>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</si>
  <si>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</si>
  <si>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</si>
  <si>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</si>
  <si>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</si>
  <si>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</si>
  <si>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</si>
  <si>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</si>
  <si>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</si>
  <si>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</si>
  <si>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</si>
  <si>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</si>
  <si>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</si>
  <si>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</si>
  <si>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</si>
  <si>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</si>
  <si>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</si>
  <si>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</si>
  <si>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</si>
  <si>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</si>
  <si>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</si>
  <si>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</si>
  <si>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</si>
  <si>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</si>
  <si>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</si>
  <si>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</si>
  <si>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</si>
  <si>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</si>
  <si>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</si>
  <si>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</si>
  <si>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</si>
  <si>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</si>
  <si>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</si>
  <si>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</si>
  <si>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</si>
  <si>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</si>
  <si>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</si>
  <si>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</si>
  <si>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</si>
  <si>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</si>
  <si>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</si>
  <si>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</si>
  <si>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</si>
  <si>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</si>
  <si>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</si>
  <si>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</si>
  <si>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</si>
  <si>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</si>
  <si>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</si>
  <si>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</si>
  <si>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</si>
  <si>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</si>
  <si>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</si>
  <si>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</si>
  <si>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</si>
  <si>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</si>
  <si>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</si>
  <si>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</si>
  <si>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</si>
  <si>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</si>
  <si>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</si>
  <si>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</si>
  <si>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</si>
  <si>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</si>
  <si>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</si>
  <si>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</si>
  <si>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</si>
  <si>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</si>
  <si>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</si>
  <si>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</si>
  <si>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</si>
  <si>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</si>
  <si>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</si>
  <si>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</si>
  <si>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</si>
  <si>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</si>
  <si>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</si>
  <si>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</si>
  <si>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</si>
  <si>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</si>
  <si>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</si>
  <si>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</si>
  <si>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</si>
  <si>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</si>
  <si>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</si>
  <si>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</si>
  <si>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</si>
  <si>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</si>
  <si>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</si>
  <si>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</si>
  <si>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</si>
  <si>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</si>
  <si>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</si>
  <si>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</si>
  <si>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</si>
  <si>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</si>
  <si>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</si>
  <si>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</si>
  <si>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</si>
  <si>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</si>
  <si>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</si>
  <si>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</si>
  <si>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</si>
  <si>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</si>
  <si>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</si>
  <si>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</si>
  <si>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</si>
  <si>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</si>
  <si>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</si>
  <si>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</si>
  <si>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</si>
  <si>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</si>
  <si>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</si>
  <si>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</si>
  <si>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</si>
  <si>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</si>
  <si>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</si>
  <si>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</si>
  <si>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</si>
  <si>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</si>
  <si>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</si>
  <si>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</si>
  <si>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</si>
  <si>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</si>
  <si>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</si>
  <si>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</si>
  <si>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</si>
  <si>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</si>
  <si>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</si>
  <si>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</si>
  <si>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</si>
  <si>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</si>
  <si>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</si>
  <si>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</si>
  <si>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</si>
  <si>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</si>
  <si>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</si>
  <si>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</si>
  <si>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</si>
  <si>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</si>
  <si>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</si>
  <si>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</si>
  <si>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</si>
  <si>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</si>
  <si>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</si>
  <si>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</si>
  <si>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</si>
  <si>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</si>
  <si>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</si>
  <si>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</si>
  <si>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</si>
  <si>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</si>
  <si>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</si>
  <si>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</si>
  <si>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</si>
  <si>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</si>
  <si>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</si>
  <si>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</si>
  <si>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</si>
  <si>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</si>
  <si>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</si>
  <si>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</si>
  <si>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</si>
  <si>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</si>
  <si>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</si>
  <si>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</si>
  <si>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</si>
  <si>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</si>
  <si>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</si>
  <si>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</si>
  <si>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</si>
  <si>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</si>
  <si>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</si>
  <si>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</si>
  <si>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</si>
  <si>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</si>
  <si>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</si>
  <si>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</si>
  <si>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</si>
  <si>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</si>
  <si>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</si>
  <si>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</si>
  <si>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</si>
  <si>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</si>
  <si>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</si>
  <si>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</si>
  <si>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</si>
  <si>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</si>
  <si>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</si>
  <si>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</si>
  <si>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</si>
  <si>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</si>
  <si>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</si>
  <si>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</si>
  <si>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</si>
  <si>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</si>
  <si>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</si>
  <si>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</si>
  <si>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</si>
  <si>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</si>
  <si>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</si>
  <si>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</si>
  <si>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</si>
  <si>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</si>
  <si>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</si>
  <si>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</si>
  <si>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</si>
  <si>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</si>
  <si>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</si>
  <si>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</si>
  <si>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</si>
  <si>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</si>
  <si>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</si>
  <si>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</si>
  <si>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</si>
  <si>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</si>
  <si>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</si>
  <si>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</si>
  <si>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</si>
  <si>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</si>
  <si>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</si>
  <si>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</si>
  <si>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</si>
  <si>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</si>
  <si>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</si>
  <si>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</si>
  <si>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</si>
  <si>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</si>
  <si>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</si>
  <si>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</si>
  <si>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</si>
  <si>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</si>
  <si>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</si>
  <si>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</si>
  <si>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</si>
  <si>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</si>
  <si>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</si>
  <si>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</si>
  <si>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</si>
  <si>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</si>
  <si>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</si>
  <si>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</si>
  <si>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</si>
  <si>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</si>
  <si>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</si>
  <si>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</si>
  <si>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</si>
  <si>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</si>
  <si>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</si>
  <si>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</si>
  <si>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</si>
  <si>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</si>
  <si>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</si>
  <si>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</si>
  <si>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</si>
  <si>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</si>
  <si>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</si>
  <si>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</si>
  <si>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</si>
  <si>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</si>
  <si>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</si>
  <si>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</si>
  <si>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</si>
  <si>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</si>
  <si>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</si>
  <si>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</si>
  <si>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</si>
  <si>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</si>
  <si>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</si>
  <si>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</si>
  <si>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</si>
  <si>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</si>
  <si>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</si>
  <si>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</si>
  <si>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</si>
  <si>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</si>
  <si>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</si>
  <si>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</si>
  <si>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</si>
  <si>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</si>
  <si>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</si>
  <si>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</si>
  <si>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</si>
  <si>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</si>
  <si>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</si>
  <si>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</si>
  <si>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</si>
  <si>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</si>
  <si>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</si>
  <si>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</si>
  <si>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</si>
  <si>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</si>
  <si>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</si>
  <si>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</si>
  <si>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</si>
  <si>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</si>
  <si>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</si>
  <si>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</si>
  <si>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</si>
  <si>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</si>
  <si>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</si>
  <si>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</si>
  <si>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</si>
  <si>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</si>
  <si>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</si>
  <si>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</si>
  <si>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</si>
  <si>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</si>
  <si>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</si>
  <si>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</si>
  <si>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</si>
  <si>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</si>
  <si>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</si>
  <si>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</si>
  <si>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</si>
  <si>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</si>
  <si>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</si>
  <si>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</si>
  <si>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</si>
  <si>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</si>
  <si>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</si>
  <si>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</si>
  <si>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</si>
  <si>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</si>
  <si>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</si>
  <si>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</si>
  <si>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</si>
  <si>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</si>
  <si>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</si>
  <si>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</si>
  <si>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</si>
  <si>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</si>
  <si>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</si>
  <si>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</si>
  <si>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</si>
  <si>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</si>
  <si>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</si>
  <si>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</si>
  <si>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</si>
  <si>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</si>
  <si>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</si>
  <si>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</si>
  <si>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</si>
  <si>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</si>
  <si>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</si>
  <si>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</si>
  <si>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</si>
  <si>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</si>
  <si>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</si>
  <si>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</si>
  <si>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</si>
  <si>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</si>
  <si>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</si>
  <si>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</si>
  <si>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</si>
  <si>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</si>
  <si>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</si>
  <si>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</si>
  <si>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</si>
  <si>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</si>
  <si>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</si>
  <si>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</si>
  <si>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</si>
  <si>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</si>
  <si>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</si>
  <si>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</si>
  <si>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</si>
  <si>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</si>
  <si>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</si>
  <si>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</si>
  <si>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</si>
  <si>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</si>
  <si>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</si>
  <si>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</si>
  <si>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</si>
  <si>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</si>
  <si>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</si>
  <si>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</si>
  <si>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</si>
  <si>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</si>
  <si>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</si>
  <si>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</si>
  <si>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</si>
  <si>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</si>
  <si>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</si>
  <si>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</si>
  <si>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</si>
  <si>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</si>
  <si>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</si>
  <si>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</si>
  <si>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</si>
  <si>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</si>
  <si>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</si>
  <si>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</si>
  <si>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</si>
  <si>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</si>
  <si>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</si>
  <si>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</si>
  <si>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</si>
  <si>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</si>
  <si>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</si>
  <si>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</si>
  <si>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</si>
  <si>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</si>
  <si>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</si>
  <si>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</si>
  <si>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</si>
  <si>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</si>
  <si>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</si>
  <si>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</si>
  <si>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</si>
  <si>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</si>
  <si>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</si>
  <si>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</si>
  <si>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</si>
  <si>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</si>
  <si>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</si>
  <si>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</si>
  <si>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</si>
  <si>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</si>
  <si>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</si>
  <si>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</si>
  <si>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</si>
  <si>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</si>
  <si>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</si>
  <si>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</si>
  <si>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</si>
  <si>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</si>
  <si>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</si>
  <si>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</si>
  <si>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</si>
  <si>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</si>
  <si>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</si>
  <si>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</si>
  <si>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</si>
  <si>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</si>
  <si>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</si>
  <si>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</si>
  <si>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</si>
  <si>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</si>
  <si>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</si>
  <si>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</si>
  <si>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</si>
  <si>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</si>
  <si>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</si>
  <si>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</si>
  <si>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</si>
  <si>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</si>
  <si>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</si>
  <si>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</si>
  <si>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</si>
  <si>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</si>
  <si>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</si>
  <si>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</si>
  <si>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</si>
  <si>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</si>
  <si>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</si>
  <si>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</si>
  <si>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</si>
  <si>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</si>
  <si>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</si>
  <si>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</si>
  <si>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</si>
  <si>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</si>
  <si>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</si>
  <si>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</si>
  <si>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</si>
  <si>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</si>
  <si>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</si>
  <si>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</si>
  <si>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</si>
  <si>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</si>
  <si>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</si>
  <si>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</si>
  <si>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</si>
  <si>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</si>
  <si>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</si>
  <si>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</si>
  <si>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</si>
  <si>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</si>
  <si>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</si>
  <si>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</si>
  <si>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</si>
  <si>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</si>
  <si>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</si>
  <si>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</si>
  <si>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</si>
  <si>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</si>
  <si>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</si>
  <si>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</si>
  <si>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</si>
  <si>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</si>
  <si>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</si>
  <si>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</si>
  <si>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</si>
  <si>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</si>
  <si>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</si>
  <si>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</si>
  <si>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</si>
  <si>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</si>
  <si>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</si>
  <si>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</si>
  <si>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</si>
  <si>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</si>
  <si>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</si>
  <si>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</si>
  <si>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</si>
  <si>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</si>
  <si>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</si>
  <si>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</si>
  <si>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</si>
  <si>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</si>
  <si>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</si>
  <si>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</si>
  <si>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</si>
  <si>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</si>
  <si>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</si>
  <si>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</si>
  <si>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</si>
  <si>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</si>
  <si>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</si>
  <si>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</si>
  <si>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</si>
  <si>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</si>
  <si>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</si>
  <si>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</si>
  <si>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</si>
  <si>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</si>
  <si>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</si>
  <si>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</si>
  <si>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</si>
  <si>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</si>
  <si>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</si>
  <si>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</si>
  <si>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</si>
  <si>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</si>
  <si>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</si>
  <si>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</si>
  <si>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</si>
  <si>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</si>
  <si>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</si>
  <si>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</si>
  <si>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</si>
  <si>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</si>
  <si>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</si>
  <si>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</si>
  <si>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</si>
  <si>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</si>
  <si>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</si>
  <si>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</si>
  <si>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</si>
  <si>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</si>
  <si>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</si>
  <si>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</si>
  <si>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</si>
  <si>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</si>
  <si>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</si>
  <si>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</si>
  <si>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</si>
  <si>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</si>
  <si>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</si>
  <si>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</si>
  <si>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</si>
  <si>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</si>
  <si>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</si>
  <si>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</si>
  <si>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</si>
  <si>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</si>
  <si>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</si>
  <si>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</si>
  <si>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</si>
  <si>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</si>
  <si>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</si>
  <si>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</si>
  <si>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</si>
  <si>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</si>
  <si>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</si>
  <si>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</si>
  <si>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</si>
  <si>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</si>
  <si>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</si>
  <si>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</si>
  <si>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</si>
  <si>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</si>
  <si>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</si>
  <si>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</si>
  <si>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</si>
  <si>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</si>
  <si>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</si>
  <si>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</si>
  <si>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</si>
  <si>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</si>
  <si>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</si>
  <si>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</si>
  <si>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</si>
  <si>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</si>
  <si>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</si>
  <si>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</si>
  <si>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</si>
  <si>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</si>
  <si>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</si>
  <si>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</si>
  <si>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</si>
  <si>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</si>
  <si>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</si>
  <si>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</si>
  <si>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</si>
  <si>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</si>
  <si>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</si>
  <si>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</si>
  <si>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</si>
  <si>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</si>
  <si>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</si>
  <si>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</si>
  <si>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</si>
  <si>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</si>
  <si>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</si>
  <si>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</si>
  <si>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</si>
  <si>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</si>
  <si>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</si>
  <si>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</si>
  <si>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</si>
  <si>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</si>
  <si>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</si>
  <si>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</si>
  <si>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</si>
  <si>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</si>
  <si>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</si>
  <si>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</si>
  <si>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</si>
  <si>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</si>
  <si>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</si>
  <si>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</si>
  <si>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</si>
  <si>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</si>
  <si>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</si>
  <si>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</si>
  <si>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</si>
  <si>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</si>
  <si>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</si>
  <si>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</si>
  <si>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</si>
  <si>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</si>
  <si>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</si>
  <si>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</si>
  <si>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</si>
  <si>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</si>
  <si>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</si>
  <si>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</si>
  <si>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</si>
  <si>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</si>
  <si>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</si>
  <si>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</si>
  <si>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</si>
  <si>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</si>
  <si>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</si>
  <si>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</si>
  <si>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</si>
  <si>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</si>
  <si>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</si>
  <si>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</si>
  <si>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</si>
  <si>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</si>
  <si>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</si>
  <si>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</si>
  <si>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</si>
  <si>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</si>
  <si>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</si>
  <si>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</si>
  <si>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</si>
  <si>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</si>
  <si>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</si>
  <si>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</si>
  <si>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</si>
  <si>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</si>
  <si>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</si>
  <si>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</si>
  <si>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</si>
  <si>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</si>
  <si>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</si>
  <si>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</si>
  <si>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</si>
  <si>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</si>
  <si>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</si>
  <si>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</si>
  <si>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</si>
  <si>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</si>
  <si>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</si>
  <si>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</si>
  <si>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</si>
  <si>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</si>
  <si>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</si>
  <si>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</si>
  <si>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</si>
  <si>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</si>
  <si>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</si>
  <si>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</si>
  <si>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</si>
  <si>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</si>
  <si>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</si>
  <si>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</si>
  <si>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</si>
  <si>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</si>
  <si>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</si>
  <si>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</si>
  <si>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</si>
  <si>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</si>
  <si>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</si>
  <si>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</si>
  <si>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</si>
  <si>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</si>
  <si>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</si>
  <si>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</si>
  <si>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</si>
  <si>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</si>
  <si>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</si>
  <si>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</si>
  <si>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</si>
  <si>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</si>
  <si>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</si>
  <si>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</si>
  <si>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</si>
  <si>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</si>
  <si>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</si>
  <si>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</si>
  <si>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</si>
  <si>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</si>
  <si>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</si>
  <si>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</si>
  <si>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</si>
  <si>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</si>
  <si>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</si>
  <si>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</si>
  <si>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</si>
  <si>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</si>
  <si>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</si>
  <si>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</si>
  <si>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</si>
  <si>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</si>
  <si>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</si>
  <si>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</si>
  <si>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</si>
  <si>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</si>
  <si>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</si>
  <si>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</si>
  <si>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</si>
  <si>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</si>
  <si>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</si>
  <si>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</si>
  <si>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</si>
  <si>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</si>
  <si>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</si>
  <si>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</si>
  <si>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</si>
  <si>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</si>
  <si>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</si>
  <si>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</si>
  <si>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</si>
  <si>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</si>
  <si>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</si>
  <si>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</si>
  <si>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</si>
  <si>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</si>
  <si>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</si>
  <si>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</si>
  <si>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</si>
  <si>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</si>
  <si>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</si>
  <si>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</si>
  <si>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</si>
  <si>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</si>
  <si>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</si>
  <si>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</si>
  <si>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</si>
  <si>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</si>
  <si>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</si>
  <si>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</si>
  <si>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</si>
  <si>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</si>
  <si>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</si>
  <si>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</si>
  <si>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</si>
  <si>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</si>
  <si>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</si>
  <si>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</si>
  <si>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</si>
  <si>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</si>
  <si>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</si>
  <si>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</si>
  <si>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</si>
  <si>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</si>
  <si>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</si>
  <si>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</si>
  <si>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</si>
  <si>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</si>
  <si>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</si>
  <si>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</si>
  <si>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</si>
  <si>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</si>
  <si>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</si>
  <si>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</si>
  <si>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</si>
  <si>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</si>
  <si>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</si>
  <si>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</si>
  <si>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</si>
  <si>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</si>
  <si>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</si>
  <si>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</si>
  <si>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</si>
  <si>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</si>
  <si>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</si>
  <si>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</si>
  <si>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</si>
  <si>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</si>
  <si>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</si>
  <si>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</si>
  <si>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</si>
  <si>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</si>
  <si>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</si>
  <si>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</si>
  <si>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</si>
  <si>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</si>
  <si>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</si>
  <si>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</si>
  <si>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</si>
  <si>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</si>
  <si>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</si>
  <si>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</si>
  <si>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</si>
  <si>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</si>
  <si>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</si>
  <si>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</si>
  <si>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</si>
  <si>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</si>
  <si>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</si>
  <si>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</si>
  <si>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</si>
  <si>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</si>
  <si>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</si>
  <si>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</si>
  <si>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</si>
  <si>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</si>
  <si>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</si>
  <si>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</si>
  <si>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</si>
  <si>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</si>
  <si>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</si>
  <si>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</si>
  <si>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</si>
  <si>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</si>
  <si>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</si>
  <si>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</si>
  <si>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</si>
  <si>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</si>
  <si>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</si>
  <si>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</si>
  <si>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</si>
  <si>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</si>
  <si>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</si>
  <si>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</si>
  <si>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</si>
  <si>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</si>
  <si>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</si>
  <si>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</si>
  <si>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</si>
  <si>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</si>
  <si>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</si>
  <si>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</si>
  <si>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</si>
  <si>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</si>
  <si>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</si>
  <si>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</si>
  <si>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</si>
  <si>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</si>
  <si>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</si>
  <si>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</si>
  <si>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</si>
  <si>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</si>
  <si>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</si>
  <si>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</si>
  <si>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</si>
  <si>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</si>
  <si>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</si>
  <si>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</si>
  <si>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</si>
  <si>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</si>
  <si>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</si>
  <si>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</si>
  <si>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</si>
  <si>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</si>
  <si>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</si>
  <si>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</si>
  <si>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</si>
  <si>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</si>
  <si>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</si>
  <si>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</si>
  <si>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</si>
  <si>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</si>
  <si>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</si>
  <si>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</si>
  <si>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</si>
  <si>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</si>
  <si>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</si>
  <si>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</si>
  <si>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</si>
  <si>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</si>
  <si>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</si>
  <si>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</si>
  <si>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</si>
  <si>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</si>
  <si>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</si>
  <si>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</si>
  <si>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</si>
  <si>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</si>
  <si>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</si>
  <si>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</si>
  <si>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</si>
  <si>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</si>
  <si>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</si>
  <si>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</si>
  <si>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</si>
  <si>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</si>
  <si>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</si>
  <si>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</si>
  <si>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</si>
  <si>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</si>
  <si>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</si>
  <si>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</si>
  <si>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</si>
  <si>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</si>
  <si>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</si>
  <si>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</si>
  <si>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</si>
  <si>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房地产抵押价值</t>
  </si>
  <si>
    <t>北京市</t>
  </si>
  <si>
    <t>企业</t>
  </si>
  <si>
    <t>出让</t>
  </si>
  <si>
    <t>Ⅹ-平1</t>
  </si>
  <si>
    <t>地上</t>
  </si>
  <si>
    <t>是</t>
  </si>
  <si>
    <t>工业</t>
    <phoneticPr fontId="8"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</si>
  <si>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</si>
  <si>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</si>
  <si>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</si>
  <si>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</si>
  <si>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</si>
  <si>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</si>
  <si>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</si>
  <si>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</si>
  <si>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</si>
  <si>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</si>
  <si>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</si>
  <si>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</si>
  <si>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</si>
  <si>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</si>
  <si>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</si>
  <si>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</si>
  <si>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</si>
  <si>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41" type="noConversion"/>
  </si>
  <si>
    <t>转换地价</t>
    <phoneticPr fontId="141" type="noConversion"/>
  </si>
  <si>
    <t>每亩</t>
    <phoneticPr fontId="141"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</si>
  <si>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</si>
  <si>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</si>
  <si>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</si>
  <si>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</si>
  <si>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</si>
  <si>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</si>
  <si>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</si>
  <si>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</si>
  <si>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</si>
  <si>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</si>
  <si>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</si>
  <si>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</si>
  <si>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41"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</si>
  <si>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</si>
  <si>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</si>
  <si>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</si>
  <si>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</si>
  <si>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</si>
  <si>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</si>
  <si>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</si>
  <si>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</si>
  <si>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</si>
  <si>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</si>
  <si>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</si>
  <si>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t>正常</t>
  </si>
  <si>
    <t>未包含在土地购买价格中</t>
  </si>
  <si>
    <t>已包含在土地取得成本中</t>
  </si>
  <si>
    <t>钢混</t>
  </si>
  <si>
    <t>非生产用房</t>
  </si>
  <si>
    <t>总价</t>
  </si>
  <si>
    <t>成本比率</t>
  </si>
  <si>
    <t>成本法</t>
  </si>
  <si>
    <t>否</t>
  </si>
  <si>
    <t>押一</t>
  </si>
  <si>
    <t>序号</t>
    <phoneticPr fontId="141" type="noConversion"/>
  </si>
  <si>
    <t>坐落</t>
    <phoneticPr fontId="141" type="noConversion"/>
  </si>
  <si>
    <t>建筑面积</t>
    <phoneticPr fontId="141" type="noConversion"/>
  </si>
  <si>
    <t>所在楼层</t>
    <phoneticPr fontId="141" type="noConversion"/>
  </si>
  <si>
    <t>总楼层</t>
    <phoneticPr fontId="141" type="noConversion"/>
  </si>
  <si>
    <t>结构</t>
    <phoneticPr fontId="141" type="noConversion"/>
  </si>
  <si>
    <t>建成年代</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</si>
  <si>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0000265号</t>
    </r>
    <phoneticPr fontId="141" type="noConversion"/>
  </si>
  <si>
    <t>不动产权利人</t>
    <phoneticPr fontId="141" type="noConversion"/>
  </si>
  <si>
    <t>北京郎悦大通餐饮有限公司</t>
    <phoneticPr fontId="141" type="noConversion"/>
  </si>
  <si>
    <r>
      <t>平谷区平和街3</t>
    </r>
    <r>
      <rPr>
        <sz val="11"/>
        <color theme="1"/>
        <rFont val="宋体"/>
        <family val="3"/>
        <charset val="134"/>
        <scheme val="minor"/>
      </rPr>
      <t>9号院16号楼16-2号</t>
    </r>
    <phoneticPr fontId="141" type="noConversion"/>
  </si>
  <si>
    <r>
      <t>1</t>
    </r>
    <r>
      <rPr>
        <sz val="11"/>
        <color theme="1"/>
        <rFont val="宋体"/>
        <family val="3"/>
        <charset val="134"/>
        <scheme val="minor"/>
      </rPr>
      <t>-3层</t>
    </r>
    <phoneticPr fontId="141" type="noConversion"/>
  </si>
  <si>
    <t>钢混</t>
    <phoneticPr fontId="141" type="noConversion"/>
  </si>
  <si>
    <t>土地使用年限</t>
    <phoneticPr fontId="141" type="noConversion"/>
  </si>
  <si>
    <r>
      <t>平谷区平和街39号院16号楼16-1号</t>
    </r>
    <r>
      <rPr>
        <sz val="11"/>
        <color theme="1"/>
        <rFont val="宋体"/>
        <family val="2"/>
        <scheme val="minor"/>
      </rPr>
      <t/>
    </r>
    <phoneticPr fontId="141" type="noConversion"/>
  </si>
  <si>
    <r>
      <t>1</t>
    </r>
    <r>
      <rPr>
        <sz val="11"/>
        <color theme="1"/>
        <rFont val="宋体"/>
        <family val="3"/>
        <charset val="134"/>
        <scheme val="minor"/>
      </rPr>
      <t>-2层</t>
    </r>
    <phoneticPr fontId="141" type="noConversion"/>
  </si>
  <si>
    <t>不动产权证书</t>
    <phoneticPr fontId="141" type="noConversion"/>
  </si>
  <si>
    <r>
      <t>平谷区平和街39号院17号楼17-1号</t>
    </r>
    <r>
      <rPr>
        <sz val="11"/>
        <color theme="1"/>
        <rFont val="宋体"/>
        <family val="2"/>
        <scheme val="minor"/>
      </rPr>
      <t/>
    </r>
    <phoneticPr fontId="141" type="noConversion"/>
  </si>
  <si>
    <t>郑燚</t>
  </si>
  <si>
    <t>吴薇</t>
  </si>
  <si>
    <t>工商银行</t>
    <phoneticPr fontId="7" type="noConversion"/>
  </si>
  <si>
    <r>
      <t>平谷区平和街39号院17号楼17-2号</t>
    </r>
    <r>
      <rPr>
        <sz val="11"/>
        <color theme="1"/>
        <rFont val="宋体"/>
        <family val="2"/>
        <scheme val="minor"/>
      </rPr>
      <t/>
    </r>
    <phoneticPr fontId="141" type="noConversion"/>
  </si>
  <si>
    <t>工业项目</t>
  </si>
  <si>
    <r>
      <rPr>
        <sz val="11"/>
        <rFont val="宋体"/>
        <family val="3"/>
        <charset val="134"/>
      </rPr>
      <t>估价对象名称</t>
    </r>
    <phoneticPr fontId="4" type="noConversion"/>
  </si>
  <si>
    <t>工业</t>
    <phoneticPr fontId="32" type="noConversion"/>
  </si>
  <si>
    <t>规则</t>
  </si>
  <si>
    <t>规则</t>
    <phoneticPr fontId="32" type="noConversion"/>
  </si>
  <si>
    <t>较规则</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</si>
  <si>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</si>
  <si>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</si>
  <si>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</si>
  <si>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</si>
  <si>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</si>
  <si>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</si>
  <si>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较好</t>
  </si>
  <si>
    <t>较好</t>
    <phoneticPr fontId="26" type="noConversion"/>
  </si>
  <si>
    <t>一般</t>
  </si>
  <si>
    <t>一般</t>
    <phoneticPr fontId="26" type="noConversion"/>
  </si>
  <si>
    <t>较差</t>
  </si>
  <si>
    <t>较差</t>
    <phoneticPr fontId="26" type="noConversion"/>
  </si>
  <si>
    <t>七通</t>
    <phoneticPr fontId="26" type="noConversion"/>
  </si>
  <si>
    <t>楼面地价</t>
  </si>
  <si>
    <t>工业</t>
    <phoneticPr fontId="34" type="noConversion"/>
  </si>
  <si>
    <t>七通</t>
    <phoneticPr fontId="34" type="noConversion"/>
  </si>
  <si>
    <t>六通</t>
    <phoneticPr fontId="34" type="noConversion"/>
  </si>
  <si>
    <t>五通</t>
    <phoneticPr fontId="34" type="noConversion"/>
  </si>
  <si>
    <t>四通</t>
    <phoneticPr fontId="34" type="noConversion"/>
  </si>
  <si>
    <r>
      <rPr>
        <sz val="11"/>
        <color indexed="8"/>
        <rFont val="宋体"/>
        <family val="3"/>
        <charset val="134"/>
      </rPr>
      <t>项目位于工业产值占北京平谷</t>
    </r>
    <r>
      <rPr>
        <sz val="11"/>
        <color indexed="8"/>
        <rFont val="Arial"/>
        <family val="2"/>
      </rPr>
      <t>78%</t>
    </r>
    <r>
      <rPr>
        <sz val="11"/>
        <color indexed="8"/>
        <rFont val="宋体"/>
        <family val="3"/>
        <charset val="134"/>
      </rPr>
      <t>比例的兴谷开发区内，属于中关村分园</t>
    </r>
    <r>
      <rPr>
        <sz val="11"/>
        <color indexed="8"/>
        <rFont val="Arial"/>
        <family val="2"/>
      </rPr>
      <t>,</t>
    </r>
    <r>
      <rPr>
        <sz val="11"/>
        <color indexed="8"/>
        <rFont val="宋体"/>
        <family val="3"/>
        <charset val="134"/>
      </rPr>
      <t>临兴谷西路和平翔路，毗邻平谷主城区和平谷区政府驻地，总占地</t>
    </r>
    <r>
      <rPr>
        <sz val="11"/>
        <color indexed="8"/>
        <rFont val="Arial"/>
        <family val="2"/>
      </rPr>
      <t>1000</t>
    </r>
    <r>
      <rPr>
        <sz val="11"/>
        <color indexed="8"/>
        <rFont val="宋体"/>
        <family val="3"/>
        <charset val="134"/>
      </rPr>
      <t>亩，规划建筑面积约</t>
    </r>
    <r>
      <rPr>
        <sz val="11"/>
        <color indexed="8"/>
        <rFont val="Arial"/>
        <family val="2"/>
      </rPr>
      <t>100</t>
    </r>
    <r>
      <rPr>
        <sz val="11"/>
        <color indexed="8"/>
        <rFont val="宋体"/>
        <family val="3"/>
        <charset val="134"/>
      </rPr>
      <t>万平方米，联东</t>
    </r>
    <r>
      <rPr>
        <sz val="11"/>
        <color indexed="8"/>
        <rFont val="Arial"/>
        <family val="2"/>
      </rPr>
      <t>U</t>
    </r>
    <r>
      <rPr>
        <sz val="11"/>
        <color indexed="8"/>
        <rFont val="宋体"/>
        <family val="3"/>
        <charset val="134"/>
      </rPr>
      <t>谷</t>
    </r>
    <r>
      <rPr>
        <sz val="11"/>
        <color indexed="8"/>
        <rFont val="Arial"/>
        <family val="2"/>
      </rPr>
      <t>·</t>
    </r>
    <r>
      <rPr>
        <sz val="11"/>
        <color indexed="8"/>
        <rFont val="宋体"/>
        <family val="3"/>
        <charset val="134"/>
      </rPr>
      <t>平谷国际企业港一期开发总占地</t>
    </r>
    <r>
      <rPr>
        <sz val="11"/>
        <color indexed="8"/>
        <rFont val="Arial"/>
        <family val="2"/>
      </rPr>
      <t>198.5</t>
    </r>
    <r>
      <rPr>
        <sz val="11"/>
        <color indexed="8"/>
        <rFont val="宋体"/>
        <family val="3"/>
        <charset val="134"/>
      </rPr>
      <t>亩，规划建筑面积约</t>
    </r>
    <r>
      <rPr>
        <sz val="11"/>
        <color indexed="8"/>
        <rFont val="Arial"/>
        <family val="2"/>
      </rPr>
      <t>15</t>
    </r>
    <r>
      <rPr>
        <sz val="11"/>
        <color indexed="8"/>
        <rFont val="宋体"/>
        <family val="3"/>
        <charset val="134"/>
      </rPr>
      <t>万平方米。容积率</t>
    </r>
    <r>
      <rPr>
        <sz val="11"/>
        <color indexed="8"/>
        <rFont val="Arial"/>
        <family val="2"/>
      </rPr>
      <t>1.2</t>
    </r>
    <r>
      <rPr>
        <sz val="11"/>
        <color indexed="8"/>
        <rFont val="宋体"/>
        <family val="3"/>
        <charset val="134"/>
      </rPr>
      <t>，绿化达到</t>
    </r>
    <r>
      <rPr>
        <sz val="11"/>
        <color indexed="8"/>
        <rFont val="Arial"/>
        <family val="2"/>
      </rPr>
      <t>15%</t>
    </r>
    <r>
      <rPr>
        <sz val="11"/>
        <color indexed="8"/>
        <rFont val="宋体"/>
        <family val="3"/>
        <charset val="134"/>
      </rPr>
      <t>。项目以生物医药</t>
    </r>
    <r>
      <rPr>
        <sz val="11"/>
        <color indexed="8"/>
        <rFont val="Arial"/>
        <family val="2"/>
      </rPr>
      <t>,</t>
    </r>
    <r>
      <rPr>
        <sz val="11"/>
        <color indexed="8"/>
        <rFont val="宋体"/>
        <family val="3"/>
        <charset val="134"/>
      </rPr>
      <t>医疗器械</t>
    </r>
    <r>
      <rPr>
        <sz val="11"/>
        <color indexed="8"/>
        <rFont val="Arial"/>
        <family val="2"/>
      </rPr>
      <t>,</t>
    </r>
    <r>
      <rPr>
        <sz val="11"/>
        <color indexed="8"/>
        <rFont val="宋体"/>
        <family val="3"/>
        <charset val="134"/>
      </rPr>
      <t>智能智造</t>
    </r>
    <r>
      <rPr>
        <sz val="11"/>
        <color indexed="8"/>
        <rFont val="Arial"/>
        <family val="2"/>
      </rPr>
      <t>,</t>
    </r>
    <r>
      <rPr>
        <sz val="11"/>
        <color indexed="8"/>
        <rFont val="宋体"/>
        <family val="3"/>
        <charset val="134"/>
      </rPr>
      <t>新一代信息技术为主导行业。</t>
    </r>
    <phoneticPr fontId="4" type="noConversion"/>
  </si>
  <si>
    <t>按租金收入计税</t>
  </si>
  <si>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0000267号</t>
    </r>
    <phoneticPr fontId="141" type="noConversion"/>
  </si>
  <si>
    <t>北京金丰仓餐饮管理有限公司</t>
    <phoneticPr fontId="141" type="noConversion"/>
  </si>
  <si>
    <t>=94*1.5%/12</t>
    <phoneticPr fontId="4" type="noConversion"/>
  </si>
  <si>
    <t>用款方</t>
    <phoneticPr fontId="141" type="noConversion"/>
  </si>
  <si>
    <t>北京金丰餐饮有限公司</t>
    <phoneticPr fontId="141" type="noConversion"/>
  </si>
  <si>
    <t>北京金丰大通有机农业有限公司</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</si>
</sst>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cellStyleXfs>
  <cellXfs count="35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0" fillId="0" borderId="0" xfId="0" applyAlignment="1">
      <alignment horizontal="center" vertical="center" wrapText="1"/>
    </xf>
    <xf numFmtId="0" fontId="56" fillId="0" borderId="0" xfId="17" applyAlignment="1">
      <alignment horizontal="center" vertical="center" wrapText="1"/>
    </xf>
    <xf numFmtId="0" fontId="20" fillId="0" borderId="0" xfId="17" applyFont="1" applyAlignment="1">
      <alignment horizontal="center" vertical="center" wrapText="1"/>
    </xf>
    <xf numFmtId="0" fontId="0" fillId="0" borderId="0" xfId="0" applyAlignment="1">
      <alignment horizontal="center" vertical="center"/>
    </xf>
    <xf numFmtId="0" fontId="56" fillId="0" borderId="0" xfId="17" applyAlignment="1">
      <alignment horizontal="center" vertical="center"/>
    </xf>
    <xf numFmtId="0" fontId="56" fillId="9" borderId="0" xfId="17" applyFill="1" applyAlignment="1">
      <alignment horizontal="center" vertical="center"/>
    </xf>
    <xf numFmtId="0" fontId="0" fillId="9" borderId="0" xfId="0" applyFill="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8"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NumberFormat="1" applyFont="1" applyFill="1" applyBorder="1" applyAlignment="1" applyProtection="1">
      <alignment vertical="center" wrapText="1"/>
      <protection locked="0"/>
    </xf>
    <xf numFmtId="0" fontId="256" fillId="12" borderId="0" xfId="0" applyFont="1" applyFill="1" applyAlignment="1" applyProtection="1">
      <alignment vertical="center"/>
      <protection locked="0"/>
    </xf>
    <xf numFmtId="0" fontId="257" fillId="12" borderId="0" xfId="0" applyFont="1" applyFill="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657225</xdr:colOff>
      <xdr:row>34</xdr:row>
      <xdr:rowOff>149610</xdr:rowOff>
    </xdr:to>
    <xdr:pic>
      <xdr:nvPicPr>
        <xdr:cNvPr id="3" name="图片 2">
          <a:extLst>
            <a:ext uri="{FF2B5EF4-FFF2-40B4-BE49-F238E27FC236}">
              <a16:creationId xmlns:a16="http://schemas.microsoft.com/office/drawing/2014/main" id="{24933CE3-81E8-408C-B4AF-2EC9B2A37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4</xdr:col>
      <xdr:colOff>657225</xdr:colOff>
      <xdr:row>62</xdr:row>
      <xdr:rowOff>29160</xdr:rowOff>
    </xdr:to>
    <xdr:pic>
      <xdr:nvPicPr>
        <xdr:cNvPr id="5" name="图片 4">
          <a:extLst>
            <a:ext uri="{FF2B5EF4-FFF2-40B4-BE49-F238E27FC236}">
              <a16:creationId xmlns:a16="http://schemas.microsoft.com/office/drawing/2014/main" id="{D6F76473-A820-4B7F-B45B-E64A2C40B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4</xdr:col>
      <xdr:colOff>657225</xdr:colOff>
      <xdr:row>88</xdr:row>
      <xdr:rowOff>163890</xdr:rowOff>
    </xdr:to>
    <xdr:pic>
      <xdr:nvPicPr>
        <xdr:cNvPr id="7" name="图片 6">
          <a:extLst>
            <a:ext uri="{FF2B5EF4-FFF2-40B4-BE49-F238E27FC236}">
              <a16:creationId xmlns:a16="http://schemas.microsoft.com/office/drawing/2014/main" id="{75E93282-E45D-4580-92D5-6F63DD307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9" name="图片 8">
          <a:extLst>
            <a:ext uri="{FF2B5EF4-FFF2-40B4-BE49-F238E27FC236}">
              <a16:creationId xmlns:a16="http://schemas.microsoft.com/office/drawing/2014/main" id="{981FC7AE-0688-499A-9F10-2A294BD65A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21&#24179;&#35895;&#24037;&#19994;&#20108;&#23457;&#22797;&#26680;-&#35299;&#22269;&#26126;20211126-102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C16">
            <v>1.5192000000000001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t="str">
        <f>'预评函-封皮'!B40</f>
        <v>工商银行</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估价对象为北京市房地产，为所有。根据，估价对象（分摊）出让国有建设用地使用权面积为0平方米，建筑面积为1604.01平方米。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估价对象为北京市房地产,属开发建设的工业项目，该项目尚在开发建设中。根据，估价对象（分摊）出让国有建设用地使用权面积为0平方米，规划建筑面积为1604.01平方米。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2022年4月21日（评估专业人员实地查勘之日）</v>
      </c>
    </row>
    <row r="13" spans="1:2" s="1337" customFormat="1">
      <c r="A13" s="1335" t="s">
        <v>1135</v>
      </c>
      <c r="B13" s="1336" t="str">
        <f>'预评函-1'!A18</f>
        <v>本次估价的“房地产价值”是指在正常市场情况下，在价值时点2022年4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1087</v>
      </c>
    </row>
    <row r="21" spans="1:2" s="1337" customFormat="1">
      <c r="A21" s="1335" t="s">
        <v>1143</v>
      </c>
      <c r="B21" s="1336">
        <f ca="1">'预评函-2'!D7</f>
        <v>6777</v>
      </c>
    </row>
    <row r="22" spans="1:2" s="1337" customFormat="1">
      <c r="A22" s="1335" t="s">
        <v>1144</v>
      </c>
      <c r="B22" s="1336" t="str">
        <f ca="1">'预评函-2'!D6</f>
        <v>壹仟零捌拾柒万元整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1087</v>
      </c>
    </row>
    <row r="31" spans="1:2" s="1337" customFormat="1">
      <c r="A31" s="1335" t="s">
        <v>1182</v>
      </c>
      <c r="B31" s="1336">
        <f ca="1">'预评函-2'!D15</f>
        <v>6777</v>
      </c>
    </row>
    <row r="32" spans="1:2" s="1337" customFormat="1">
      <c r="A32" s="1335" t="s">
        <v>1149</v>
      </c>
      <c r="B32" s="1336" t="str">
        <f ca="1">'预评函-2'!D14</f>
        <v>壹仟零捌拾柒万元整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1604.01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313</v>
      </c>
    </row>
    <row r="48" spans="1:2" s="1337" customFormat="1">
      <c r="A48" s="1335" t="s">
        <v>1155</v>
      </c>
      <c r="B48" s="1336">
        <f ca="1">'预评函-3'!E4</f>
        <v>1952</v>
      </c>
    </row>
    <row r="49" spans="1:2" s="1337" customFormat="1">
      <c r="A49" s="1335" t="s">
        <v>1156</v>
      </c>
      <c r="B49" s="1336" t="str">
        <f ca="1">'预评函-3'!D5</f>
        <v>叁佰壹拾叁万元整</v>
      </c>
    </row>
    <row r="50" spans="1:2" s="1337" customFormat="1">
      <c r="A50" s="1335" t="s">
        <v>1180</v>
      </c>
      <c r="B50" s="1336" t="str">
        <f>'预评函-3'!F2</f>
        <v>在建建筑物价值</v>
      </c>
    </row>
    <row r="51" spans="1:2" s="1337" customFormat="1">
      <c r="A51" s="1335" t="s">
        <v>1157</v>
      </c>
      <c r="B51" s="1336">
        <f ca="1">'预评函-3'!F4</f>
        <v>774</v>
      </c>
    </row>
    <row r="52" spans="1:2" s="1337" customFormat="1">
      <c r="A52" s="1335" t="s">
        <v>1158</v>
      </c>
      <c r="B52" s="1336">
        <f ca="1">'预评函-3'!G4</f>
        <v>4825</v>
      </c>
    </row>
    <row r="53" spans="1:2" s="1337" customFormat="1">
      <c r="A53" s="1335" t="s">
        <v>1186</v>
      </c>
      <c r="B53" s="1336" t="str">
        <f ca="1">'预评函-3'!F5</f>
        <v>柒佰柒拾肆万元整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2967</v>
      </c>
      <c r="C17" s="1702"/>
    </row>
    <row r="18" spans="1:3">
      <c r="A18" s="1701" t="s">
        <v>1672</v>
      </c>
      <c r="B18" s="1701" t="s">
        <v>3111</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64"/>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5"/>
      <c r="E2" s="2855"/>
      <c r="F2" s="2855"/>
      <c r="G2" s="2856"/>
      <c r="H2" s="2856"/>
      <c r="I2" s="2856"/>
      <c r="J2" s="2664"/>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v>44672</v>
      </c>
      <c r="C3" s="2568" t="s">
        <v>2857</v>
      </c>
      <c r="D3" s="2567">
        <f>B3</f>
        <v>44672</v>
      </c>
      <c r="E3" s="2856"/>
      <c r="F3" s="2856"/>
      <c r="G3" s="2856"/>
      <c r="H3" s="2856"/>
      <c r="I3" s="2856"/>
      <c r="J3" s="2664"/>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3197</v>
      </c>
      <c r="C4" s="2570">
        <f ca="1">SUMIF(注册房地产估价师,B4,估价师及机构信息!B3:B24)</f>
        <v>1120070131</v>
      </c>
      <c r="D4" s="2569" t="s">
        <v>3198</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7" t="s">
        <v>3199</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8" t="s">
        <v>3199</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3116</v>
      </c>
      <c r="C8" s="2582"/>
      <c r="D8" s="3278" t="s">
        <v>2863</v>
      </c>
      <c r="E8" s="2583" t="s">
        <v>3117</v>
      </c>
      <c r="F8" s="2584"/>
      <c r="G8" s="2856"/>
      <c r="H8" s="2856"/>
      <c r="I8" s="2856"/>
      <c r="J8" s="2633"/>
      <c r="K8" s="2806"/>
      <c r="L8" s="2805"/>
      <c r="M8" s="2805"/>
      <c r="N8" s="2633"/>
      <c r="O8" s="2644"/>
      <c r="P8" s="2633"/>
      <c r="Q8" s="2633"/>
      <c r="R8" s="2633"/>
    </row>
    <row r="9" spans="1:28" ht="13.5" thickBot="1">
      <c r="A9" s="2585" t="s">
        <v>2864</v>
      </c>
      <c r="B9" s="2586" t="s">
        <v>3117</v>
      </c>
      <c r="C9" s="2587"/>
      <c r="D9" s="3279"/>
      <c r="E9" s="2586" t="s">
        <v>70</v>
      </c>
      <c r="F9" s="2588"/>
      <c r="G9" s="2858"/>
      <c r="H9" s="2858"/>
      <c r="I9" s="2858"/>
      <c r="J9" s="2633"/>
      <c r="K9" s="2808"/>
      <c r="L9" s="2805"/>
      <c r="M9" s="2805"/>
      <c r="N9" s="2633"/>
      <c r="O9" s="2644"/>
      <c r="P9" s="2633"/>
      <c r="Q9" s="2633"/>
      <c r="R9" s="2633"/>
    </row>
    <row r="10" spans="1:28" ht="13.5" thickTop="1">
      <c r="A10" s="2589" t="s">
        <v>2865</v>
      </c>
      <c r="B10" s="2590" t="s">
        <v>3118</v>
      </c>
      <c r="C10" s="2591"/>
      <c r="D10" s="2575"/>
      <c r="E10" s="2592" t="s">
        <v>2866</v>
      </c>
      <c r="F10" s="2859"/>
      <c r="G10" s="2860"/>
      <c r="H10" s="2861"/>
      <c r="I10" s="2862"/>
      <c r="J10" s="2633"/>
      <c r="K10" s="2808"/>
      <c r="L10" s="2805"/>
      <c r="M10" s="2805"/>
      <c r="N10" s="2633"/>
      <c r="O10" s="2644"/>
      <c r="P10" s="2633"/>
      <c r="Q10" s="2633"/>
      <c r="R10" s="2633"/>
    </row>
    <row r="11" spans="1:28">
      <c r="A11" s="2593" t="s">
        <v>2867</v>
      </c>
      <c r="B11" s="2594" t="s">
        <v>3119</v>
      </c>
      <c r="C11" s="2595"/>
      <c r="D11" s="2596"/>
      <c r="E11" s="2564"/>
      <c r="F11" s="2564"/>
      <c r="G11" s="2564"/>
      <c r="H11" s="2564"/>
      <c r="I11" s="2564"/>
      <c r="J11" s="2633"/>
      <c r="K11" s="2808"/>
      <c r="L11" s="2805"/>
      <c r="M11" s="2805"/>
      <c r="N11" s="2633"/>
      <c r="O11" s="2644"/>
      <c r="P11" s="2633"/>
      <c r="Q11" s="2633"/>
      <c r="R11" s="2633"/>
    </row>
    <row r="12" spans="1:28">
      <c r="A12" s="2597" t="s">
        <v>2868</v>
      </c>
      <c r="B12" s="2594" t="s">
        <v>3120</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3"/>
      <c r="B13" s="2599"/>
      <c r="C13" s="2600" t="s">
        <v>2876</v>
      </c>
      <c r="D13" s="965"/>
      <c r="E13" s="965"/>
      <c r="F13" s="965"/>
      <c r="G13" s="965"/>
      <c r="H13" s="965"/>
      <c r="I13" s="965">
        <v>60016</v>
      </c>
      <c r="J13" s="2633"/>
      <c r="K13" s="2808"/>
      <c r="L13" s="2805"/>
      <c r="M13" s="2805"/>
      <c r="N13" s="2633"/>
      <c r="O13" s="2644"/>
      <c r="P13" s="2633"/>
      <c r="Q13" s="2633"/>
      <c r="R13" s="2633"/>
    </row>
    <row r="14" spans="1:28">
      <c r="A14" s="1213"/>
      <c r="B14" s="2599"/>
      <c r="C14" s="2600" t="s">
        <v>2877</v>
      </c>
      <c r="D14" s="2601"/>
      <c r="E14" s="2601"/>
      <c r="F14" s="2601"/>
      <c r="G14" s="2601"/>
      <c r="H14" s="2601"/>
      <c r="I14" s="2601">
        <v>50</v>
      </c>
      <c r="J14" s="2633"/>
      <c r="K14" s="2809"/>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42.03</v>
      </c>
      <c r="J15" s="2633"/>
      <c r="K15" s="2810"/>
      <c r="L15" s="2645"/>
      <c r="M15" s="2645"/>
      <c r="N15" s="2701"/>
      <c r="O15" s="2645"/>
      <c r="P15" s="2701"/>
      <c r="Q15" s="2633"/>
      <c r="R15" s="2633"/>
    </row>
    <row r="16" spans="1:28">
      <c r="A16" s="2592" t="s">
        <v>2879</v>
      </c>
      <c r="B16" s="3285"/>
      <c r="C16" s="3286"/>
      <c r="D16" s="3287"/>
      <c r="E16" s="2607" t="s">
        <v>2880</v>
      </c>
      <c r="F16" s="3288"/>
      <c r="G16" s="3289"/>
      <c r="H16" s="3289"/>
      <c r="I16" s="3290"/>
      <c r="J16" s="2633"/>
      <c r="K16" s="2810"/>
      <c r="L16" s="2645"/>
      <c r="M16" s="2645"/>
      <c r="N16" s="2701"/>
      <c r="O16" s="2645"/>
      <c r="P16" s="2701"/>
      <c r="Q16" s="2633"/>
      <c r="R16" s="2633"/>
    </row>
    <row r="17" spans="1:28">
      <c r="A17" s="319" t="s">
        <v>2881</v>
      </c>
      <c r="B17" s="308" t="s">
        <v>2882</v>
      </c>
      <c r="C17" s="11">
        <f>'数据-汇总表'!E3</f>
        <v>1604.01</v>
      </c>
      <c r="D17" s="2515" t="s">
        <v>2883</v>
      </c>
      <c r="E17" s="3291"/>
      <c r="F17" s="3292"/>
      <c r="G17" s="3292"/>
      <c r="H17" s="3292"/>
      <c r="I17" s="3293"/>
      <c r="J17" s="2633"/>
      <c r="K17" s="2811"/>
      <c r="L17" s="2645"/>
      <c r="M17" s="2645"/>
      <c r="N17" s="2701"/>
      <c r="O17" s="2645"/>
      <c r="P17" s="2701"/>
      <c r="Q17" s="2633"/>
      <c r="R17" s="2633"/>
      <c r="S17" s="2633"/>
      <c r="T17" s="2633"/>
      <c r="U17" s="2633"/>
      <c r="V17" s="2633"/>
    </row>
    <row r="18" spans="1:28" ht="24.75" thickBot="1">
      <c r="A18" s="2608" t="s">
        <v>2884</v>
      </c>
      <c r="B18" s="1222" t="s">
        <v>2885</v>
      </c>
      <c r="C18" s="2609">
        <f>'数据-汇总表'!D3</f>
        <v>0</v>
      </c>
      <c r="D18" s="1224" t="s">
        <v>2886</v>
      </c>
      <c r="E18" s="3294"/>
      <c r="F18" s="3295"/>
      <c r="G18" s="3295"/>
      <c r="H18" s="3295"/>
      <c r="I18" s="3296"/>
      <c r="J18" s="2633"/>
      <c r="K18" s="2811"/>
      <c r="L18" s="2645"/>
      <c r="M18" s="2645"/>
      <c r="N18" s="2701"/>
      <c r="O18" s="2645"/>
      <c r="P18" s="2701"/>
      <c r="Q18" s="2633"/>
      <c r="R18" s="2633"/>
      <c r="S18" s="2633"/>
      <c r="T18" s="2633"/>
      <c r="U18" s="2633"/>
      <c r="V18" s="2633"/>
    </row>
    <row r="19" spans="1:28" ht="37.5" thickTop="1" thickBot="1">
      <c r="A19" s="333" t="s">
        <v>1681</v>
      </c>
      <c r="B19" s="313" t="s">
        <v>2887</v>
      </c>
      <c r="C19" s="1718"/>
      <c r="D19" s="1719" t="s">
        <v>2888</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2889</v>
      </c>
      <c r="B20" s="3281" t="s">
        <v>2890</v>
      </c>
      <c r="C20" s="3282"/>
      <c r="D20" s="3283" t="s">
        <v>2891</v>
      </c>
      <c r="E20" s="3284"/>
      <c r="F20" s="2840" t="s">
        <v>1682</v>
      </c>
      <c r="G20" s="2857"/>
      <c r="H20" s="2857"/>
      <c r="I20" s="2857"/>
      <c r="J20" s="2633"/>
      <c r="K20" s="328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5"/>
      <c r="B21" s="2826" t="s">
        <v>2893</v>
      </c>
      <c r="C21" s="2827" t="s">
        <v>1683</v>
      </c>
      <c r="D21" s="1723"/>
      <c r="E21" s="2828" t="s">
        <v>1683</v>
      </c>
      <c r="F21" s="2841"/>
      <c r="G21" s="2857"/>
      <c r="H21" s="2857"/>
      <c r="I21" s="2857"/>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5"/>
      <c r="B22" s="2829" t="s">
        <v>2894</v>
      </c>
      <c r="C22" s="2827" t="s">
        <v>1684</v>
      </c>
      <c r="D22" s="2856"/>
      <c r="E22" s="2856"/>
      <c r="F22" s="2856"/>
      <c r="G22" s="2857"/>
      <c r="H22" s="2857"/>
      <c r="I22" s="2857"/>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8" t="s">
        <v>2897</v>
      </c>
      <c r="B27" s="326" t="s">
        <v>2898</v>
      </c>
      <c r="C27" s="2610" t="s">
        <v>3201</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8"/>
      <c r="B28" s="308" t="s">
        <v>2899</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8"/>
      <c r="B29" s="308" t="s">
        <v>2900</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9"/>
      <c r="B30" s="308" t="s">
        <v>2901</v>
      </c>
      <c r="C30" s="3270"/>
      <c r="D30" s="3271"/>
      <c r="E30" s="2857"/>
      <c r="F30" s="2857"/>
      <c r="G30" s="2857"/>
      <c r="H30" s="2857"/>
      <c r="I30" s="2857"/>
      <c r="J30" s="2633"/>
      <c r="K30" s="2808"/>
      <c r="L30" s="2805"/>
      <c r="M30" s="2805"/>
      <c r="N30" s="2633"/>
      <c r="O30" s="2644"/>
      <c r="P30" s="2633"/>
      <c r="Q30" s="2633"/>
      <c r="R30" s="2633"/>
      <c r="S30" s="2633"/>
      <c r="T30" s="2633"/>
      <c r="U30" s="2633"/>
      <c r="V30" s="2633"/>
    </row>
    <row r="31" spans="1:28">
      <c r="A31" s="3272" t="s">
        <v>2902</v>
      </c>
      <c r="B31" s="2616"/>
      <c r="C31" s="2516" t="str">
        <f>IF(B31="现房","成新及维护状况正常否",IF(B31="在建","工程状态是否正常",IF(B31="土地","是否闲置","-")))</f>
        <v>-</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273"/>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273"/>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4"/>
      <c r="C34" s="2184"/>
      <c r="D34" s="2184"/>
      <c r="E34" s="2184"/>
      <c r="F34" s="2184"/>
      <c r="G34" s="2184"/>
      <c r="H34" s="2184"/>
      <c r="I34" s="2857"/>
      <c r="J34" s="2633"/>
      <c r="K34" s="2621">
        <f>COUNTIF(B34:H34,"——")</f>
        <v>0</v>
      </c>
      <c r="L34" s="329" t="s">
        <v>2904</v>
      </c>
      <c r="M34" s="329" t="s">
        <v>2905</v>
      </c>
      <c r="N34" s="329" t="s">
        <v>2906</v>
      </c>
      <c r="O34" s="329" t="s">
        <v>2907</v>
      </c>
      <c r="P34" s="329" t="s">
        <v>2908</v>
      </c>
      <c r="Q34" s="329" t="s">
        <v>2909</v>
      </c>
      <c r="R34" s="329" t="s">
        <v>2910</v>
      </c>
      <c r="S34" s="3267" t="s">
        <v>2911</v>
      </c>
      <c r="T34" s="2622" t="str">
        <f>NUMBERSTRING(7-K34,1)&amp;"通"</f>
        <v>七通</v>
      </c>
      <c r="U34" s="2633"/>
      <c r="V34" s="2633"/>
    </row>
    <row r="35" spans="1:30">
      <c r="A35" s="2623"/>
      <c r="B35" s="3274" t="s">
        <v>2912</v>
      </c>
      <c r="C35" s="3274"/>
      <c r="D35" s="3274"/>
      <c r="E35" s="3274"/>
      <c r="F35" s="673">
        <f>C10</f>
        <v>0</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7"/>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2913</v>
      </c>
      <c r="B37" s="2625"/>
      <c r="C37" s="2625"/>
      <c r="D37" s="2625"/>
      <c r="E37" s="2625" t="s">
        <v>534</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2914</v>
      </c>
      <c r="B38" s="2626"/>
      <c r="C38" s="2626"/>
      <c r="D38" s="2626"/>
      <c r="E38" s="2626" t="s">
        <v>3121</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2916</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
  <sheetViews>
    <sheetView workbookViewId="0">
      <selection activeCell="C7" sqref="C7"/>
    </sheetView>
  </sheetViews>
  <sheetFormatPr defaultRowHeight="13.5"/>
  <cols>
    <col min="1" max="1" width="5.25" bestFit="1" customWidth="1"/>
    <col min="2" max="2" width="33.625" bestFit="1" customWidth="1"/>
    <col min="3" max="3" width="27.625" bestFit="1" customWidth="1"/>
    <col min="4" max="4" width="28.75" customWidth="1"/>
    <col min="5" max="5" width="32.375" bestFit="1" customWidth="1"/>
    <col min="7" max="7" width="7.125" bestFit="1" customWidth="1"/>
    <col min="9" max="9" width="5.25" bestFit="1" customWidth="1"/>
    <col min="11" max="11" width="13" bestFit="1" customWidth="1"/>
  </cols>
  <sheetData>
    <row r="1" spans="1:11">
      <c r="A1" s="3204" t="s">
        <v>3179</v>
      </c>
      <c r="B1" s="3204" t="s">
        <v>3195</v>
      </c>
      <c r="C1" s="3204" t="s">
        <v>3187</v>
      </c>
      <c r="D1" s="3204" t="s">
        <v>3231</v>
      </c>
      <c r="E1" s="3204" t="s">
        <v>3180</v>
      </c>
      <c r="F1" s="3204" t="s">
        <v>3181</v>
      </c>
      <c r="G1" s="3204" t="s">
        <v>3183</v>
      </c>
      <c r="H1" s="3204" t="s">
        <v>3182</v>
      </c>
      <c r="I1" s="3204" t="s">
        <v>3184</v>
      </c>
      <c r="J1" s="3204" t="s">
        <v>3185</v>
      </c>
      <c r="K1" s="3204" t="s">
        <v>3192</v>
      </c>
    </row>
    <row r="2" spans="1:11">
      <c r="A2">
        <v>1</v>
      </c>
      <c r="B2" s="3204" t="s">
        <v>3186</v>
      </c>
      <c r="C2" s="3204" t="s">
        <v>3188</v>
      </c>
      <c r="D2" s="3204" t="s">
        <v>3233</v>
      </c>
      <c r="E2" s="3204" t="s">
        <v>3189</v>
      </c>
      <c r="F2">
        <v>1161.17</v>
      </c>
      <c r="G2">
        <v>3</v>
      </c>
      <c r="H2" s="3204" t="s">
        <v>3190</v>
      </c>
      <c r="I2" s="3204" t="s">
        <v>3191</v>
      </c>
      <c r="J2">
        <v>2016</v>
      </c>
      <c r="K2" s="3205">
        <v>60016</v>
      </c>
    </row>
    <row r="3" spans="1:11">
      <c r="A3">
        <v>2</v>
      </c>
      <c r="B3" s="3204" t="s">
        <v>3228</v>
      </c>
      <c r="C3" s="3204" t="s">
        <v>3229</v>
      </c>
      <c r="D3" s="3204" t="s">
        <v>3232</v>
      </c>
      <c r="E3" s="3204" t="s">
        <v>3193</v>
      </c>
      <c r="F3">
        <v>2396.41</v>
      </c>
      <c r="G3">
        <v>3</v>
      </c>
      <c r="H3" s="3204" t="s">
        <v>3194</v>
      </c>
      <c r="I3" s="3204" t="s">
        <v>3191</v>
      </c>
      <c r="J3">
        <v>2016</v>
      </c>
      <c r="K3" s="3205">
        <v>60016</v>
      </c>
    </row>
    <row r="4" spans="1:11">
      <c r="A4">
        <v>3</v>
      </c>
      <c r="E4" s="3204" t="s">
        <v>3196</v>
      </c>
      <c r="F4" s="3206">
        <v>1226</v>
      </c>
    </row>
    <row r="5" spans="1:11">
      <c r="A5">
        <v>4</v>
      </c>
      <c r="E5" s="3204" t="s">
        <v>3200</v>
      </c>
      <c r="F5">
        <v>1170</v>
      </c>
    </row>
    <row r="6" spans="1:11">
      <c r="F6">
        <f>SUM(F2:F5)</f>
        <v>5953.58</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1604.01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1604.01</v>
      </c>
      <c r="H5" s="16">
        <f t="shared" ref="H5:AT5" si="0">SUM(H13:H656)</f>
        <v>1604.01</v>
      </c>
      <c r="I5" s="16">
        <f t="shared" si="0"/>
        <v>1604.01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1604.01</v>
      </c>
      <c r="BA5" s="18">
        <f t="shared" si="1"/>
        <v>1604.01</v>
      </c>
      <c r="BB5" s="18">
        <f t="shared" si="1"/>
        <v>1604.01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3122</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3123</v>
      </c>
      <c r="E13" s="16">
        <f>IF($C$3="是",ROUND($A$3*G13/$B$3,2),ROUND($A$3*(G13-AT13)/$B$3,2))</f>
        <v>0</v>
      </c>
      <c r="F13" s="32"/>
      <c r="G13" s="33">
        <f>H13+AC13+AT13</f>
        <v>1604.01</v>
      </c>
      <c r="H13" s="20">
        <f>SUMIF(I$12:AB$12,"总值",I13:AB13)</f>
        <v>1604.01</v>
      </c>
      <c r="I13" s="1781">
        <v>1604.01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1604.01</v>
      </c>
      <c r="BA13" s="16">
        <f>SUM(BB13:BK13)</f>
        <v>1604.01</v>
      </c>
      <c r="BB13" s="16">
        <f>IF($D13="是",I13-J13,0)</f>
        <v>1604.01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C29" sqref="C29:H2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2"/>
      <c r="G2" s="2843"/>
      <c r="H2" s="2844"/>
      <c r="I2" s="2518" t="s">
        <v>1758</v>
      </c>
      <c r="J2" s="2852"/>
      <c r="K2" s="2852"/>
      <c r="L2" s="2852"/>
      <c r="M2" s="2852"/>
      <c r="N2" s="2854"/>
      <c r="O2" s="2852"/>
      <c r="P2" s="2852"/>
    </row>
    <row r="3" spans="1:16" ht="15.75" thickBot="1">
      <c r="A3" s="3309" t="s">
        <v>1731</v>
      </c>
      <c r="B3" s="3309"/>
      <c r="C3" s="3309"/>
      <c r="D3" s="46">
        <f>'数据-基础表'!AY6</f>
        <v>0</v>
      </c>
      <c r="E3" s="46">
        <f>'数据-基础表'!AZ5</f>
        <v>1604.01</v>
      </c>
      <c r="F3" s="2852"/>
      <c r="G3" s="1279"/>
      <c r="H3" s="1157" t="s">
        <v>1732</v>
      </c>
      <c r="I3" s="964" t="e">
        <f>ROUND('数据-基础表'!B3/'数据-基础表'!A3,2)</f>
        <v>#DIV/0!</v>
      </c>
      <c r="J3" s="2852"/>
      <c r="K3" s="2852"/>
      <c r="L3" s="2852"/>
      <c r="M3" s="2852"/>
      <c r="N3" s="2854"/>
      <c r="O3" s="2852"/>
      <c r="P3" s="2852"/>
    </row>
    <row r="4" spans="1:16" ht="15">
      <c r="A4" s="3310"/>
      <c r="B4" s="3311"/>
      <c r="C4" s="3312"/>
      <c r="D4" s="1796" t="s">
        <v>1733</v>
      </c>
      <c r="E4" s="1797" t="s">
        <v>1734</v>
      </c>
      <c r="F4" s="2852"/>
      <c r="G4" s="2845" t="s">
        <v>1759</v>
      </c>
      <c r="H4" s="1157" t="s">
        <v>1739</v>
      </c>
      <c r="I4" s="964" t="e">
        <f>ROUND(SUMIF('数据-基础表'!I9:AS9,"地上",'数据-基础表'!I5:AS5)/'数据-基础表'!A3,2)</f>
        <v>#DIV/0!</v>
      </c>
      <c r="J4" s="2852"/>
      <c r="K4" s="2852"/>
      <c r="L4" s="2852"/>
      <c r="M4" s="2852"/>
      <c r="N4" s="2854"/>
      <c r="O4" s="2852"/>
      <c r="P4" s="2852"/>
    </row>
    <row r="5" spans="1:16">
      <c r="A5" s="47" t="s">
        <v>1735</v>
      </c>
      <c r="B5" s="3313" t="s">
        <v>1736</v>
      </c>
      <c r="C5" s="3313"/>
      <c r="D5" s="48">
        <f>ROUND($D$3*E5/$E$3,2)</f>
        <v>0</v>
      </c>
      <c r="E5" s="49">
        <f>SUMIF('数据-基础表'!$11:$11,"住宅",'数据-基础表'!$5:$5)</f>
        <v>0</v>
      </c>
      <c r="F5" s="2852"/>
      <c r="G5" s="1279"/>
      <c r="H5" s="1157" t="s">
        <v>1732</v>
      </c>
      <c r="I5" s="964" t="e">
        <f>ROUND(E31/D31,2)</f>
        <v>#DIV/0!</v>
      </c>
      <c r="J5" s="2852"/>
      <c r="K5" s="2852"/>
      <c r="L5" s="2852"/>
      <c r="M5" s="2852"/>
      <c r="N5" s="2852"/>
      <c r="O5" s="2852"/>
      <c r="P5" s="2852"/>
    </row>
    <row r="6" spans="1:16" ht="15" thickBot="1">
      <c r="A6" s="1799"/>
      <c r="B6" s="3313" t="s">
        <v>1737</v>
      </c>
      <c r="C6" s="3313"/>
      <c r="D6" s="48">
        <f>ROUND($D$3*E6/$E$3,2)</f>
        <v>0</v>
      </c>
      <c r="E6" s="49">
        <f>E3-E5</f>
        <v>1604.01</v>
      </c>
      <c r="F6" s="2852"/>
      <c r="G6" s="2846" t="s">
        <v>1738</v>
      </c>
      <c r="H6" s="1280" t="s">
        <v>1739</v>
      </c>
      <c r="I6" s="2847" t="e">
        <f>ROUND(F31/D31,2)</f>
        <v>#DIV/0!</v>
      </c>
      <c r="J6" s="2852"/>
      <c r="K6" s="2852"/>
      <c r="L6" s="2852"/>
      <c r="M6" s="2852"/>
      <c r="N6" s="2852"/>
      <c r="O6" s="2852"/>
      <c r="P6" s="2852"/>
    </row>
    <row r="7" spans="1:16" ht="15.75" thickBot="1">
      <c r="A7" s="3305"/>
      <c r="B7" s="3306"/>
      <c r="C7" s="3307"/>
      <c r="D7" s="1796" t="s">
        <v>1733</v>
      </c>
      <c r="E7" s="1800" t="s">
        <v>1740</v>
      </c>
      <c r="F7" s="2852"/>
      <c r="G7" s="2848" t="s">
        <v>1741</v>
      </c>
      <c r="H7" s="2849"/>
      <c r="I7" s="2850">
        <v>1.1000000000000001</v>
      </c>
      <c r="J7" s="2852"/>
      <c r="K7" s="2852"/>
      <c r="L7" s="2852"/>
      <c r="M7" s="2852"/>
      <c r="N7" s="2852"/>
      <c r="O7" s="2852"/>
      <c r="P7" s="2852"/>
    </row>
    <row r="8" spans="1:16">
      <c r="A8" s="47" t="s">
        <v>1742</v>
      </c>
      <c r="B8" s="50" t="s">
        <v>1743</v>
      </c>
      <c r="C8" s="48" t="s">
        <v>1744</v>
      </c>
      <c r="D8" s="48">
        <f t="shared" ref="D8:D15" si="0">ROUND($D$3*E8/$E$3,2)</f>
        <v>0</v>
      </c>
      <c r="E8" s="51">
        <f>SUMIF('数据-基础表'!BB10:BK10,"地上",'数据-基础表'!BB5:BK5)</f>
        <v>1604.01</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0</v>
      </c>
      <c r="E16" s="53">
        <f>SUM(E8:E15)</f>
        <v>1604.01</v>
      </c>
      <c r="F16" s="2852"/>
      <c r="G16" s="2853"/>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3" t="s">
        <v>3124</v>
      </c>
      <c r="D19" s="48">
        <f>ROUND($D$3*E19/$E$3,2)</f>
        <v>0</v>
      </c>
      <c r="E19" s="56">
        <f t="shared" ref="E19:E26" si="1">SUM(F19:G19)</f>
        <v>1604.01</v>
      </c>
      <c r="F19" s="2992">
        <f>'数据-基础表'!I13</f>
        <v>1604.01</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1604.01</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1604.01</v>
      </c>
      <c r="F27" s="1274">
        <f>IF(SUM(F19:F26)=E8,SUM(F19:F26),"地上面积有误")</f>
        <v>1604.01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1604.01</v>
      </c>
    </row>
    <row r="28" spans="1:19">
      <c r="A28" s="1826"/>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6"/>
      <c r="B29" s="50" t="s">
        <v>1781</v>
      </c>
      <c r="C29" s="1830"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6"/>
      <c r="B30" s="50"/>
      <c r="C30" s="1831" t="s">
        <v>1780</v>
      </c>
      <c r="D30" s="1274">
        <f>SUM(D28:D29)</f>
        <v>0</v>
      </c>
      <c r="E30" s="1274">
        <f>SUM(E28:E29)</f>
        <v>0</v>
      </c>
      <c r="F30" s="1274">
        <f>SUM(F28:F29)</f>
        <v>0</v>
      </c>
      <c r="G30" s="1276">
        <f>SUM(G28:G29)</f>
        <v>0</v>
      </c>
      <c r="H30" s="2852"/>
      <c r="I30" s="2852"/>
      <c r="J30" s="2852"/>
      <c r="K30" s="2852"/>
      <c r="L30" s="2852"/>
      <c r="M30" s="2852"/>
      <c r="N30" s="2852"/>
      <c r="O30" s="2852"/>
      <c r="P30" s="2852"/>
    </row>
    <row r="31" spans="1:19" ht="15.75" thickBot="1">
      <c r="A31" s="1832"/>
      <c r="B31" s="1833"/>
      <c r="C31" s="944" t="s">
        <v>1784</v>
      </c>
      <c r="D31" s="685">
        <f>D27+D30</f>
        <v>0</v>
      </c>
      <c r="E31" s="685">
        <f>E27+E30</f>
        <v>1604.01</v>
      </c>
      <c r="F31" s="686">
        <f>F27+F30</f>
        <v>1604.01</v>
      </c>
      <c r="G31" s="687">
        <f>G27+G30</f>
        <v>0</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44672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1"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60016</v>
      </c>
      <c r="F6" s="68">
        <f>SUMIF(项目基本情况!D$12:I$12,C6,项目基本情况!D$15:I$15)</f>
        <v>42.03</v>
      </c>
      <c r="G6" s="69">
        <f>IF(ISERROR(ROUND(POWER(1+H6,D6-F6)*(POWER(1+H6,F6)-1)/(POWER(1+H6,D6)-1),3)),0,ROUND(POWER(1+H6,D6-F6)*(POWER(1+H6,F6)-1)/(POWER(1+H6,D6)-1),3))</f>
        <v>0.94799999999999995</v>
      </c>
      <c r="H6" s="741">
        <v>4.4999999999999998E-2</v>
      </c>
      <c r="I6" s="741">
        <v>0.05</v>
      </c>
      <c r="J6" s="70">
        <v>0.08</v>
      </c>
      <c r="K6" s="1161">
        <f>SUMIF('数据-汇总表'!C$19:C$33,A6,'数据-汇总表'!E$19:E$33)</f>
        <v>1604.01</v>
      </c>
      <c r="L6" s="742">
        <f>3000+1000</f>
        <v>4000</v>
      </c>
      <c r="M6" s="71">
        <f t="shared" ref="M6:M14" si="0">ROUND(K6*L6/10000,0)</f>
        <v>642</v>
      </c>
      <c r="N6" s="740">
        <v>0.94</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06">
        <f>ROUND($L$14*S6/10000,0)</f>
        <v>0</v>
      </c>
      <c r="U6" s="74">
        <v>1.2</v>
      </c>
      <c r="V6" s="75">
        <v>0.02</v>
      </c>
      <c r="W6" s="75">
        <v>0.1</v>
      </c>
      <c r="X6" s="1171"/>
      <c r="Y6" s="76">
        <f>N6</f>
        <v>0.94</v>
      </c>
      <c r="Z6" s="77"/>
      <c r="AA6" s="70"/>
      <c r="AB6" s="70"/>
      <c r="AC6" s="1171"/>
      <c r="AD6" s="78"/>
      <c r="AE6" s="1172">
        <f ca="1">IF(AN6="",0,SUMIF(INDIRECT("'"&amp;AN6&amp;"'"&amp;"!E:E"),$AE$5,INDIRECT("'"&amp;AN6&amp;"'"&amp;"!F:F")))</f>
        <v>42.03</v>
      </c>
      <c r="AF6" s="1502"/>
      <c r="AG6" s="143">
        <f>IF(AF6="",0,AE6-AF6)</f>
        <v>0</v>
      </c>
      <c r="AH6" s="79"/>
      <c r="AI6" s="81">
        <v>365</v>
      </c>
      <c r="AJ6" s="82"/>
      <c r="AK6" s="83">
        <v>0.01</v>
      </c>
      <c r="AL6" s="84">
        <v>1E-3</v>
      </c>
      <c r="AM6" s="85">
        <v>0.01</v>
      </c>
      <c r="AN6" s="1871" t="s">
        <v>3126</v>
      </c>
      <c r="AO6" s="55">
        <f ca="1">SUMIF(INDIRECT("'"&amp;AN6&amp;"'"&amp;"!A:A"),"总价",INDIRECT("'"&amp;AN6&amp;"'"&amp;"!B:B"))</f>
        <v>1003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0.94799999999999995</v>
      </c>
      <c r="H16" s="95">
        <f>ROUND(SUMPRODUCT(H6:H13,K6:K13)/SUMPRODUCT((H6:H13&gt;0)*(K6:K13)),3)</f>
        <v>4.4999999999999998E-2</v>
      </c>
      <c r="I16" s="96"/>
      <c r="J16" s="96"/>
      <c r="K16" s="97">
        <f>SUM(K6:K15)</f>
        <v>1604.01</v>
      </c>
      <c r="L16" s="98">
        <f>ROUND(M16*10000/SUM(K6:K14),0)</f>
        <v>4002</v>
      </c>
      <c r="M16" s="98">
        <f>SUM(M6:M14)</f>
        <v>642</v>
      </c>
      <c r="N16" s="99">
        <f>ROUND(SUMPRODUCT(M6:M14,N6:N14)/M16,3)</f>
        <v>0.94</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2979</v>
      </c>
      <c r="D19" s="2871"/>
      <c r="E19" s="2868"/>
      <c r="F19" s="2868"/>
      <c r="G19" s="2868"/>
      <c r="H19" s="2868"/>
      <c r="I19" s="2868"/>
      <c r="J19" s="2868"/>
      <c r="K19" s="2867"/>
      <c r="L19" s="2867"/>
      <c r="M19" s="2866"/>
      <c r="N19" s="2866">
        <f>2022-2017</f>
        <v>5</v>
      </c>
      <c r="O19" s="3223">
        <f>(92+95)/2</f>
        <v>93.5</v>
      </c>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9" t="s">
        <v>1838</v>
      </c>
      <c r="B20" s="109">
        <v>2</v>
      </c>
      <c r="C20" s="2997" t="s">
        <v>2977</v>
      </c>
      <c r="D20" s="2871"/>
      <c r="E20" s="2868"/>
      <c r="F20" s="2868"/>
      <c r="G20" s="2868"/>
      <c r="H20" s="3222" t="s">
        <v>3226</v>
      </c>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c r="C27" s="2998" t="s">
        <v>2981</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13</v>
      </c>
      <c r="C29" s="2999" t="s">
        <v>2968</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2969</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2970</v>
      </c>
      <c r="D34" s="2879" t="s">
        <v>2978</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2971</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2972</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2973</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2973</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3127</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2982</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2974</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2975</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2983</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2974</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2976</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4" t="s">
        <v>1872</v>
      </c>
      <c r="D53" s="3001" t="s">
        <v>2980</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42"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2"/>
  </cols>
  <sheetData>
    <row r="1" spans="1:29" s="2651" customFormat="1" ht="18.75" thickBot="1">
      <c r="A1" s="3314" t="s">
        <v>2960</v>
      </c>
      <c r="B1" s="3315"/>
      <c r="C1" s="3315"/>
      <c r="D1" s="3315"/>
      <c r="E1" s="3315"/>
      <c r="F1" s="3315"/>
      <c r="G1" s="3315"/>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2957</v>
      </c>
      <c r="D2" s="2655"/>
      <c r="E2" s="2652"/>
      <c r="F2" s="2656"/>
      <c r="G2" s="2654" t="s">
        <v>2958</v>
      </c>
      <c r="H2" s="907"/>
      <c r="I2" s="907"/>
      <c r="J2" s="907"/>
      <c r="K2" s="907"/>
      <c r="L2" s="907"/>
      <c r="M2" s="907"/>
      <c r="N2" s="907"/>
      <c r="O2" s="907"/>
      <c r="P2" s="907"/>
      <c r="Q2" s="907"/>
      <c r="R2" s="907"/>
    </row>
    <row r="3" spans="1:29" ht="24">
      <c r="A3" s="2635" t="s">
        <v>2959</v>
      </c>
      <c r="B3" s="2657" t="s">
        <v>2935</v>
      </c>
      <c r="C3" s="2658"/>
      <c r="D3" s="2659"/>
      <c r="E3" s="2636" t="s">
        <v>2959</v>
      </c>
      <c r="F3" s="2660" t="s">
        <v>2936</v>
      </c>
      <c r="G3" s="3219" t="s">
        <v>3214</v>
      </c>
      <c r="H3" s="907"/>
      <c r="I3" s="907"/>
      <c r="J3" s="907"/>
      <c r="K3" s="907"/>
      <c r="L3" s="907"/>
      <c r="M3" s="907"/>
      <c r="N3" s="907"/>
      <c r="O3" s="907"/>
      <c r="P3" s="907"/>
      <c r="Q3" s="907"/>
      <c r="R3" s="907"/>
    </row>
    <row r="4" spans="1:29">
      <c r="A4" s="2636"/>
      <c r="B4" s="329" t="s">
        <v>2937</v>
      </c>
      <c r="C4" s="2661"/>
      <c r="D4" s="2659"/>
      <c r="E4" s="2662"/>
      <c r="F4" s="1527" t="s">
        <v>2938</v>
      </c>
      <c r="G4" s="3220" t="s">
        <v>3216</v>
      </c>
      <c r="H4" s="907"/>
      <c r="I4" s="907"/>
      <c r="J4" s="907"/>
      <c r="K4" s="907"/>
      <c r="L4" s="907"/>
      <c r="M4" s="907"/>
      <c r="N4" s="907"/>
      <c r="O4" s="907"/>
      <c r="P4" s="907"/>
      <c r="Q4" s="907"/>
      <c r="R4" s="907"/>
    </row>
    <row r="5" spans="1:29">
      <c r="A5" s="2636"/>
      <c r="B5" s="329" t="s">
        <v>2939</v>
      </c>
      <c r="C5" s="2661"/>
      <c r="D5" s="2659"/>
      <c r="E5" s="2662"/>
      <c r="F5" s="329" t="s">
        <v>2940</v>
      </c>
      <c r="G5" s="3220" t="s">
        <v>3218</v>
      </c>
      <c r="H5" s="907"/>
      <c r="I5" s="907"/>
      <c r="J5" s="907"/>
      <c r="K5" s="907"/>
      <c r="L5" s="907"/>
      <c r="M5" s="907"/>
      <c r="N5" s="907"/>
      <c r="O5" s="907"/>
      <c r="P5" s="907"/>
      <c r="Q5" s="907"/>
      <c r="R5" s="907"/>
    </row>
    <row r="6" spans="1:29">
      <c r="A6" s="2636"/>
      <c r="B6" s="329" t="s">
        <v>2941</v>
      </c>
      <c r="C6" s="2663"/>
      <c r="D6" s="2659"/>
      <c r="E6" s="2662"/>
      <c r="F6" s="329" t="s">
        <v>2942</v>
      </c>
      <c r="G6" s="3220" t="s">
        <v>3219</v>
      </c>
      <c r="H6" s="907"/>
      <c r="I6" s="907"/>
      <c r="J6" s="907"/>
      <c r="K6" s="907"/>
      <c r="L6" s="907"/>
      <c r="M6" s="907"/>
      <c r="N6" s="907"/>
      <c r="O6" s="907"/>
      <c r="P6" s="907"/>
      <c r="Q6" s="907"/>
      <c r="R6" s="907"/>
    </row>
    <row r="7" spans="1:29" ht="15" thickBot="1">
      <c r="A7" s="2636"/>
      <c r="B7" s="329" t="s">
        <v>2940</v>
      </c>
      <c r="C7" s="2663"/>
      <c r="D7" s="2664"/>
      <c r="E7" s="2665"/>
      <c r="F7" s="2666" t="s">
        <v>2943</v>
      </c>
      <c r="G7" s="3221" t="s">
        <v>3214</v>
      </c>
      <c r="H7" s="907"/>
      <c r="I7" s="907"/>
      <c r="J7" s="907"/>
      <c r="K7" s="907"/>
      <c r="L7" s="907"/>
      <c r="M7" s="907"/>
      <c r="N7" s="907"/>
      <c r="O7" s="907"/>
      <c r="P7" s="907"/>
      <c r="Q7" s="907"/>
      <c r="R7" s="907"/>
    </row>
    <row r="8" spans="1:29">
      <c r="A8" s="2636"/>
      <c r="B8" s="329" t="s">
        <v>2942</v>
      </c>
      <c r="C8" s="2663"/>
      <c r="D8" s="2664"/>
      <c r="E8" s="2664"/>
      <c r="F8" s="2667"/>
      <c r="G8" s="2667"/>
      <c r="H8" s="907"/>
      <c r="I8" s="907"/>
      <c r="J8" s="907"/>
      <c r="K8" s="907"/>
      <c r="L8" s="907"/>
      <c r="M8" s="907"/>
      <c r="N8" s="907"/>
      <c r="O8" s="907"/>
      <c r="P8" s="907"/>
      <c r="Q8" s="907"/>
      <c r="R8" s="907"/>
    </row>
    <row r="9" spans="1:29">
      <c r="A9" s="2636"/>
      <c r="B9" s="329" t="s">
        <v>2944</v>
      </c>
      <c r="C9" s="2661"/>
      <c r="D9" s="2659"/>
      <c r="E9" s="2664"/>
      <c r="F9" s="2667"/>
      <c r="G9" s="2667"/>
      <c r="H9" s="907"/>
      <c r="I9" s="907"/>
      <c r="J9" s="907"/>
      <c r="K9" s="907"/>
      <c r="L9" s="907"/>
      <c r="M9" s="907"/>
      <c r="N9" s="907"/>
      <c r="O9" s="907"/>
      <c r="P9" s="907"/>
      <c r="Q9" s="907"/>
      <c r="R9" s="907"/>
    </row>
    <row r="10" spans="1:29" s="2673" customFormat="1" ht="15" thickBot="1">
      <c r="A10" s="2637"/>
      <c r="B10" s="2668" t="s">
        <v>2945</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2961</v>
      </c>
      <c r="B13" s="2676"/>
      <c r="C13" s="2676"/>
      <c r="D13" s="2674"/>
      <c r="E13" s="2676"/>
      <c r="F13" s="2676"/>
      <c r="G13" s="2676"/>
    </row>
    <row r="14" spans="1:29" ht="15" thickBot="1">
      <c r="A14" s="2686"/>
      <c r="B14" s="2686"/>
      <c r="C14" s="2687" t="s">
        <v>2946</v>
      </c>
      <c r="D14" s="2659"/>
      <c r="E14" s="2688"/>
      <c r="F14" s="2688"/>
      <c r="G14" s="2654" t="s">
        <v>2947</v>
      </c>
    </row>
    <row r="15" spans="1:29" ht="24">
      <c r="A15" s="2638" t="s">
        <v>2948</v>
      </c>
      <c r="B15" s="2689" t="s">
        <v>2935</v>
      </c>
      <c r="C15" s="2690">
        <f>C3</f>
        <v>0</v>
      </c>
      <c r="D15" s="2659"/>
      <c r="E15" s="2639" t="s">
        <v>2949</v>
      </c>
      <c r="F15" s="2689" t="s">
        <v>2950</v>
      </c>
      <c r="G15" s="2691" t="str">
        <f>G3</f>
        <v>较好</v>
      </c>
    </row>
    <row r="16" spans="1:29">
      <c r="A16" s="2640"/>
      <c r="B16" s="2692" t="s">
        <v>2937</v>
      </c>
      <c r="C16" s="2693">
        <f>C4</f>
        <v>0</v>
      </c>
      <c r="D16" s="2659"/>
      <c r="E16" s="2641"/>
      <c r="F16" s="2694" t="s">
        <v>2938</v>
      </c>
      <c r="G16" s="2695" t="str">
        <f>G4</f>
        <v>一般</v>
      </c>
    </row>
    <row r="17" spans="1:18">
      <c r="A17" s="2640"/>
      <c r="B17" s="2692" t="s">
        <v>2939</v>
      </c>
      <c r="C17" s="2693">
        <f>C5</f>
        <v>0</v>
      </c>
      <c r="D17" s="2664"/>
      <c r="E17" s="2641"/>
      <c r="F17" s="2694" t="s">
        <v>2951</v>
      </c>
      <c r="G17" s="2696"/>
    </row>
    <row r="18" spans="1:18">
      <c r="A18" s="2640"/>
      <c r="B18" s="2694" t="s">
        <v>2941</v>
      </c>
      <c r="C18" s="2695">
        <f>C6</f>
        <v>0</v>
      </c>
      <c r="D18" s="2664"/>
      <c r="E18" s="2641"/>
      <c r="F18" s="2694" t="s">
        <v>2943</v>
      </c>
      <c r="G18" s="2695" t="str">
        <f>G7</f>
        <v>较好</v>
      </c>
    </row>
    <row r="19" spans="1:18">
      <c r="A19" s="2640"/>
      <c r="B19" s="2694" t="s">
        <v>2952</v>
      </c>
      <c r="C19" s="2696"/>
      <c r="D19" s="2659"/>
      <c r="E19" s="2641"/>
      <c r="F19" s="329" t="s">
        <v>2940</v>
      </c>
      <c r="G19" s="2695" t="str">
        <f>G5</f>
        <v>较差</v>
      </c>
    </row>
    <row r="20" spans="1:18">
      <c r="A20" s="2640"/>
      <c r="B20" s="2694" t="s">
        <v>2953</v>
      </c>
      <c r="C20" s="2693">
        <f>C9</f>
        <v>0</v>
      </c>
      <c r="D20" s="2664"/>
      <c r="E20" s="2641"/>
      <c r="F20" s="329" t="s">
        <v>2942</v>
      </c>
      <c r="G20" s="2695" t="str">
        <f>G6</f>
        <v>七通</v>
      </c>
    </row>
    <row r="21" spans="1:18">
      <c r="A21" s="2640"/>
      <c r="B21" s="329" t="s">
        <v>2940</v>
      </c>
      <c r="C21" s="2695">
        <f>C7</f>
        <v>0</v>
      </c>
      <c r="D21" s="2659"/>
      <c r="E21" s="2641"/>
      <c r="F21" s="2694" t="s">
        <v>2954</v>
      </c>
      <c r="G21" s="2697"/>
    </row>
    <row r="22" spans="1:18" ht="13.5" customHeight="1">
      <c r="A22" s="2640"/>
      <c r="B22" s="329" t="s">
        <v>2942</v>
      </c>
      <c r="C22" s="2695">
        <f>C8</f>
        <v>0</v>
      </c>
      <c r="D22" s="2659"/>
      <c r="E22" s="2641"/>
      <c r="F22" s="2694" t="s">
        <v>2945</v>
      </c>
      <c r="G22" s="2696"/>
    </row>
    <row r="23" spans="1:18" s="907" customFormat="1" ht="15" thickBot="1">
      <c r="A23" s="2640"/>
      <c r="B23" s="2694" t="s">
        <v>2954</v>
      </c>
      <c r="C23" s="2697"/>
      <c r="D23" s="1897"/>
      <c r="E23" s="2642"/>
      <c r="F23" s="2698" t="s">
        <v>2955</v>
      </c>
      <c r="G23" s="2699"/>
      <c r="H23" s="2683"/>
      <c r="I23" s="2684"/>
      <c r="J23" s="2683"/>
      <c r="K23" s="2683"/>
      <c r="L23" s="2684"/>
      <c r="M23" s="2683"/>
      <c r="N23" s="2683"/>
      <c r="O23" s="2684"/>
      <c r="P23" s="2683"/>
      <c r="Q23" s="2683"/>
      <c r="R23" s="2685"/>
    </row>
    <row r="24" spans="1:18" s="907" customFormat="1" ht="15" thickBot="1">
      <c r="A24" s="2643"/>
      <c r="B24" s="2698" t="s">
        <v>2956</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8"/>
  <sheetViews>
    <sheetView zoomScale="80" zoomScaleNormal="80" zoomScaleSheetLayoutView="80" workbookViewId="0">
      <selection activeCell="E14" sqref="E14"/>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1604.01</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44672</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1087</v>
      </c>
      <c r="C5" s="2704">
        <f ca="1">ROUND(B5*10000/$B$1,0)</f>
        <v>6777</v>
      </c>
      <c r="D5" s="2704" t="e">
        <f ca="1">ROUND(B5*10000/$B$2,0)</f>
        <v>#DIV/0!</v>
      </c>
      <c r="E5" s="2881"/>
      <c r="F5" s="2882"/>
      <c r="G5" s="2882"/>
      <c r="H5" s="2883"/>
      <c r="I5" s="2883"/>
      <c r="J5" s="2883"/>
      <c r="K5" s="2883"/>
    </row>
    <row r="6" spans="1:11" ht="16.5">
      <c r="A6" s="2704" t="s">
        <v>1262</v>
      </c>
      <c r="B6" s="2704">
        <f ca="1">SUM(G14:G23)</f>
        <v>1087</v>
      </c>
      <c r="C6" s="2704">
        <f ca="1">ROUND(B6*10000/$B$1,0)</f>
        <v>6777</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1604.01</v>
      </c>
      <c r="C14" s="2710">
        <f>结果表!C118</f>
        <v>0</v>
      </c>
      <c r="D14" s="2710">
        <f ca="1">结果表!H118</f>
        <v>1087</v>
      </c>
      <c r="E14" s="2710">
        <f ca="1">ROUND(D14*10000/B14,0)</f>
        <v>6777</v>
      </c>
      <c r="F14" s="2710" t="e">
        <f ca="1">ROUND(D14*10000/C14,0)</f>
        <v>#DIV/0!</v>
      </c>
      <c r="G14" s="2710">
        <f ca="1">结果表!D122</f>
        <v>1087</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1"/>
      <c r="H15" s="1471"/>
      <c r="I15" s="2711"/>
      <c r="J15" s="2882"/>
      <c r="K15" s="2883"/>
    </row>
    <row r="16" spans="1:11" ht="16.5">
      <c r="A16" s="2709" t="s">
        <v>1254</v>
      </c>
      <c r="B16" s="2711"/>
      <c r="C16" s="2711"/>
      <c r="D16" s="2711"/>
      <c r="E16" s="2710" t="e">
        <f t="shared" si="0"/>
        <v>#DIV/0!</v>
      </c>
      <c r="F16" s="2710" t="e">
        <f t="shared" si="1"/>
        <v>#DIV/0!</v>
      </c>
      <c r="G16" s="1471"/>
      <c r="H16" s="1471"/>
      <c r="I16" s="2711"/>
      <c r="J16" s="2883"/>
      <c r="K16" s="2883"/>
    </row>
    <row r="17" spans="1:11" ht="16.5">
      <c r="A17" s="2709" t="s">
        <v>1253</v>
      </c>
      <c r="B17" s="2711"/>
      <c r="C17" s="2711"/>
      <c r="D17" s="2711"/>
      <c r="E17" s="2710" t="e">
        <f t="shared" si="0"/>
        <v>#DIV/0!</v>
      </c>
      <c r="F17" s="2710" t="e">
        <f t="shared" si="1"/>
        <v>#DIV/0!</v>
      </c>
      <c r="G17" s="1471"/>
      <c r="H17" s="1471"/>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f ca="1">D14*0.0005*10000</f>
        <v>5435</v>
      </c>
      <c r="E26" s="2883"/>
      <c r="F26" s="2883"/>
      <c r="G26" s="2883"/>
      <c r="H26" s="2883"/>
      <c r="I26" s="2883"/>
      <c r="J26" s="2883"/>
      <c r="K26" s="2883"/>
    </row>
    <row r="27" spans="1:11">
      <c r="D27" s="2705">
        <f>D15*0.0005*10000</f>
        <v>0</v>
      </c>
    </row>
    <row r="28" spans="1:11">
      <c r="D28" s="2705">
        <f ca="1">D26+D27</f>
        <v>5435</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F30" sqref="F30"/>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0" t="str">
        <f>项目基本情况!S2</f>
        <v>北京市房地产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3176</v>
      </c>
      <c r="D4" s="1912" t="s">
        <v>3126</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f>10-C14</f>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2813</v>
      </c>
      <c r="F18" s="3341"/>
      <c r="G18" s="3341"/>
      <c r="H18" s="3341"/>
      <c r="I18" s="3341"/>
      <c r="K18" s="308" t="s">
        <v>1915</v>
      </c>
      <c r="L18" s="308">
        <f>IF(C1="",'数据-汇总表'!E3,SUMIF(项目类型,C1,'数据-汇总表'!E17:E26)+SUMIF(项目类型,C1,'数据-汇总表'!I17:I26))</f>
        <v>1604.01</v>
      </c>
      <c r="M18" s="308">
        <f>IF(C1="",'数据-汇总表'!E3,SUMIF(项目类型,C1,'数据-汇总表'!E17:E26))</f>
        <v>1604.01</v>
      </c>
    </row>
    <row r="19" spans="1:36" ht="15">
      <c r="A19" s="1917" t="s">
        <v>1916</v>
      </c>
      <c r="B19" s="1918" t="s">
        <v>1917</v>
      </c>
      <c r="C19" s="139">
        <f ca="1">SUMIF(INDIRECT("'"&amp;C4&amp;"'"&amp;"!A:A"),结果表!B19,INDIRECT("'"&amp;C4&amp;"'"&amp;"!B:B"))</f>
        <v>1171</v>
      </c>
      <c r="D19" s="140">
        <f ca="1">SUMIF(INDIRECT("'"&amp;D4&amp;"'"&amp;"!A:A"),结果表!B19,INDIRECT("'"&amp;D4&amp;"'"&amp;"!B:B"))</f>
        <v>1003</v>
      </c>
      <c r="E19" s="1917" t="s">
        <v>1918</v>
      </c>
      <c r="F19" s="1918" t="s">
        <v>1917</v>
      </c>
      <c r="G19" s="141">
        <f ca="1">ROUND(C19*$C$18+D19*$D$18,0)</f>
        <v>1087</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7300</v>
      </c>
      <c r="D20" s="143">
        <f ca="1">SUMIF(INDIRECT("'"&amp;D4&amp;"'"&amp;"!A:A"),结果表!B20,INDIRECT("'"&amp;D4&amp;"'"&amp;"!B:B"))</f>
        <v>6253</v>
      </c>
      <c r="E20" s="1920"/>
      <c r="F20" s="1157" t="s">
        <v>1921</v>
      </c>
      <c r="G20" s="144">
        <f ca="1">ROUND(C20*$C$18+D20*$D$18,0)</f>
        <v>6777</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0.16749750747756731</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1087</v>
      </c>
      <c r="D32" s="1931" t="s">
        <v>3174</v>
      </c>
      <c r="E32" s="134"/>
      <c r="F32" s="134"/>
      <c r="G32" s="134"/>
      <c r="H32" s="134"/>
      <c r="I32" s="134"/>
    </row>
    <row r="33" spans="1:15" ht="15">
      <c r="A33" s="894" t="s">
        <v>1932</v>
      </c>
      <c r="B33" s="1932"/>
      <c r="C33" s="1933" t="s">
        <v>3175</v>
      </c>
      <c r="D33" s="1934" t="s">
        <v>3176</v>
      </c>
      <c r="E33" s="1935" t="s">
        <v>1933</v>
      </c>
      <c r="F33" s="1936" t="str">
        <f>IF(D32="楼面单价","取值（单价）","取值（总价）")</f>
        <v>取值（总价）</v>
      </c>
      <c r="G33" s="134"/>
      <c r="H33" s="134"/>
      <c r="I33" s="134"/>
    </row>
    <row r="34" spans="1:15" ht="15">
      <c r="A34" s="1937"/>
      <c r="B34" s="1938" t="s">
        <v>1934</v>
      </c>
      <c r="C34" s="153">
        <f ca="1">IF(C33="自定义",F34,C32-C35)</f>
        <v>313</v>
      </c>
      <c r="D34" s="970">
        <f ca="1">IF(C33="自定义",ROUND(C34/C32,3),IF(C33="收益比率",SUMIF(INDIRECT("'"&amp;D33&amp;"'"&amp;"!b:b"),"土地收益比率",INDIRECT("'"&amp;D33&amp;"'"&amp;"!c:c")),SUMIF(INDIRECT("'"&amp;D33&amp;"'"&amp;"!b:b"),"土地成本比率",INDIRECT("'"&amp;D33&amp;"'"&amp;"!c:c"))))</f>
        <v>0.28800000000000003</v>
      </c>
      <c r="E34" s="1939" t="s">
        <v>1935</v>
      </c>
      <c r="F34" s="1470"/>
      <c r="G34" s="134"/>
      <c r="H34" s="134"/>
      <c r="I34" s="134"/>
    </row>
    <row r="35" spans="1:15" ht="15.75" thickBot="1">
      <c r="A35" s="1940"/>
      <c r="B35" s="1941" t="s">
        <v>1936</v>
      </c>
      <c r="C35" s="1304">
        <f ca="1">IF(C33="自定义",F35,ROUND(C32*D35,0))</f>
        <v>774</v>
      </c>
      <c r="D35" s="1305">
        <f ca="1">IF(C33="自定义",ROUND(C35/C32,3),IF(C33="收益比率",SUMIF(INDIRECT("'"&amp;D33&amp;"'"&amp;"!b:b"),"建筑物收益比率",INDIRECT("'"&amp;D33&amp;"'"&amp;"!c:c")),SUMIF(INDIRECT("'"&amp;D33&amp;"'"&amp;"!b:b"),"建筑物成本比率",INDIRECT("'"&amp;D33&amp;"'"&amp;"!c:c"))))</f>
        <v>0.71199999999999997</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1087</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5">
        <v>1</v>
      </c>
      <c r="K46" s="3383" t="s">
        <v>1957</v>
      </c>
      <c r="L46" s="3383"/>
      <c r="M46" s="3403"/>
      <c r="N46" s="3403"/>
      <c r="O46" s="3403"/>
    </row>
    <row r="47" spans="1:15" ht="12" customHeight="1">
      <c r="A47" s="165" t="s">
        <v>1958</v>
      </c>
      <c r="B47" s="166"/>
      <c r="C47" s="167"/>
      <c r="D47" s="1219" t="s">
        <v>1959</v>
      </c>
      <c r="E47" s="308" t="s">
        <v>1960</v>
      </c>
      <c r="F47" s="168" t="s">
        <v>1961</v>
      </c>
      <c r="G47" s="2738" t="s">
        <v>1962</v>
      </c>
      <c r="H47" s="2739"/>
      <c r="I47" s="164"/>
      <c r="J47" s="2715">
        <v>2</v>
      </c>
      <c r="K47" s="3383" t="s">
        <v>1963</v>
      </c>
      <c r="L47" s="3383"/>
      <c r="M47" s="3404">
        <f>'数据-取费表'!B2</f>
        <v>44672</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0">
        <f>IF(H48="情况1","免征",'数据-取费表'!B41)</f>
        <v>5.5000000000000007E-2</v>
      </c>
      <c r="G48" s="2741" t="s">
        <v>1965</v>
      </c>
      <c r="H48" s="2742"/>
      <c r="I48" s="1962"/>
      <c r="J48" s="2715">
        <v>3</v>
      </c>
      <c r="K48" s="3383" t="s">
        <v>1966</v>
      </c>
      <c r="L48" s="3383"/>
      <c r="M48" s="3405">
        <f ca="1">H101</f>
        <v>1087</v>
      </c>
      <c r="N48" s="3405"/>
      <c r="O48" s="3405"/>
    </row>
    <row r="49" spans="1:35" ht="25.5" customHeight="1">
      <c r="A49" s="2526" t="s">
        <v>1967</v>
      </c>
      <c r="B49" s="3316" t="s">
        <v>1968</v>
      </c>
      <c r="C49" s="3316"/>
      <c r="D49" s="1745">
        <v>0</v>
      </c>
      <c r="E49" s="330" t="s">
        <v>1969</v>
      </c>
      <c r="F49" s="2618" t="s">
        <v>34</v>
      </c>
      <c r="G49" s="3389"/>
      <c r="H49" s="2498" t="s">
        <v>2816</v>
      </c>
      <c r="I49" s="2499"/>
      <c r="J49" s="2715">
        <v>4</v>
      </c>
      <c r="K49" s="3383" t="str">
        <f>IF(项目基本情况!E8="房地产抵押价值","房地产抵押价值","抵押担保权已注销时的房地产抵押价值")</f>
        <v>房地产抵押价值</v>
      </c>
      <c r="L49" s="3383"/>
      <c r="M49" s="3405">
        <f ca="1">IF(项目基本情况!E8="房地产抵押价值",H107,H109)</f>
        <v>1087</v>
      </c>
      <c r="N49" s="3405"/>
      <c r="O49" s="3405"/>
    </row>
    <row r="50" spans="1:35" ht="25.5" customHeight="1">
      <c r="A50" s="2743"/>
      <c r="B50" s="3316" t="s">
        <v>1970</v>
      </c>
      <c r="C50" s="3316"/>
      <c r="D50" s="2744"/>
      <c r="E50" s="338"/>
      <c r="F50" s="2618"/>
      <c r="G50" s="3390"/>
      <c r="H50" s="2500" t="s">
        <v>2817</v>
      </c>
      <c r="I50" s="2499"/>
      <c r="J50" s="3402" t="s">
        <v>1971</v>
      </c>
      <c r="K50" s="3402"/>
      <c r="L50" s="3402"/>
      <c r="M50" s="3402"/>
      <c r="N50" s="3402"/>
      <c r="O50" s="3402"/>
    </row>
    <row r="51" spans="1:35" ht="20.45" customHeight="1">
      <c r="A51" s="2745"/>
      <c r="B51" s="3316" t="s">
        <v>1972</v>
      </c>
      <c r="C51" s="3316"/>
      <c r="D51" s="1219"/>
      <c r="E51" s="333"/>
      <c r="F51" s="2618"/>
      <c r="G51" s="3391"/>
      <c r="H51" s="2500" t="s">
        <v>2818</v>
      </c>
      <c r="I51" s="2499"/>
      <c r="J51" s="2716" t="s">
        <v>1973</v>
      </c>
      <c r="K51" s="3383" t="s">
        <v>1974</v>
      </c>
      <c r="L51" s="3383"/>
      <c r="M51" s="2716" t="s">
        <v>1975</v>
      </c>
      <c r="N51" s="2716" t="s">
        <v>1976</v>
      </c>
      <c r="O51" s="2716" t="s">
        <v>1977</v>
      </c>
    </row>
    <row r="52" spans="1:35" ht="24" customHeight="1">
      <c r="A52" s="2528" t="s">
        <v>1978</v>
      </c>
      <c r="B52" s="3316" t="s">
        <v>1979</v>
      </c>
      <c r="C52" s="3316"/>
      <c r="D52" s="1219">
        <f ca="1">ROUND(D45*'数据-取费表'!B41/(1+'数据-取费表'!C42),0)</f>
        <v>57</v>
      </c>
      <c r="E52" s="2527" t="s">
        <v>1980</v>
      </c>
      <c r="F52" s="2746">
        <f>'数据-取费表'!B41</f>
        <v>5.5000000000000007E-2</v>
      </c>
      <c r="G52" s="2747"/>
      <c r="H52" s="2736"/>
      <c r="I52" s="1963"/>
      <c r="J52" s="2715">
        <v>1</v>
      </c>
      <c r="K52" s="3384" t="s">
        <v>1981</v>
      </c>
      <c r="L52" s="3384"/>
      <c r="M52" s="2717" t="b">
        <f>D48</f>
        <v>0</v>
      </c>
      <c r="N52" s="2715" t="str">
        <f>E48</f>
        <v>销售额×税（费）率</v>
      </c>
      <c r="O52" s="2718">
        <f>F48</f>
        <v>5.5000000000000007E-2</v>
      </c>
    </row>
    <row r="53" spans="1:35" ht="12" customHeight="1">
      <c r="A53" s="2528" t="s">
        <v>1982</v>
      </c>
      <c r="B53" s="3342" t="s">
        <v>2965</v>
      </c>
      <c r="C53" s="3343"/>
      <c r="D53" s="1219">
        <f ca="1">ROUND(D45*'数据-取费表'!B41/(1+'数据-取费表'!C42),0)</f>
        <v>57</v>
      </c>
      <c r="E53" s="2527" t="s">
        <v>1980</v>
      </c>
      <c r="F53" s="2746">
        <f>'数据-取费表'!B41</f>
        <v>5.5000000000000007E-2</v>
      </c>
      <c r="G53" s="2747"/>
      <c r="H53" s="2736"/>
      <c r="I53" s="1963"/>
      <c r="J53" s="2715">
        <v>2</v>
      </c>
      <c r="K53" s="3384" t="s">
        <v>1983</v>
      </c>
      <c r="L53" s="3384"/>
      <c r="M53" s="2717">
        <f t="shared" ref="M53:O54" ca="1" si="0">D55</f>
        <v>1</v>
      </c>
      <c r="N53" s="2715" t="str">
        <f t="shared" si="0"/>
        <v>销售额×税（费）率</v>
      </c>
      <c r="O53" s="2718" t="str">
        <f t="shared" si="0"/>
        <v>免征</v>
      </c>
    </row>
    <row r="54" spans="1:35" ht="12" customHeight="1">
      <c r="A54" s="2528" t="s">
        <v>1984</v>
      </c>
      <c r="B54" s="3342" t="s">
        <v>2966</v>
      </c>
      <c r="C54" s="3343"/>
      <c r="D54" s="1219">
        <f ca="1">C68</f>
        <v>57</v>
      </c>
      <c r="E54" s="333" t="s">
        <v>1985</v>
      </c>
      <c r="F54" s="2746">
        <f>'数据-取费表'!B41</f>
        <v>5.5000000000000007E-2</v>
      </c>
      <c r="G54" s="2747"/>
      <c r="H54" s="2748"/>
      <c r="I54" s="1963"/>
      <c r="J54" s="2715">
        <v>3</v>
      </c>
      <c r="K54" s="3384" t="s">
        <v>1986</v>
      </c>
      <c r="L54" s="3384"/>
      <c r="M54" s="2717">
        <f t="shared" ca="1" si="0"/>
        <v>616</v>
      </c>
      <c r="N54" s="2715" t="str">
        <f t="shared" si="0"/>
        <v>增值额×税（费）率</v>
      </c>
      <c r="O54" s="2719" t="str">
        <f t="shared" si="0"/>
        <v>免征</v>
      </c>
    </row>
    <row r="55" spans="1:35" ht="24" customHeight="1">
      <c r="A55" s="3331" t="s">
        <v>1987</v>
      </c>
      <c r="B55" s="3332"/>
      <c r="C55" s="3332"/>
      <c r="D55" s="2517">
        <f ca="1">IF(H55="个人住宅",0,ROUND(D45*I55,0))</f>
        <v>1</v>
      </c>
      <c r="E55" s="2527" t="s">
        <v>1988</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10</v>
      </c>
      <c r="N55" s="2198" t="str">
        <f>E59</f>
        <v>差额计税</v>
      </c>
      <c r="O55" s="2721">
        <f>F59</f>
        <v>0.01</v>
      </c>
    </row>
    <row r="56" spans="1:35" ht="24.75">
      <c r="A56" s="3331" t="s">
        <v>1989</v>
      </c>
      <c r="B56" s="3332"/>
      <c r="C56" s="3332"/>
      <c r="D56" s="2517">
        <f ca="1">IF(H56="个人住宅",D57,D58)</f>
        <v>616</v>
      </c>
      <c r="E56" s="2527" t="s">
        <v>1990</v>
      </c>
      <c r="F56" s="2746" t="str">
        <f>IF(H56="正常",F58,"免征")</f>
        <v>免征</v>
      </c>
      <c r="G56" s="2749" t="s">
        <v>1991</v>
      </c>
      <c r="H56" s="2750"/>
      <c r="I56" s="1964"/>
      <c r="J56" s="2715" t="str">
        <f>IF(项目基本情况!K6="上海银行",IF(J55="",4,J55+1),"")</f>
        <v/>
      </c>
      <c r="K56" s="3407" t="str">
        <f>IF(项目基本情况!K6="上海银行","其他处置费用","")</f>
        <v/>
      </c>
      <c r="L56" s="3408"/>
      <c r="M56" s="2717"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47"/>
      <c r="H57" s="2751"/>
      <c r="I57" s="1964"/>
      <c r="J57" s="3384">
        <f>IF(AND(J55="",J56=""),4,IF(项目基本情况!K6="上海银行",结果表!J56+1,结果表!J55+1))</f>
        <v>5</v>
      </c>
      <c r="K57" s="3384" t="s">
        <v>1993</v>
      </c>
      <c r="L57" s="2722" t="s">
        <v>1994</v>
      </c>
      <c r="M57" s="2723"/>
      <c r="N57" s="2724">
        <f ca="1">SUMIF(M52:M56,"&lt;9e307")</f>
        <v>627</v>
      </c>
      <c r="O57" s="2725"/>
      <c r="P57" s="2885">
        <f ca="1">N57/M49</f>
        <v>0.57681692732290712</v>
      </c>
    </row>
    <row r="58" spans="1:35" ht="24.75">
      <c r="A58" s="2528" t="s">
        <v>1978</v>
      </c>
      <c r="B58" s="3342" t="s">
        <v>1995</v>
      </c>
      <c r="C58" s="3316"/>
      <c r="D58" s="2517">
        <f ca="1">IF(H58="转让取得",C81,C97)</f>
        <v>616</v>
      </c>
      <c r="E58" s="2527" t="s">
        <v>1990</v>
      </c>
      <c r="F58" s="308" t="s">
        <v>34</v>
      </c>
      <c r="G58" s="2747"/>
      <c r="H58" s="2750"/>
      <c r="I58" s="1964"/>
      <c r="J58" s="3384"/>
      <c r="K58" s="3384"/>
      <c r="L58" s="2722" t="s">
        <v>1996</v>
      </c>
      <c r="M58" s="2726"/>
      <c r="N58" s="2727" t="str">
        <f ca="1">NUMBERSTRING(INT(N57*10000),2)&amp;"元整"</f>
        <v>陆佰贰拾柒万元整</v>
      </c>
      <c r="O58" s="2728"/>
    </row>
    <row r="59" spans="1:35" ht="24.75" thickBot="1">
      <c r="A59" s="3387" t="s">
        <v>1997</v>
      </c>
      <c r="B59" s="3388"/>
      <c r="C59" s="3388"/>
      <c r="D59" s="2752">
        <f ca="1">IF(H59="非个人房产","——",IF(H59="个人住宅（满五唯一有凭证）",0,IF(H59="个人其他（无凭证）",ROUND(D45*F59,0),ROUND(C67*F59,0))))</f>
        <v>10</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2"/>
      <c r="I59" s="2501" t="s">
        <v>2819</v>
      </c>
      <c r="J59" s="3385">
        <f>J57+1</f>
        <v>6</v>
      </c>
      <c r="K59" s="3384" t="s">
        <v>1998</v>
      </c>
      <c r="L59" s="2715" t="s">
        <v>1994</v>
      </c>
      <c r="M59" s="2729"/>
      <c r="N59" s="2730">
        <f ca="1">M49-N57</f>
        <v>460</v>
      </c>
      <c r="O59" s="2731"/>
    </row>
    <row r="60" spans="1:35" ht="12" customHeight="1">
      <c r="A60" s="1965"/>
      <c r="B60" s="1903"/>
      <c r="C60" s="1903"/>
      <c r="D60" s="1903"/>
      <c r="E60" s="1733"/>
      <c r="F60" s="1964"/>
      <c r="G60" s="1964"/>
      <c r="H60" s="1966"/>
      <c r="I60" s="134"/>
      <c r="J60" s="3386"/>
      <c r="K60" s="3384"/>
      <c r="L60" s="2722" t="s">
        <v>1996</v>
      </c>
      <c r="M60" s="2726"/>
      <c r="N60" s="2727" t="str">
        <f ca="1">NUMBERSTRING(INT(N59*10000),2)&amp;"元整"</f>
        <v>肆佰陆拾万元整</v>
      </c>
      <c r="O60" s="2728"/>
    </row>
    <row r="61" spans="1:35" ht="13.5" thickBot="1">
      <c r="A61" s="3329" t="s">
        <v>1999</v>
      </c>
      <c r="B61" s="3329"/>
      <c r="C61" s="3329"/>
      <c r="D61" s="3329"/>
      <c r="E61" s="3329"/>
      <c r="F61" s="1964"/>
      <c r="G61" s="1964"/>
      <c r="H61" s="1966"/>
      <c r="I61" s="134"/>
      <c r="J61" s="2715">
        <f>J59+1</f>
        <v>7</v>
      </c>
      <c r="K61" s="3384" t="s">
        <v>2000</v>
      </c>
      <c r="L61" s="3384"/>
      <c r="M61" s="2732"/>
      <c r="N61" s="2733">
        <f ca="1">ROUND(N59*10000/'数据-汇总表'!E3,0)</f>
        <v>2868</v>
      </c>
      <c r="O61" s="2734"/>
    </row>
    <row r="62" spans="1:35" ht="12.75">
      <c r="A62" s="3347" t="s">
        <v>2001</v>
      </c>
      <c r="B62" s="3348"/>
      <c r="C62" s="2179"/>
      <c r="D62" s="2179" t="s">
        <v>2002</v>
      </c>
      <c r="E62" s="171" t="s">
        <v>2003</v>
      </c>
      <c r="F62" s="1964"/>
      <c r="G62" s="1964"/>
      <c r="H62" s="1966"/>
      <c r="I62" s="134"/>
    </row>
    <row r="63" spans="1:35" ht="12.75">
      <c r="A63" s="178" t="s">
        <v>775</v>
      </c>
      <c r="B63" s="172" t="s">
        <v>2004</v>
      </c>
      <c r="C63" s="2756">
        <f ca="1">ROUND((C64+C65)/(1+'数据-取费表'!C42),0)</f>
        <v>1035</v>
      </c>
      <c r="D63" s="172"/>
      <c r="E63" s="173"/>
      <c r="F63" s="1964"/>
      <c r="G63" s="1964"/>
      <c r="H63" s="1966"/>
      <c r="I63" s="134"/>
      <c r="J63" s="3409" t="s">
        <v>2005</v>
      </c>
      <c r="K63" s="1472" t="s">
        <v>2006</v>
      </c>
      <c r="L63" s="1472">
        <f ca="1">IF(M49&gt;10000,M49*0.5%,IF(AND(M49&gt;1000,M49&lt;=10000),M49*1%,IF(AND(M49&gt;100,M49&lt;=1000),M49*3%,IF(AND(M49&gt;10,M49&lt;=100),M49*5%,M49*8%))))</f>
        <v>10.870000000000001</v>
      </c>
      <c r="M63" s="308">
        <f ca="1">ROUND(L63,1)</f>
        <v>10.9</v>
      </c>
      <c r="N63" s="2735"/>
      <c r="Z63" s="1908"/>
      <c r="AI63" s="1909"/>
    </row>
    <row r="64" spans="1:35" ht="14.25" customHeight="1">
      <c r="A64" s="174" t="s">
        <v>770</v>
      </c>
      <c r="B64" s="175" t="s">
        <v>2007</v>
      </c>
      <c r="C64" s="2757">
        <f ca="1">D45</f>
        <v>1087</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6.5220000000000002</v>
      </c>
      <c r="M64" s="308">
        <f t="shared" ref="M64:M65" ca="1" si="1">ROUND(L64,1)</f>
        <v>6.5</v>
      </c>
      <c r="N64" s="2736" t="s">
        <v>2009</v>
      </c>
      <c r="Z64" s="1908"/>
      <c r="AI64" s="1909"/>
    </row>
    <row r="65" spans="1:35" ht="14.25" customHeight="1">
      <c r="A65" s="174" t="s">
        <v>771</v>
      </c>
      <c r="B65" s="175" t="s">
        <v>2010</v>
      </c>
      <c r="C65" s="2758"/>
      <c r="D65" s="175"/>
      <c r="E65" s="177"/>
      <c r="F65" s="1964"/>
      <c r="G65" s="1964"/>
      <c r="H65" s="1966"/>
      <c r="I65" s="134"/>
      <c r="J65" s="3409"/>
      <c r="K65" s="1472" t="s">
        <v>2011</v>
      </c>
      <c r="L65" s="1472">
        <f ca="1">IF(M49&gt;1000,M49*0.1%,IF(AND(M49&gt;500,M49&lt;=1000),M49*0.5%,IF(AND(M49&gt;50,M49&lt;=500),M49*1%,IF(AND(M49&gt;1,M49&lt;=50),M49*1.5%))))</f>
        <v>1.087</v>
      </c>
      <c r="M65" s="308">
        <f t="shared" ca="1" si="1"/>
        <v>1.1000000000000001</v>
      </c>
      <c r="N65" s="2736" t="s">
        <v>2009</v>
      </c>
      <c r="Z65" s="1908"/>
      <c r="AI65" s="1909"/>
    </row>
    <row r="66" spans="1:35" ht="14.25" customHeight="1">
      <c r="A66" s="178" t="s">
        <v>772</v>
      </c>
      <c r="B66" s="179" t="s">
        <v>2012</v>
      </c>
      <c r="C66" s="2759"/>
      <c r="D66" s="179" t="s">
        <v>32</v>
      </c>
      <c r="E66" s="1479" t="s">
        <v>1277</v>
      </c>
      <c r="F66" s="1964"/>
      <c r="G66" s="1964"/>
      <c r="H66" s="1966"/>
      <c r="I66" s="134"/>
      <c r="J66" s="3409"/>
      <c r="K66" s="1472" t="s">
        <v>2013</v>
      </c>
      <c r="L66" s="1472">
        <f ca="1">M49*0.5%</f>
        <v>5.4350000000000005</v>
      </c>
      <c r="M66" s="308">
        <f ca="1">IF(L66&gt;0.5,0.5,ROUND(L66,0))</f>
        <v>0.5</v>
      </c>
      <c r="N66" s="2736" t="s">
        <v>2014</v>
      </c>
      <c r="Z66" s="1908"/>
      <c r="AI66" s="1909"/>
    </row>
    <row r="67" spans="1:35" ht="14.25" customHeight="1">
      <c r="A67" s="178" t="s">
        <v>773</v>
      </c>
      <c r="B67" s="179" t="s">
        <v>2015</v>
      </c>
      <c r="C67" s="2760">
        <f ca="1">C63-C66</f>
        <v>1035</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2.8805000000000001</v>
      </c>
      <c r="M67" s="308">
        <f ca="1">ROUND(L67*0.9,1)</f>
        <v>2.6</v>
      </c>
      <c r="N67" s="2735"/>
      <c r="Z67" s="1908"/>
      <c r="AI67" s="1909"/>
    </row>
    <row r="68" spans="1:35" ht="14.25" customHeight="1" thickBot="1">
      <c r="A68" s="181" t="s">
        <v>774</v>
      </c>
      <c r="B68" s="182" t="s">
        <v>2017</v>
      </c>
      <c r="C68" s="2761">
        <f ca="1">IF(C67&lt;=0,0,ROUND(C67*D68,0))</f>
        <v>57</v>
      </c>
      <c r="D68" s="2762">
        <f>'数据-取费表'!B41</f>
        <v>5.5000000000000007E-2</v>
      </c>
      <c r="E68" s="184"/>
      <c r="F68" s="1964"/>
      <c r="G68" s="1964"/>
      <c r="H68" s="1966"/>
      <c r="I68" s="134"/>
      <c r="J68" s="3409"/>
      <c r="K68" s="1472" t="s">
        <v>2018</v>
      </c>
      <c r="L68" s="1472">
        <f ca="1">IF(M49&gt;10000,M49*0.5%,IF(AND(M49&gt;5000,M49&lt;=10000),M49*1%,IF(AND(M49&gt;1000,M49&lt;=5000),M49*2%,IF(AND(M49&gt;200,M49&lt;=1000),M49*3%,M49*5%))))</f>
        <v>21.740000000000002</v>
      </c>
      <c r="M68" s="308">
        <f ca="1">ROUND(L68,1)</f>
        <v>21.7</v>
      </c>
      <c r="N68" s="2735"/>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43</v>
      </c>
      <c r="N69" s="2737">
        <f ca="1">M69/M49</f>
        <v>3.9558417663293467E-2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0">
        <f ca="1">ROUND(D45/(1+'数据-取费表'!C42),0)</f>
        <v>1035</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0">
        <f ca="1">C74+C78</f>
        <v>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3"/>
      <c r="D75" s="175" t="s">
        <v>32</v>
      </c>
      <c r="E75" s="190" t="s">
        <v>2025</v>
      </c>
      <c r="F75" s="2764"/>
      <c r="G75" s="190" t="s">
        <v>2026</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6">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7">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68">
        <f ca="1">ROUND(D45*D78/(1+'数据-取费表'!C42),0)</f>
        <v>5</v>
      </c>
      <c r="D78" s="2769">
        <f>'数据-取费表'!B43</f>
        <v>5.000000000000001E-3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0">
        <f ca="1">C72-C73</f>
        <v>1030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0">
        <f ca="1">IF(C79&lt;=0,0,C79/C73)</f>
        <v>206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1">
        <f ca="1">ROUND(IF(C79&lt;=0,0,IF(C80&gt;=200%,C79*60%-C73*35%,IF(C80&gt;=100%,C79*50%-C73*15%,IF(C80&gt;=50%,C79*40%-C73*5%,IF(C80&lt;50%,C79*30%,0))))),0)</f>
        <v>616</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0">
        <f ca="1">ROUND(D45/(1+'数据-取费表'!C42),0)</f>
        <v>1035</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0">
        <f ca="1">IF(H88="仅含出让金",C87+C90+C91+C92+C93+C94,C87+C91+C92+C93+C94)</f>
        <v>5</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4"/>
      <c r="D88" s="2769"/>
      <c r="E88" s="199" t="s">
        <v>2039</v>
      </c>
      <c r="F88" s="2520"/>
      <c r="G88" s="200" t="s">
        <v>2040</v>
      </c>
      <c r="H88" s="1980"/>
      <c r="I88" s="1977"/>
      <c r="J88" s="2713" t="s">
        <v>2962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68">
        <f>ROUND(C88*D89,0)</f>
        <v>0</v>
      </c>
      <c r="D89" s="2769">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4"/>
      <c r="D90" s="2769"/>
      <c r="E90" s="199" t="str">
        <f>IF(H88="-","土地取得成本中已包含该笔费用"," ")</f>
        <v xml:space="preserve"> </v>
      </c>
      <c r="F90" s="2520"/>
      <c r="G90" s="3411" t="s">
        <v>2811</v>
      </c>
      <c r="H90" s="3412"/>
      <c r="I90" s="1977"/>
      <c r="J90" s="2713" t="s">
        <v>2963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68">
        <f>IF(H91="——",成本法!C33,I91)</f>
        <v>0</v>
      </c>
      <c r="D91" s="2769"/>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68">
        <f>ROUND((C87+C90+C91)*D92,0)</f>
        <v>0</v>
      </c>
      <c r="D92" s="2775"/>
      <c r="E92" s="3326" t="s">
        <v>2048</v>
      </c>
      <c r="F92" s="3327"/>
      <c r="G92" s="3327"/>
      <c r="H92" s="3336"/>
      <c r="I92" s="1977"/>
      <c r="J92" s="2714" t="s">
        <v>2964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68">
        <f ca="1">ROUND(D45*D93/(1+'数据-取费表'!C42),0)</f>
        <v>5</v>
      </c>
      <c r="D93" s="2769">
        <f>'数据-取费表'!B43</f>
        <v>5.000000000000001E-3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4">
        <f>ROUND((C87+C90+C91)*D94,0)</f>
        <v>0</v>
      </c>
      <c r="D94" s="2769">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0">
        <f ca="1">ROUND(C85-C86,0)</f>
        <v>1030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0">
        <f ca="1">IF(C95&lt;=0,0,C95/C86)</f>
        <v>206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1">
        <f ca="1">ROUND(IF(C95&lt;=0,0,IF(C96&gt;=200%,C95*60%-C86*35%,IF(C96&gt;=100%,C95*50%-C86*15%,IF(C96&gt;=50%,C95*40%-C86*5%,IF(C96&lt;50%,C95*30%,0))))),0)</f>
        <v>616</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77" t="str">
        <f>C4</f>
        <v>成本法</v>
      </c>
      <c r="D101" s="2778" t="str">
        <f>D4</f>
        <v>收益法</v>
      </c>
      <c r="E101" s="3406" t="s">
        <v>2057</v>
      </c>
      <c r="F101" s="3360"/>
      <c r="G101" s="1983" t="s">
        <v>2058</v>
      </c>
      <c r="H101" s="2787">
        <f ca="1">H118</f>
        <v>1087</v>
      </c>
      <c r="I101" s="134"/>
    </row>
    <row r="102" spans="1:35" ht="18.75" customHeight="1">
      <c r="A102" s="3362" t="s">
        <v>2059</v>
      </c>
      <c r="B102" s="2776" t="s">
        <v>2058</v>
      </c>
      <c r="C102" s="2777">
        <f ca="1">C19</f>
        <v>1171</v>
      </c>
      <c r="D102" s="2778">
        <f ca="1">D19</f>
        <v>1003</v>
      </c>
      <c r="E102" s="3406"/>
      <c r="F102" s="3360"/>
      <c r="G102" s="1983" t="s">
        <v>2060</v>
      </c>
      <c r="H102" s="2747">
        <f ca="1">I118</f>
        <v>6777</v>
      </c>
      <c r="I102" s="134"/>
    </row>
    <row r="103" spans="1:35" ht="42.75" customHeight="1">
      <c r="A103" s="3362"/>
      <c r="B103" s="2776" t="s">
        <v>2060</v>
      </c>
      <c r="C103" s="2779">
        <f ca="1">C20</f>
        <v>7300</v>
      </c>
      <c r="D103" s="2780">
        <f ca="1">D20</f>
        <v>6253</v>
      </c>
      <c r="E103" s="3400" t="s">
        <v>2061</v>
      </c>
      <c r="F103" s="3401"/>
      <c r="G103" s="1984" t="s">
        <v>2062</v>
      </c>
      <c r="H103" s="2787">
        <f>IF(D36="正常操作",H104+H105+H106,H105+H106)</f>
        <v>0</v>
      </c>
      <c r="I103" s="134"/>
    </row>
    <row r="104" spans="1:35" ht="18.75" customHeight="1">
      <c r="A104" s="3362" t="s">
        <v>2063</v>
      </c>
      <c r="B104" s="2781" t="s">
        <v>2058</v>
      </c>
      <c r="C104" s="2782">
        <f ca="1">H118</f>
        <v>1087</v>
      </c>
      <c r="D104" s="2783"/>
      <c r="E104" s="1830" t="s">
        <v>2064</v>
      </c>
      <c r="F104" s="1821"/>
      <c r="G104" s="1984" t="s">
        <v>2062</v>
      </c>
      <c r="H104" s="2788">
        <f>IF(D36="同一抵押权人同一抵押物续贷",C36&amp;"（续贷，未扣减，详见特别提示）",C36)</f>
        <v>0</v>
      </c>
      <c r="I104" s="134"/>
    </row>
    <row r="105" spans="1:35" ht="18.75" customHeight="1" thickBot="1">
      <c r="A105" s="3363"/>
      <c r="B105" s="2784" t="s">
        <v>2060</v>
      </c>
      <c r="C105" s="2785">
        <f ca="1">I118</f>
        <v>6777</v>
      </c>
      <c r="D105" s="2786"/>
      <c r="E105" s="1830" t="s">
        <v>2065</v>
      </c>
      <c r="F105" s="1821"/>
      <c r="G105" s="1984" t="s">
        <v>2062</v>
      </c>
      <c r="H105" s="2789">
        <f>C37</f>
        <v>0</v>
      </c>
      <c r="I105" s="134"/>
    </row>
    <row r="106" spans="1:35" ht="18.75" customHeight="1">
      <c r="A106" s="1903" t="s">
        <v>2066</v>
      </c>
      <c r="B106" s="1903"/>
      <c r="C106" s="1903"/>
      <c r="D106" s="1903"/>
      <c r="E106" s="1985" t="s">
        <v>2067</v>
      </c>
      <c r="F106" s="1821"/>
      <c r="G106" s="1984" t="s">
        <v>2062</v>
      </c>
      <c r="H106" s="2789">
        <f>C38</f>
        <v>0</v>
      </c>
      <c r="I106" s="134"/>
    </row>
    <row r="107" spans="1:35" ht="18.75" customHeight="1">
      <c r="A107" s="134"/>
      <c r="B107" s="134"/>
      <c r="C107" s="134"/>
      <c r="D107" s="134"/>
      <c r="E107" s="3359" t="str">
        <f>IF(项目基本情况!E8="已注销","——","3.房地产抵押价值")</f>
        <v>3.房地产抵押价值</v>
      </c>
      <c r="F107" s="3360"/>
      <c r="G107" s="1983" t="s">
        <v>2058</v>
      </c>
      <c r="H107" s="2787">
        <f ca="1">IF(E107="——","——",H101-H103)</f>
        <v>1087</v>
      </c>
      <c r="I107" s="134"/>
    </row>
    <row r="108" spans="1:35" ht="18.75" customHeight="1">
      <c r="A108" s="134"/>
      <c r="B108" s="134"/>
      <c r="C108" s="134"/>
      <c r="D108" s="134"/>
      <c r="E108" s="3359"/>
      <c r="F108" s="3360"/>
      <c r="G108" s="1983" t="s">
        <v>2060</v>
      </c>
      <c r="H108" s="2747">
        <f ca="1">ROUND(H107*10000/'数据-汇总表'!E3,0)</f>
        <v>6777</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0" t="str">
        <f>IF(E109="——","——",H101-H105-H106)</f>
        <v>——</v>
      </c>
      <c r="I109" s="134"/>
    </row>
    <row r="110" spans="1:35" ht="18.75" customHeight="1">
      <c r="A110" s="134"/>
      <c r="B110" s="134"/>
      <c r="C110" s="134"/>
      <c r="D110" s="134"/>
      <c r="E110" s="3359"/>
      <c r="F110" s="3360"/>
      <c r="G110" s="1983" t="s">
        <v>2060</v>
      </c>
      <c r="H110" s="2747"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61"/>
      <c r="G111" s="1983" t="s">
        <v>2058</v>
      </c>
      <c r="H111" s="2787" t="str">
        <f>IF(E111="——","——",N59)</f>
        <v>——</v>
      </c>
      <c r="I111" s="134"/>
    </row>
    <row r="112" spans="1:35" ht="18.75" customHeight="1" thickBot="1">
      <c r="A112" s="134"/>
      <c r="B112" s="134"/>
      <c r="C112" s="134"/>
      <c r="D112" s="134"/>
      <c r="E112" s="3395"/>
      <c r="F112" s="3396"/>
      <c r="G112" s="1986"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2" t="str">
        <f>项目基本情况!S2</f>
        <v>北京市房地产</v>
      </c>
      <c r="B118" s="2522">
        <f>M18</f>
        <v>1604.01</v>
      </c>
      <c r="C118" s="2522">
        <f>M19</f>
        <v>0</v>
      </c>
      <c r="D118" s="2522">
        <f ca="1">ROUND(IF(D32="总价",C34,E118*B118/10000),0)</f>
        <v>313</v>
      </c>
      <c r="E118" s="2522">
        <f ca="1">ROUND(IF(C33="自定义",IF(D32="楼面单价",C34,D118*10000/B118),I118-G118),0)</f>
        <v>1952</v>
      </c>
      <c r="F118" s="2522">
        <f ca="1">ROUND(IF(D32="总价",C35,G118*B118/10000),0)</f>
        <v>774</v>
      </c>
      <c r="G118" s="2522">
        <f ca="1">ROUND(IF(D32="楼面单价",C35,F118*10000/B118),0)</f>
        <v>4825</v>
      </c>
      <c r="H118" s="2522">
        <f ca="1">ROUND(IF(D32="总价",C32,I118*B118/10000),0)</f>
        <v>1087</v>
      </c>
      <c r="I118" s="2522">
        <f ca="1">ROUND(IF(D32="楼面单价",C32,H118*10000/B118),0)</f>
        <v>6777</v>
      </c>
    </row>
    <row r="119" spans="1:27" ht="18.75" customHeight="1">
      <c r="A119" s="3330" t="s">
        <v>2078</v>
      </c>
      <c r="B119" s="3330"/>
      <c r="C119" s="3330"/>
      <c r="D119" s="3370" t="str">
        <f ca="1">NUMBERSTRING(INT(D118*10000),2)&amp;"元整"</f>
        <v>叁佰壹拾叁万元整</v>
      </c>
      <c r="E119" s="3372"/>
      <c r="F119" s="3370" t="str">
        <f ca="1">NUMBERSTRING(INT(F118*10000),2)&amp;"元整"</f>
        <v>柒佰柒拾肆万元整</v>
      </c>
      <c r="G119" s="3372"/>
      <c r="H119" s="3370" t="str">
        <f ca="1">NUMBERSTRING(INT(H118*10000),2)&amp;"元整"</f>
        <v>壹仟零捌拾柒万元整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1087</v>
      </c>
      <c r="E122" s="3398"/>
      <c r="F122" s="3398"/>
      <c r="G122" s="3398"/>
      <c r="H122" s="3398"/>
      <c r="I122" s="3399"/>
      <c r="AA122" s="734"/>
    </row>
    <row r="123" spans="1:27" ht="18.75" customHeight="1">
      <c r="A123" s="3330" t="s">
        <v>2078</v>
      </c>
      <c r="B123" s="3330"/>
      <c r="C123" s="3330"/>
      <c r="D123" s="3370" t="str">
        <f ca="1">NUMBERSTRING(INT(D122*10000),2)&amp;"元整"</f>
        <v>壹仟零捌拾柒万元整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
      </c>
      <c r="B126" s="3361"/>
      <c r="C126" s="3361"/>
      <c r="D126" s="3397" t="str">
        <f>H111</f>
        <v>——</v>
      </c>
      <c r="E126" s="3398"/>
      <c r="F126" s="3398"/>
      <c r="G126" s="3398"/>
      <c r="H126" s="3398"/>
      <c r="I126" s="3399"/>
      <c r="AA126" s="734"/>
    </row>
    <row r="127" spans="1:27" ht="18.75" customHeight="1">
      <c r="A127" s="3330" t="s">
        <v>2078</v>
      </c>
      <c r="B127" s="3330"/>
      <c r="C127" s="3330"/>
      <c r="D127" s="3370" t="e">
        <f>NUMBERSTRING(INT(D126*10000),2)&amp;"元整"</f>
        <v>#VALUE!</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北京市房地产抵押价值预评估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t="str">
        <f>项目基本情况!B5</f>
        <v>工商银行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57"/>
  <sheetViews>
    <sheetView view="pageBreakPreview" topLeftCell="A25" zoomScale="90" zoomScaleNormal="70" zoomScaleSheetLayoutView="9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2087</v>
      </c>
      <c r="B1" s="1624"/>
      <c r="C1" s="204"/>
      <c r="D1" s="204"/>
      <c r="E1" s="204"/>
      <c r="F1" s="204"/>
      <c r="G1" s="1260">
        <f>MATCH(B1,'数据-取费表'!A6:A16,0)+5</f>
        <v>7</v>
      </c>
    </row>
    <row r="2" spans="1:10" s="206" customFormat="1" ht="18" customHeight="1">
      <c r="A2" s="207" t="s">
        <v>2088</v>
      </c>
      <c r="B2" s="208">
        <f ca="1">IF(D2="——",C52,C52-E2)</f>
        <v>1171</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7300</v>
      </c>
      <c r="C3" s="205" t="s">
        <v>2091</v>
      </c>
      <c r="D3" s="205"/>
      <c r="E3" s="205"/>
      <c r="F3" s="205"/>
      <c r="G3" s="205"/>
    </row>
    <row r="4" spans="1:10" s="214" customFormat="1" ht="15.75">
      <c r="A4" s="211" t="s">
        <v>2092</v>
      </c>
      <c r="B4" s="212"/>
      <c r="C4" s="212"/>
      <c r="D4" s="212"/>
      <c r="E4" s="212"/>
      <c r="F4" s="212"/>
      <c r="G4" s="213"/>
    </row>
    <row r="5" spans="1:10" s="220" customFormat="1" ht="13.5" customHeight="1">
      <c r="A5" s="261" t="s">
        <v>2093</v>
      </c>
      <c r="B5" s="216" t="s">
        <v>2094</v>
      </c>
      <c r="C5" s="217">
        <f ca="1">C6+C7+C8</f>
        <v>259</v>
      </c>
      <c r="D5" s="217" t="s">
        <v>2095</v>
      </c>
      <c r="E5" s="218" t="s">
        <v>2096</v>
      </c>
      <c r="F5" s="218" t="s">
        <v>2097</v>
      </c>
      <c r="G5" s="219"/>
    </row>
    <row r="6" spans="1:10" s="220" customFormat="1" ht="13.5" customHeight="1">
      <c r="A6" s="886" t="s">
        <v>2098</v>
      </c>
      <c r="B6" s="221" t="s">
        <v>2099</v>
      </c>
      <c r="C6" s="222">
        <f>'土地比较法-工业'!F51</f>
        <v>239</v>
      </c>
      <c r="D6" s="223"/>
      <c r="E6" s="224"/>
      <c r="F6" s="224"/>
      <c r="G6" s="225"/>
    </row>
    <row r="7" spans="1:10" s="220" customFormat="1" ht="13.5" customHeight="1">
      <c r="A7" s="886" t="s">
        <v>2100</v>
      </c>
      <c r="B7" s="221" t="s">
        <v>2101</v>
      </c>
      <c r="C7" s="226">
        <f>ROUND(C6*F7,0)</f>
        <v>7</v>
      </c>
      <c r="D7" s="226"/>
      <c r="E7" s="224"/>
      <c r="F7" s="227">
        <f>IF(项目基本情况!B8="出让",0,'数据-取费表'!B48+'数据-取费表'!B49)</f>
        <v>3.0499999999999999E-2</v>
      </c>
      <c r="G7" s="225"/>
    </row>
    <row r="8" spans="1:10" s="229" customFormat="1">
      <c r="A8" s="886" t="s">
        <v>2102</v>
      </c>
      <c r="B8" s="221" t="s">
        <v>2103</v>
      </c>
      <c r="C8" s="226">
        <f ca="1">IF(G8="已包含在土地购买价格中","0",IF(B1="",'数据-取费表'!B29,IF(G9="全部缴纳",C9+C10,H9)))</f>
        <v>13</v>
      </c>
      <c r="D8" s="228"/>
      <c r="E8" s="226"/>
      <c r="F8" s="227"/>
      <c r="G8" s="2012" t="s">
        <v>3170</v>
      </c>
      <c r="J8" s="229">
        <f>2396.41*80/10000</f>
        <v>19.171279999999999</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10" s="220" customFormat="1" ht="13.5" customHeight="1">
      <c r="A10" s="887" t="s">
        <v>801</v>
      </c>
      <c r="B10" s="230" t="s">
        <v>2106</v>
      </c>
      <c r="C10" s="231">
        <f ca="1">ROUND(D10*E10/10000,0)</f>
        <v>13</v>
      </c>
      <c r="D10" s="954">
        <f ca="1">IF(B1="",'数据-汇总表'!E6,IF(INDIRECT("'数据-取费表'!c"&amp;$G$1)="住宅",INDIRECT("'数据-取费表'!s"&amp;$G$1),INDIRECT("'数据-取费表'!k"&amp;$G$1)+INDIRECT("'数据-取费表'!s"&amp;$G$1)))</f>
        <v>1604.01</v>
      </c>
      <c r="E10" s="231">
        <f>'数据-取费表'!B28</f>
        <v>80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8" s="220" customFormat="1" ht="13.5" hidden="1" customHeight="1">
      <c r="A17" s="233" t="s">
        <v>13</v>
      </c>
      <c r="B17" s="221" t="s">
        <v>2114</v>
      </c>
      <c r="C17" s="235"/>
      <c r="D17" s="957"/>
      <c r="E17" s="235"/>
      <c r="F17" s="235"/>
      <c r="G17" s="225" t="s">
        <v>2113</v>
      </c>
    </row>
    <row r="18" spans="1:8" s="220" customFormat="1" ht="13.5" hidden="1" customHeight="1">
      <c r="A18" s="233" t="s">
        <v>14</v>
      </c>
      <c r="B18" s="221" t="s">
        <v>2115</v>
      </c>
      <c r="C18" s="226">
        <v>0</v>
      </c>
      <c r="D18" s="956"/>
      <c r="E18" s="224"/>
      <c r="F18" s="227">
        <v>3.0499999999999999E-2</v>
      </c>
      <c r="G18" s="225" t="s">
        <v>2116</v>
      </c>
    </row>
    <row r="19" spans="1:8" s="229" customFormat="1" ht="13.5" customHeight="1">
      <c r="A19" s="261" t="s">
        <v>2117</v>
      </c>
      <c r="B19" s="216" t="s">
        <v>2118</v>
      </c>
      <c r="C19" s="217" t="str">
        <f>IF(G19="已包含在土地取得成本中","0",ROUND(D19*E19/10000,0))</f>
        <v>0</v>
      </c>
      <c r="D19" s="958">
        <f ca="1">D9+D10</f>
        <v>1604.01</v>
      </c>
      <c r="E19" s="217">
        <f>'数据-取费表'!B31</f>
        <v>200</v>
      </c>
      <c r="F19" s="237"/>
      <c r="G19" s="2012" t="s">
        <v>3171</v>
      </c>
    </row>
    <row r="20" spans="1:8" s="220" customFormat="1" ht="13.5" customHeight="1">
      <c r="A20" s="261" t="s">
        <v>2119</v>
      </c>
      <c r="B20" s="216" t="s">
        <v>2120</v>
      </c>
      <c r="C20" s="238">
        <f ca="1">ROUND((C5+C19)*F20,0)</f>
        <v>5</v>
      </c>
      <c r="D20" s="238"/>
      <c r="E20" s="238"/>
      <c r="F20" s="239">
        <f>'数据-取费表'!B37</f>
        <v>0.02</v>
      </c>
      <c r="G20" s="240" t="s">
        <v>2121</v>
      </c>
    </row>
    <row r="21" spans="1:8" s="220" customFormat="1" ht="13.5" customHeight="1">
      <c r="A21" s="261" t="s">
        <v>2122</v>
      </c>
      <c r="B21" s="216" t="s">
        <v>2123</v>
      </c>
      <c r="C21" s="241">
        <f>F21</f>
        <v>0.02</v>
      </c>
      <c r="D21" s="242" t="s">
        <v>2124</v>
      </c>
      <c r="E21" s="238"/>
      <c r="F21" s="239">
        <f>'数据-取费表'!B38</f>
        <v>0.02</v>
      </c>
      <c r="G21" s="240" t="s">
        <v>2125</v>
      </c>
    </row>
    <row r="22" spans="1:8" s="220" customFormat="1" ht="13.5" customHeight="1">
      <c r="A22" s="261" t="s">
        <v>2126</v>
      </c>
      <c r="B22" s="216" t="s">
        <v>2127</v>
      </c>
      <c r="C22" s="1236">
        <f ca="1">ROUND(SUM(C23:C25),0)</f>
        <v>22</v>
      </c>
      <c r="D22" s="241">
        <f ca="1">C26</f>
        <v>8.0000000000000004E-4</v>
      </c>
      <c r="E22" s="242" t="s">
        <v>2124</v>
      </c>
      <c r="F22" s="243">
        <f ca="1">'数据-取费表'!B40</f>
        <v>4.2000000000000003E-2</v>
      </c>
      <c r="G22" s="240" t="str">
        <f>IF('数据-取费表'!B22&lt;=1,"单利计息","复利计息")</f>
        <v>复利计息</v>
      </c>
      <c r="H22" s="220">
        <f>0.02*((1+4.2%)^(2/2)-1)</f>
        <v>8.4000000000000079E-4</v>
      </c>
    </row>
    <row r="23" spans="1:8" s="220" customFormat="1" ht="13.5" customHeight="1">
      <c r="A23" s="888" t="s">
        <v>2128</v>
      </c>
      <c r="B23" s="221" t="s">
        <v>2129</v>
      </c>
      <c r="C23" s="1237">
        <f ca="1">ROUND(IF('数据-取费表'!B22&lt;=1,C5*F22*'数据-取费表'!B23,C5*(POWER((1+F22),'数据-取费表'!B23)-1)),0)</f>
        <v>22</v>
      </c>
      <c r="D23" s="244"/>
      <c r="E23" s="244"/>
      <c r="F23" s="245"/>
      <c r="G23" s="246" t="s">
        <v>2130</v>
      </c>
    </row>
    <row r="24" spans="1:8"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8" s="220" customFormat="1" ht="24">
      <c r="A25" s="888" t="s">
        <v>2134</v>
      </c>
      <c r="B25" s="221" t="s">
        <v>2135</v>
      </c>
      <c r="C25" s="1237">
        <f ca="1">ROUND(IF('数据-取费表'!B22&lt;=1,C20*F22*'数据-取费表'!B23/2,C20*(POWER((1+F22),'数据-取费表'!B23/2)-1)),0)</f>
        <v>0</v>
      </c>
      <c r="D25" s="244"/>
      <c r="E25" s="247"/>
      <c r="F25" s="245"/>
      <c r="G25" s="248" t="s">
        <v>2136</v>
      </c>
    </row>
    <row r="26" spans="1:8" s="220" customFormat="1">
      <c r="A26" s="888" t="s">
        <v>795</v>
      </c>
      <c r="B26" s="221" t="s">
        <v>2137</v>
      </c>
      <c r="C26" s="244">
        <f ca="1">ROUND(IF('数据-取费表'!B22&lt;=1,F21*F22*'数据-取费表'!B23/2,F21*(POWER((1+F22),'数据-取费表'!B23/2)-1)),4)</f>
        <v>8.0000000000000004E-4</v>
      </c>
      <c r="D26" s="244"/>
      <c r="E26" s="247"/>
      <c r="F26" s="245"/>
      <c r="G26" s="249"/>
    </row>
    <row r="27" spans="1:8" s="220" customFormat="1" ht="24.75">
      <c r="A27" s="261" t="s">
        <v>2138</v>
      </c>
      <c r="B27" s="250" t="s">
        <v>2139</v>
      </c>
      <c r="C27" s="251">
        <f ca="1">C28</f>
        <v>26</v>
      </c>
      <c r="D27" s="241">
        <f ca="1">C29</f>
        <v>2E-3</v>
      </c>
      <c r="E27" s="242" t="s">
        <v>2140</v>
      </c>
      <c r="F27" s="252">
        <f ca="1">IF(B1="",'数据-取费表'!Q16,INDIRECT("'数据-取费表'!q"&amp;$G$1))</f>
        <v>0.1</v>
      </c>
      <c r="G27" s="253" t="s">
        <v>2141</v>
      </c>
      <c r="H27" s="220">
        <f>(385+0+8)*15%</f>
        <v>58.949999999999996</v>
      </c>
    </row>
    <row r="28" spans="1:8" s="220" customFormat="1" ht="13.5" customHeight="1">
      <c r="A28" s="888" t="s">
        <v>791</v>
      </c>
      <c r="B28" s="254" t="s">
        <v>2142</v>
      </c>
      <c r="C28" s="255">
        <f ca="1">ROUND((C5+C19+C20)*F27*'数据-取费表'!B21/'数据-取费表'!B20,0)</f>
        <v>26</v>
      </c>
      <c r="D28" s="241"/>
      <c r="E28" s="242"/>
      <c r="F28" s="252"/>
      <c r="G28" s="253"/>
    </row>
    <row r="29" spans="1:8" s="220" customFormat="1" ht="13.5" customHeight="1">
      <c r="A29" s="888" t="s">
        <v>792</v>
      </c>
      <c r="B29" s="254" t="s">
        <v>2143</v>
      </c>
      <c r="C29" s="244">
        <f ca="1">ROUND(C21*F27*'数据-取费表'!B21/'数据-取费表'!B20,4)</f>
        <v>2E-3</v>
      </c>
      <c r="D29" s="241"/>
      <c r="E29" s="242"/>
      <c r="F29" s="252"/>
      <c r="G29" s="253"/>
    </row>
    <row r="30" spans="1:8"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8" ht="16.5" customHeight="1">
      <c r="A31" s="215">
        <v>1</v>
      </c>
      <c r="B31" s="216" t="s">
        <v>2147</v>
      </c>
      <c r="C31" s="217">
        <f ca="1">ROUND((C5+C19+C20+C22+C27)/(1-C21-D22-D27-C30),0)</f>
        <v>337</v>
      </c>
      <c r="D31" s="236"/>
      <c r="E31" s="217"/>
      <c r="F31" s="256"/>
      <c r="G31" s="240" t="s">
        <v>2148</v>
      </c>
    </row>
    <row r="32" spans="1:8" s="214" customFormat="1" ht="15.75">
      <c r="A32" s="258" t="s">
        <v>2149</v>
      </c>
      <c r="B32" s="259"/>
      <c r="C32" s="259"/>
      <c r="D32" s="259"/>
      <c r="E32" s="259"/>
      <c r="F32" s="259"/>
      <c r="G32" s="260"/>
    </row>
    <row r="33" spans="1:8" s="220" customFormat="1" ht="13.5" customHeight="1">
      <c r="A33" s="261" t="s">
        <v>782</v>
      </c>
      <c r="B33" s="216" t="s">
        <v>2150</v>
      </c>
      <c r="C33" s="262">
        <f ca="1">SUM(C34:C38)</f>
        <v>703</v>
      </c>
      <c r="D33" s="238"/>
      <c r="E33" s="218"/>
      <c r="F33" s="247"/>
      <c r="G33" s="240"/>
      <c r="H33" s="220">
        <f>983+29+0+48+15</f>
        <v>1075</v>
      </c>
    </row>
    <row r="34" spans="1:8"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642</v>
      </c>
      <c r="D34" s="223"/>
      <c r="E34" s="226"/>
      <c r="F34" s="263">
        <f ca="1">IF('数据-取费表'!B24=0,1,IF(B1="",'数据-取费表'!N16,INDIRECT("'数据-取费表'!n"&amp;$G$1)))</f>
        <v>1</v>
      </c>
      <c r="G34" s="225" t="s">
        <v>2152</v>
      </c>
    </row>
    <row r="35" spans="1:8" ht="13.5" customHeight="1">
      <c r="A35" s="888" t="s">
        <v>796</v>
      </c>
      <c r="B35" s="221" t="s">
        <v>2153</v>
      </c>
      <c r="C35" s="226">
        <f ca="1">ROUND(C34*F35,0)</f>
        <v>19</v>
      </c>
      <c r="D35" s="226"/>
      <c r="E35" s="226"/>
      <c r="F35" s="265">
        <f>'数据-取费表'!B33</f>
        <v>0.03</v>
      </c>
      <c r="G35" s="225" t="s">
        <v>2154</v>
      </c>
    </row>
    <row r="36" spans="1:8"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8" s="264" customFormat="1" ht="13.5" customHeight="1">
      <c r="A37" s="888" t="s">
        <v>798</v>
      </c>
      <c r="B37" s="221" t="s">
        <v>2157</v>
      </c>
      <c r="C37" s="255">
        <f ca="1">ROUND(E37*D37*F34/10000,0)</f>
        <v>32</v>
      </c>
      <c r="D37" s="223">
        <f ca="1">D19</f>
        <v>1604.01</v>
      </c>
      <c r="E37" s="255">
        <f>'数据-取费表'!B35</f>
        <v>200</v>
      </c>
      <c r="F37" s="265"/>
      <c r="G37" s="267" t="s">
        <v>2158</v>
      </c>
    </row>
    <row r="38" spans="1:8" ht="13.5" customHeight="1">
      <c r="A38" s="888" t="s">
        <v>799</v>
      </c>
      <c r="B38" s="221" t="s">
        <v>2159</v>
      </c>
      <c r="C38" s="226">
        <f ca="1">ROUND(C34*F38,0)</f>
        <v>10</v>
      </c>
      <c r="D38" s="226"/>
      <c r="E38" s="226"/>
      <c r="F38" s="265">
        <f>'数据-取费表'!B36</f>
        <v>1.4999999999999999E-2</v>
      </c>
      <c r="G38" s="225" t="s">
        <v>2154</v>
      </c>
    </row>
    <row r="39" spans="1:8" s="220" customFormat="1" ht="13.5" customHeight="1">
      <c r="A39" s="261" t="s">
        <v>2160</v>
      </c>
      <c r="B39" s="216" t="s">
        <v>2161</v>
      </c>
      <c r="C39" s="238">
        <f ca="1">ROUND(C33*F20,0)</f>
        <v>14</v>
      </c>
      <c r="D39" s="238"/>
      <c r="E39" s="238"/>
      <c r="F39" s="2505">
        <f>F20</f>
        <v>0.02</v>
      </c>
      <c r="G39" s="240" t="s">
        <v>2162</v>
      </c>
    </row>
    <row r="40" spans="1:8" s="220" customFormat="1" ht="13.5" customHeight="1">
      <c r="A40" s="261" t="s">
        <v>2163</v>
      </c>
      <c r="B40" s="216" t="s">
        <v>2164</v>
      </c>
      <c r="C40" s="1467">
        <f>F21</f>
        <v>0.02</v>
      </c>
      <c r="D40" s="242" t="s">
        <v>2165</v>
      </c>
      <c r="E40" s="238"/>
      <c r="F40" s="2505">
        <f>F21</f>
        <v>0.02</v>
      </c>
      <c r="G40" s="240" t="s">
        <v>2166</v>
      </c>
    </row>
    <row r="41" spans="1:8" s="220" customFormat="1" ht="13.5" customHeight="1">
      <c r="A41" s="261" t="s">
        <v>2167</v>
      </c>
      <c r="B41" s="216" t="s">
        <v>2168</v>
      </c>
      <c r="C41" s="238">
        <f ca="1">ROUND(SUM(C42:C43),0)</f>
        <v>31</v>
      </c>
      <c r="D41" s="241">
        <f ca="1">C44</f>
        <v>8.0000000000000004E-4</v>
      </c>
      <c r="E41" s="242" t="s">
        <v>2165</v>
      </c>
      <c r="F41" s="2506">
        <f ca="1">F22</f>
        <v>4.2000000000000003E-2</v>
      </c>
      <c r="G41" s="240" t="str">
        <f>IF('数据-取费表'!B22&lt;=1,"单利计息","复利计息")</f>
        <v>复利计息</v>
      </c>
      <c r="H41" s="220">
        <f>(1075+22)*((1+4.2%)^(2/2)-1)</f>
        <v>46.074000000000041</v>
      </c>
    </row>
    <row r="42" spans="1:8" ht="13.5" customHeight="1">
      <c r="A42" s="888" t="s">
        <v>791</v>
      </c>
      <c r="B42" s="221" t="s">
        <v>2169</v>
      </c>
      <c r="C42" s="244">
        <f ca="1">ROUND(IF('数据-取费表'!B22&lt;=1,C33*F22*'数据-取费表'!B21/2,C33*(POWER((1+F22),'数据-取费表'!B21/2)-1)),0)</f>
        <v>30</v>
      </c>
      <c r="D42" s="244"/>
      <c r="E42" s="244"/>
      <c r="F42" s="245"/>
      <c r="G42" s="3413" t="s">
        <v>2170</v>
      </c>
    </row>
    <row r="43" spans="1:8" ht="13.5" customHeight="1">
      <c r="A43" s="888" t="s">
        <v>792</v>
      </c>
      <c r="B43" s="221" t="s">
        <v>2171</v>
      </c>
      <c r="C43" s="244">
        <f ca="1">ROUND(IF('数据-取费表'!B22&lt;=1,C39*F22*'数据-取费表'!B21/2,C39*(POWER((1+F22),'数据-取费表'!B21/2)-1)),0)</f>
        <v>1</v>
      </c>
      <c r="D43" s="244"/>
      <c r="E43" s="244"/>
      <c r="F43" s="245"/>
      <c r="G43" s="3414"/>
    </row>
    <row r="44" spans="1:8" ht="13.5" customHeight="1">
      <c r="A44" s="888" t="s">
        <v>793</v>
      </c>
      <c r="B44" s="221" t="s">
        <v>2172</v>
      </c>
      <c r="C44" s="244">
        <f ca="1">ROUND(IF('数据-取费表'!B22&lt;=1,C40*F22*'数据-取费表'!B21/2,C40*(POWER((1+F22),'数据-取费表'!B21/2)-1)),4)</f>
        <v>8.0000000000000004E-4</v>
      </c>
      <c r="D44" s="244"/>
      <c r="E44" s="244"/>
      <c r="F44" s="245"/>
      <c r="G44" s="3415"/>
    </row>
    <row r="45" spans="1:8" s="220" customFormat="1" ht="13.5" customHeight="1">
      <c r="A45" s="261" t="s">
        <v>2173</v>
      </c>
      <c r="B45" s="250" t="s">
        <v>2139</v>
      </c>
      <c r="C45" s="251">
        <f ca="1">C46</f>
        <v>72</v>
      </c>
      <c r="D45" s="241">
        <f ca="1">C47</f>
        <v>2E-3</v>
      </c>
      <c r="E45" s="242" t="s">
        <v>2165</v>
      </c>
      <c r="F45" s="2507">
        <f ca="1">F27</f>
        <v>0.1</v>
      </c>
      <c r="G45" s="253" t="s">
        <v>2174</v>
      </c>
    </row>
    <row r="46" spans="1:8" s="220" customFormat="1" ht="13.5" customHeight="1">
      <c r="A46" s="888" t="s">
        <v>791</v>
      </c>
      <c r="B46" s="254" t="s">
        <v>2175</v>
      </c>
      <c r="C46" s="255">
        <f ca="1">ROUND((C33+C39)*F27,0)</f>
        <v>72</v>
      </c>
      <c r="D46" s="269"/>
      <c r="E46" s="242"/>
      <c r="F46" s="252"/>
      <c r="G46" s="253"/>
    </row>
    <row r="47" spans="1:8" s="220" customFormat="1" ht="13.5" customHeight="1">
      <c r="A47" s="888" t="s">
        <v>792</v>
      </c>
      <c r="B47" s="254" t="s">
        <v>2176</v>
      </c>
      <c r="C47" s="244">
        <f ca="1">ROUND(C40*F27,4)</f>
        <v>2E-3</v>
      </c>
      <c r="D47" s="269"/>
      <c r="E47" s="242"/>
      <c r="F47" s="252"/>
      <c r="G47" s="253"/>
    </row>
    <row r="48" spans="1:8"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887</v>
      </c>
      <c r="D49" s="238"/>
      <c r="E49" s="238"/>
      <c r="F49" s="270"/>
      <c r="G49" s="240" t="s">
        <v>2180</v>
      </c>
    </row>
    <row r="50" spans="1:7" s="264" customFormat="1" ht="24">
      <c r="A50" s="261" t="s">
        <v>2181</v>
      </c>
      <c r="B50" s="216" t="s">
        <v>2182</v>
      </c>
      <c r="C50" s="238"/>
      <c r="D50" s="238"/>
      <c r="E50" s="238"/>
      <c r="F50" s="270">
        <f>IF('数据-取费表'!B24=0,'数据-取费表'!N16,1)</f>
        <v>0.94</v>
      </c>
      <c r="G50" s="253" t="s">
        <v>2183</v>
      </c>
    </row>
    <row r="51" spans="1:7" ht="16.5" customHeight="1">
      <c r="A51" s="261" t="s">
        <v>2184</v>
      </c>
      <c r="B51" s="216" t="s">
        <v>2185</v>
      </c>
      <c r="C51" s="238">
        <f ca="1">ROUND(C49*F50,0)</f>
        <v>834</v>
      </c>
      <c r="D51" s="238"/>
      <c r="E51" s="238"/>
      <c r="F51" s="270"/>
      <c r="G51" s="240" t="s">
        <v>2186</v>
      </c>
    </row>
    <row r="52" spans="1:7" s="214" customFormat="1" ht="16.5" thickBot="1">
      <c r="A52" s="271" t="s">
        <v>2187</v>
      </c>
      <c r="B52" s="272"/>
      <c r="C52" s="273">
        <f ca="1">C31+C51</f>
        <v>1171</v>
      </c>
      <c r="D52" s="272"/>
      <c r="E52" s="272"/>
      <c r="F52" s="272"/>
      <c r="G52" s="274"/>
    </row>
    <row r="55" spans="1:7" ht="15">
      <c r="B55" s="276" t="s">
        <v>2188</v>
      </c>
      <c r="C55" s="277"/>
    </row>
    <row r="56" spans="1:7">
      <c r="B56" s="279" t="s">
        <v>1418</v>
      </c>
      <c r="C56" s="281">
        <f ca="1">1-C57</f>
        <v>0.28800000000000003</v>
      </c>
    </row>
    <row r="57" spans="1:7">
      <c r="B57" s="279" t="s">
        <v>1419</v>
      </c>
      <c r="C57" s="280">
        <f ca="1">ROUND(C51/C52,3)</f>
        <v>0.71199999999999997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view="pageBreakPreview" topLeftCell="A67" zoomScale="90" zoomScaleNormal="60" zoomScaleSheetLayoutView="90" workbookViewId="0">
      <selection activeCell="F13" sqref="F1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239</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1490</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51" customHeight="1">
      <c r="A5" s="364"/>
      <c r="B5" s="365"/>
      <c r="C5" s="3427" t="s">
        <v>2303</v>
      </c>
      <c r="D5" s="3428"/>
      <c r="E5" s="3452" t="str">
        <f>土地案例!A2</f>
        <v>北京市平谷新城北部产业用地D02-01地块M1工业用地国有建设用地使用权出让公告</v>
      </c>
      <c r="F5" s="3453"/>
      <c r="G5" s="3427" t="str">
        <f>土地案例!A3</f>
        <v>北京市平谷新城北部产业用地F01地块M1工业用地国有建设用地使用权出让公告</v>
      </c>
      <c r="H5" s="3428"/>
      <c r="I5" s="3427" t="str">
        <f>土地案例!A4</f>
        <v>北京市平谷新城北部产业用地F05-05地块M2工业用地</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44672</v>
      </c>
      <c r="D7" s="371">
        <v>100</v>
      </c>
      <c r="E7" s="372" t="str">
        <f>土地案例!K2</f>
        <v>2021-08-11</v>
      </c>
      <c r="F7" s="373">
        <f>SUMIF(65:65,YEAR(E7)&amp;"-"&amp;INT((MONTH(E7)+2)/3),66:66)</f>
        <v>98.5</v>
      </c>
      <c r="G7" s="2130" t="str">
        <f>土地案例!K3</f>
        <v>2021-08-11</v>
      </c>
      <c r="H7" s="371">
        <f>SUMIF(65:65,YEAR(G7)&amp;"-"&amp;INT((MONTH(G7)+2)/3),66:66)</f>
        <v>98.5</v>
      </c>
      <c r="I7" s="2130" t="str">
        <f>土地案例!K4</f>
        <v>2020-02-17</v>
      </c>
      <c r="J7" s="371">
        <f>SUMIF(65:65,YEAR(I7)&amp;"-"&amp;INT((MONTH(I7)+2)/3),66:66)</f>
        <v>95.5</v>
      </c>
      <c r="K7" s="568"/>
      <c r="L7" s="2912"/>
      <c r="M7" s="2913"/>
      <c r="N7" s="2913"/>
      <c r="O7" s="2913"/>
      <c r="P7" s="3421" t="s">
        <v>2310</v>
      </c>
      <c r="Q7" s="3431"/>
      <c r="R7" s="710" t="s">
        <v>17</v>
      </c>
      <c r="S7" s="711">
        <f t="shared" ref="S7:S15" si="0">F7</f>
        <v>98.5</v>
      </c>
      <c r="T7" s="710" t="s">
        <v>17</v>
      </c>
      <c r="U7" s="711">
        <f t="shared" ref="U7:U15" si="1">H7</f>
        <v>98.5</v>
      </c>
      <c r="V7" s="710" t="s">
        <v>17</v>
      </c>
      <c r="W7" s="711">
        <f t="shared" ref="W7:W15" si="2">J7</f>
        <v>95.5</v>
      </c>
      <c r="X7" s="712"/>
      <c r="Y7" s="3421" t="s">
        <v>2310</v>
      </c>
      <c r="Z7" s="3422"/>
      <c r="AA7" s="713">
        <f>D7/F7</f>
        <v>1.015228426395939</v>
      </c>
      <c r="AB7" s="713">
        <f>D7/H7</f>
        <v>1.015228426395939</v>
      </c>
      <c r="AC7" s="713">
        <f>D7/J7</f>
        <v>1.0471204188481675</v>
      </c>
    </row>
    <row r="8" spans="1:29" s="113" customFormat="1" ht="15.75" thickBot="1">
      <c r="A8" s="368" t="s">
        <v>2311</v>
      </c>
      <c r="B8" s="369"/>
      <c r="C8" s="374" t="s">
        <v>2312</v>
      </c>
      <c r="D8" s="371">
        <v>100</v>
      </c>
      <c r="E8" s="374" t="s">
        <v>3169</v>
      </c>
      <c r="F8" s="373">
        <f>SUMIF(68:68,E8,69:69)-SUMIF(68:68,C8,69:69)+100</f>
        <v>100</v>
      </c>
      <c r="G8" s="374" t="s">
        <v>3169</v>
      </c>
      <c r="H8" s="371">
        <f>SUMIF(68:68,G8,69:69)-SUMIF(68:68,C8,69:69)+100</f>
        <v>100</v>
      </c>
      <c r="I8" s="374" t="s">
        <v>3169</v>
      </c>
      <c r="J8" s="371">
        <f>SUMIF(68:68,I8,69:69)-SUMIF(68:68,C8,69:69)+100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v>1.2</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5</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585" t="s">
        <v>2559</v>
      </c>
      <c r="C15" s="2127"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v>5</v>
      </c>
      <c r="L15" s="2917"/>
      <c r="M15" s="2911"/>
      <c r="N15" s="2911"/>
      <c r="O15" s="2969"/>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t="s">
        <v>3213</v>
      </c>
      <c r="D16" s="407"/>
      <c r="E16" s="2060" t="s">
        <v>3213</v>
      </c>
      <c r="F16" s="407"/>
      <c r="G16" s="2060" t="s">
        <v>3213</v>
      </c>
      <c r="H16" s="409"/>
      <c r="I16" s="2060" t="s">
        <v>3213</v>
      </c>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2</v>
      </c>
      <c r="L17" s="2917"/>
      <c r="M17" s="2911"/>
      <c r="N17" s="2911"/>
      <c r="O17" s="2969"/>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t="s">
        <v>3215</v>
      </c>
      <c r="D18" s="407"/>
      <c r="E18" s="2054" t="s">
        <v>3215</v>
      </c>
      <c r="F18" s="407"/>
      <c r="G18" s="2054" t="s">
        <v>3215</v>
      </c>
      <c r="H18" s="407"/>
      <c r="I18" s="2053" t="s">
        <v>3215</v>
      </c>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t="s">
        <v>3213</v>
      </c>
      <c r="D20" s="407"/>
      <c r="E20" s="406" t="s">
        <v>3213</v>
      </c>
      <c r="F20" s="407"/>
      <c r="G20" s="406" t="s">
        <v>3213</v>
      </c>
      <c r="H20" s="407"/>
      <c r="I20" s="406" t="s">
        <v>3213</v>
      </c>
      <c r="J20" s="407"/>
      <c r="K20" s="751"/>
      <c r="L20" s="2917"/>
      <c r="M20" s="2911"/>
      <c r="N20" s="2911"/>
      <c r="O20" s="2969"/>
      <c r="P20" s="3438"/>
      <c r="Q20" s="1506"/>
      <c r="R20" s="714"/>
      <c r="S20" s="715"/>
      <c r="T20" s="714"/>
      <c r="U20" s="715"/>
      <c r="V20" s="714"/>
      <c r="W20" s="715"/>
      <c r="X20" s="1509"/>
      <c r="Y20" s="3438"/>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t="s">
        <v>3213</v>
      </c>
      <c r="D22" s="407"/>
      <c r="E22" s="406" t="s">
        <v>3213</v>
      </c>
      <c r="F22" s="407"/>
      <c r="G22" s="406" t="s">
        <v>3213</v>
      </c>
      <c r="H22" s="407"/>
      <c r="I22" s="406" t="s">
        <v>3213</v>
      </c>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t="s">
        <v>3217</v>
      </c>
      <c r="D24" s="407"/>
      <c r="E24" s="2134" t="s">
        <v>3217</v>
      </c>
      <c r="F24" s="407"/>
      <c r="G24" s="2134" t="s">
        <v>3217</v>
      </c>
      <c r="H24" s="407"/>
      <c r="I24" s="2134" t="s">
        <v>3217</v>
      </c>
      <c r="J24" s="407"/>
      <c r="K24" s="628"/>
      <c r="L24" s="2912"/>
      <c r="M24" s="2913"/>
      <c r="N24" s="2913"/>
      <c r="O24" s="2967"/>
      <c r="P24" s="3438"/>
      <c r="Q24" s="1497"/>
      <c r="R24" s="710"/>
      <c r="S24" s="711"/>
      <c r="T24" s="710"/>
      <c r="U24" s="711"/>
      <c r="V24" s="710"/>
      <c r="W24" s="711"/>
      <c r="X24" s="712"/>
      <c r="Y24" s="3438"/>
      <c r="Z24" s="55"/>
      <c r="AA24" s="713">
        <v>1</v>
      </c>
      <c r="AB24" s="713">
        <v>1</v>
      </c>
      <c r="AC24" s="713">
        <v>1</v>
      </c>
    </row>
    <row r="25" spans="1:29" s="113" customFormat="1" ht="15">
      <c r="A25" s="605"/>
      <c r="B25" s="589" t="s">
        <v>2416</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t="s">
        <v>3207</v>
      </c>
      <c r="D26" s="407"/>
      <c r="E26" s="2134" t="s">
        <v>3207</v>
      </c>
      <c r="F26" s="407"/>
      <c r="G26" s="2134" t="s">
        <v>3207</v>
      </c>
      <c r="H26" s="407"/>
      <c r="I26" s="2134" t="s">
        <v>3207</v>
      </c>
      <c r="J26" s="407"/>
      <c r="K26" s="628"/>
      <c r="L26" s="2912"/>
      <c r="M26" s="2913"/>
      <c r="N26" s="2913"/>
      <c r="O26" s="2967"/>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4"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v>96842.95</v>
      </c>
      <c r="D34" s="426">
        <v>100</v>
      </c>
      <c r="E34" s="635">
        <f>土地案例!D2</f>
        <v>7327.55</v>
      </c>
      <c r="F34" s="426">
        <f>LOOKUP(E34,108:108,109:109)-LOOKUP(C34,108:108,109:109)+100</f>
        <v>92</v>
      </c>
      <c r="G34" s="635">
        <f>土地案例!D3</f>
        <v>99235.68</v>
      </c>
      <c r="H34" s="426">
        <f>LOOKUP(G34,108:108,109:109)-LOOKUP(C34,108:108,109:109)+100</f>
        <v>100</v>
      </c>
      <c r="I34" s="487">
        <f>土地案例!D4</f>
        <v>30231.14</v>
      </c>
      <c r="J34" s="426">
        <f>LOOKUP(I34,108:108,109:109)-LOOKUP(C34,108:108,109:109)+100</f>
        <v>94</v>
      </c>
      <c r="K34" s="570"/>
      <c r="L34" s="2917"/>
      <c r="M34" s="2911"/>
      <c r="N34" s="2911"/>
      <c r="O34" s="2969"/>
      <c r="P34" s="3439"/>
      <c r="Q34" s="1506" t="str">
        <f>B34</f>
        <v>宗地面积</v>
      </c>
      <c r="R34" s="714" t="s">
        <v>17</v>
      </c>
      <c r="S34" s="715">
        <f t="shared" si="10"/>
        <v>92</v>
      </c>
      <c r="T34" s="714" t="s">
        <v>17</v>
      </c>
      <c r="U34" s="715">
        <f t="shared" si="11"/>
        <v>100</v>
      </c>
      <c r="V34" s="714" t="s">
        <v>17</v>
      </c>
      <c r="W34" s="715">
        <f t="shared" si="12"/>
        <v>94</v>
      </c>
      <c r="X34" s="1509"/>
      <c r="Y34" s="3439"/>
      <c r="Z34" s="1510" t="str">
        <f t="shared" si="13"/>
        <v>宗地面积</v>
      </c>
      <c r="AA34" s="1507">
        <f t="shared" si="3"/>
        <v>1.0869565217391304</v>
      </c>
      <c r="AB34" s="1507">
        <f t="shared" si="4"/>
        <v>1</v>
      </c>
      <c r="AC34" s="1507">
        <f t="shared" si="5"/>
        <v>1.0638297872340425</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t="s">
        <v>3209</v>
      </c>
      <c r="D36" s="132">
        <v>100</v>
      </c>
      <c r="E36" s="2136" t="s">
        <v>3209</v>
      </c>
      <c r="F36" s="394">
        <f>SUMIF(112:112,E36,113:113)-SUMIF(112:112,C36,113:113)+100</f>
        <v>100</v>
      </c>
      <c r="G36" s="2136" t="s">
        <v>3209</v>
      </c>
      <c r="H36" s="394">
        <f>SUMIF(112:112,G36,113:113)-SUMIF(112:112,C36,113:113)+100</f>
        <v>100</v>
      </c>
      <c r="I36" s="2136" t="s">
        <v>3207</v>
      </c>
      <c r="J36" s="394">
        <f>SUMIF(112:112,I36,113:113)-SUMIF(112:112,C36,113:113)+100</f>
        <v>101</v>
      </c>
      <c r="K36" s="569">
        <v>1</v>
      </c>
      <c r="L36" s="2912"/>
      <c r="M36" s="2913"/>
      <c r="N36" s="2913"/>
      <c r="O36" s="2967"/>
      <c r="P36" s="3439"/>
      <c r="Q36" s="1506" t="str">
        <f t="shared" si="14"/>
        <v>宗地开发程度</v>
      </c>
      <c r="R36" s="710" t="s">
        <v>17</v>
      </c>
      <c r="S36" s="711">
        <f t="shared" si="10"/>
        <v>100</v>
      </c>
      <c r="T36" s="710" t="s">
        <v>17</v>
      </c>
      <c r="U36" s="711">
        <f t="shared" si="11"/>
        <v>100</v>
      </c>
      <c r="V36" s="710" t="s">
        <v>17</v>
      </c>
      <c r="W36" s="711">
        <f t="shared" si="12"/>
        <v>101</v>
      </c>
      <c r="X36" s="712"/>
      <c r="Y36" s="3439"/>
      <c r="Z36" s="55" t="str">
        <f t="shared" si="13"/>
        <v>宗地开发程度</v>
      </c>
      <c r="AA36" s="713">
        <f t="shared" si="3"/>
        <v>1</v>
      </c>
      <c r="AB36" s="713">
        <f t="shared" si="4"/>
        <v>1</v>
      </c>
      <c r="AC36" s="713">
        <f t="shared" si="5"/>
        <v>0.99009900990099009</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3220</v>
      </c>
      <c r="C41" s="638" t="s">
        <v>1</v>
      </c>
      <c r="D41" s="440"/>
      <c r="E41" s="441">
        <f>土地案例!V2</f>
        <v>1431</v>
      </c>
      <c r="F41" s="442"/>
      <c r="G41" s="443">
        <f>土地案例!V3</f>
        <v>1527</v>
      </c>
      <c r="H41" s="444"/>
      <c r="I41" s="441">
        <f>土地案例!V4</f>
        <v>1416</v>
      </c>
      <c r="J41" s="444"/>
      <c r="K41" s="723"/>
      <c r="L41" s="2919"/>
      <c r="M41" s="2911"/>
      <c r="N41" s="2911"/>
      <c r="O41" s="2920"/>
      <c r="P41" s="3419" t="str">
        <f>A41</f>
        <v>成交单价</v>
      </c>
      <c r="Q41" s="3419"/>
      <c r="R41" s="3436">
        <f>E41</f>
        <v>1431</v>
      </c>
      <c r="S41" s="3436"/>
      <c r="T41" s="3436">
        <f>G41</f>
        <v>1527</v>
      </c>
      <c r="U41" s="3436"/>
      <c r="V41" s="3436">
        <f>I41</f>
        <v>1416</v>
      </c>
      <c r="W41" s="3436"/>
      <c r="X41" s="699"/>
      <c r="Y41" s="721"/>
      <c r="Z41" s="699"/>
      <c r="AA41" s="699"/>
      <c r="AB41" s="699"/>
      <c r="AC41" s="699"/>
    </row>
    <row r="42" spans="1:31" ht="15.75" thickBot="1">
      <c r="A42" s="445" t="s">
        <v>2430</v>
      </c>
      <c r="B42" s="639"/>
      <c r="C42" s="448">
        <f>R43</f>
        <v>1489</v>
      </c>
      <c r="D42" s="2508" t="s">
        <v>2820</v>
      </c>
      <c r="E42" s="448">
        <f>R42</f>
        <v>1504</v>
      </c>
      <c r="F42" s="2509"/>
      <c r="G42" s="447">
        <f>T42</f>
        <v>1476</v>
      </c>
      <c r="H42" s="2509"/>
      <c r="I42" s="448">
        <f>V42</f>
        <v>1487</v>
      </c>
      <c r="J42" s="2509"/>
      <c r="K42" s="2511">
        <f>F42+H42+J42</f>
        <v>0</v>
      </c>
      <c r="L42" s="2919"/>
      <c r="M42" s="2911"/>
      <c r="N42" s="2911"/>
      <c r="O42" s="2920"/>
      <c r="P42" s="3419" t="str">
        <f>A42</f>
        <v>比较价值（元/平方米）</v>
      </c>
      <c r="Q42" s="3419"/>
      <c r="R42" s="3458">
        <f>ROUND(PRODUCT(R41,AA7:AA40),0)</f>
        <v>1504</v>
      </c>
      <c r="S42" s="3458"/>
      <c r="T42" s="3458">
        <f>ROUND(PRODUCT(T41,AB7:AB40),0)</f>
        <v>1476</v>
      </c>
      <c r="U42" s="3458"/>
      <c r="V42" s="3458">
        <f>ROUND(PRODUCT(V41,AC7:AC40),0)</f>
        <v>1487</v>
      </c>
      <c r="W42" s="3458"/>
      <c r="X42" s="699"/>
      <c r="Y42" s="699"/>
      <c r="Z42" s="699"/>
      <c r="AA42" s="699"/>
      <c r="AB42" s="699"/>
      <c r="AC42" s="699"/>
    </row>
    <row r="43" spans="1:31" ht="15.75" thickBot="1">
      <c r="A43" s="449" t="s">
        <v>2431</v>
      </c>
      <c r="B43" s="450"/>
      <c r="C43" s="451">
        <f>R43</f>
        <v>1489</v>
      </c>
      <c r="D43" s="451"/>
      <c r="E43" s="451"/>
      <c r="F43" s="451"/>
      <c r="G43" s="451"/>
      <c r="H43" s="451"/>
      <c r="I43" s="451"/>
      <c r="J43" s="451"/>
      <c r="K43" s="724"/>
      <c r="L43" s="2919"/>
      <c r="M43" s="2911"/>
      <c r="N43" s="2911"/>
      <c r="O43" s="2920"/>
      <c r="P43" s="3455" t="str">
        <f>A43</f>
        <v>估价对象XX用房的比较价值（楼面单价，元/平方米）</v>
      </c>
      <c r="Q43" s="3456"/>
      <c r="R43" s="3457">
        <f>ROUND(IF(D42="简单平均",AVERAGE(R42:W42),R42*F42+T42*H42+V42*J42),0)</f>
        <v>1489</v>
      </c>
      <c r="S43" s="3457"/>
      <c r="T43" s="3457"/>
      <c r="U43" s="3457"/>
      <c r="V43" s="3457"/>
      <c r="W43" s="345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2432</v>
      </c>
      <c r="D46" s="455"/>
      <c r="E46" s="456">
        <f>IF(E41&lt;E42,E42/E41-1,E41/E42-1)</f>
        <v>5.1013277428371806E-2</v>
      </c>
      <c r="F46" s="457" t="str">
        <f>IF(OR(E46&gt;=0.3,E46&lt;=-0.3),"超过30%","")</f>
        <v/>
      </c>
      <c r="G46" s="456">
        <f>IF(G41&lt;G42,G42/G41-1,G41/G42-1)</f>
        <v>3.4552845528455389E-2</v>
      </c>
      <c r="H46" s="457" t="str">
        <f>IF(OR(G46&gt;=0.3,G46&lt;=-0.3),"超过30%","")</f>
        <v/>
      </c>
      <c r="I46" s="456">
        <f>IF(I41&lt;I42,I42/I41-1,I41/I42-1)</f>
        <v>5.0141242937853159E-2</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2433</v>
      </c>
      <c r="D47" s="458"/>
      <c r="E47" s="456">
        <f>IF(E42&lt;G42,G42/E42-1,E42/G42-1)</f>
        <v>1.8970189701897011E-2</v>
      </c>
      <c r="F47" s="457" t="str">
        <f>IF(OR(E47&gt;=0.2,E47&lt;=-0.2),"超过20%","")</f>
        <v/>
      </c>
      <c r="G47" s="456">
        <f>IF(G42&lt;I42,I42/G42-1,G42/I42-1)</f>
        <v>7.4525745257452147E-3</v>
      </c>
      <c r="H47" s="457" t="str">
        <f>IF(OR(G47&gt;=0.2,G47&lt;=-0.2),"超过20%","")</f>
        <v/>
      </c>
      <c r="I47" s="456">
        <f>IF(I42&lt;E42,E42/I42-1,I42/E42-1)</f>
        <v>1.143241425689312E-2</v>
      </c>
      <c r="J47" s="457"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2434</v>
      </c>
      <c r="D48" s="458"/>
      <c r="E48" s="456">
        <f>IF(E41&lt;G41,G41/E41-1,E41/G41-1)</f>
        <v>6.7085953878406768E-2</v>
      </c>
      <c r="F48" s="457" t="str">
        <f>IF(OR(E48&gt;=0.3,E48&lt;=-0.3),"超过30%","")</f>
        <v/>
      </c>
      <c r="G48" s="456">
        <f>IF(G41&lt;I41,I41/G41-1,G41/I41-1)</f>
        <v>7.8389830508474478E-2</v>
      </c>
      <c r="H48" s="457" t="str">
        <f>IF(OR(G48&gt;=0.3,G48&lt;=-0.3),"超过30%","")</f>
        <v/>
      </c>
      <c r="I48" s="456">
        <f>IF(I41&lt;E41,E41/I41-1,I41/E41-1)</f>
        <v>1.0593220338983134E-2</v>
      </c>
      <c r="J48" s="457"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2519</v>
      </c>
      <c r="B50" s="641" t="s">
        <v>2520</v>
      </c>
      <c r="C50" s="2139" t="s">
        <v>2521</v>
      </c>
      <c r="D50" s="2140" t="s">
        <v>2522</v>
      </c>
      <c r="E50" s="642" t="s">
        <v>2523</v>
      </c>
      <c r="F50" s="643" t="s">
        <v>2524</v>
      </c>
      <c r="G50" s="3416" t="s">
        <v>2525</v>
      </c>
      <c r="H50" s="3417"/>
      <c r="I50" s="1510" t="s">
        <v>2561</v>
      </c>
      <c r="J50" s="1510">
        <f>项目基本情况!F35</f>
        <v>0</v>
      </c>
      <c r="K50" s="2142"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2528</v>
      </c>
      <c r="B51" s="645">
        <f>C43</f>
        <v>1489</v>
      </c>
      <c r="C51" s="646">
        <v>1</v>
      </c>
      <c r="D51" s="1075">
        <v>1</v>
      </c>
      <c r="E51" s="646">
        <f>'数据-汇总表'!E8+'数据-汇总表'!E9</f>
        <v>1604.01</v>
      </c>
      <c r="F51" s="647">
        <f t="shared" ref="F51:F60" si="15">ROUND(B51*E51/10000,0)</f>
        <v>239</v>
      </c>
      <c r="G51" s="3418"/>
      <c r="H51" s="341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2529</v>
      </c>
      <c r="B52" s="224">
        <f>ROUND($C$43*C52*D52,0)</f>
        <v>0</v>
      </c>
      <c r="C52" s="176">
        <f t="shared" ref="C52:C60" si="16">IF($C$50="北京市系数",I52,J52)</f>
        <v>0</v>
      </c>
      <c r="D52" s="1076">
        <v>0.25</v>
      </c>
      <c r="E52" s="650"/>
      <c r="F52" s="647">
        <f t="shared" si="15"/>
        <v>0</v>
      </c>
      <c r="G52" s="3420" t="s">
        <v>2530</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2531</v>
      </c>
      <c r="B53" s="224">
        <f t="shared" ref="B53:B60" si="17">ROUND($C$43*C53*D53,0)</f>
        <v>0</v>
      </c>
      <c r="C53" s="176">
        <f t="shared" si="16"/>
        <v>0</v>
      </c>
      <c r="D53" s="1076">
        <v>0.25</v>
      </c>
      <c r="E53" s="650"/>
      <c r="F53" s="647">
        <f t="shared" si="15"/>
        <v>0</v>
      </c>
      <c r="G53" s="342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2532</v>
      </c>
      <c r="B54" s="224">
        <f t="shared" si="17"/>
        <v>0</v>
      </c>
      <c r="C54" s="176">
        <f t="shared" si="16"/>
        <v>0</v>
      </c>
      <c r="D54" s="1076">
        <v>0.25</v>
      </c>
      <c r="E54" s="650"/>
      <c r="F54" s="647">
        <f t="shared" si="15"/>
        <v>0</v>
      </c>
      <c r="G54" s="342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2533</v>
      </c>
      <c r="B55" s="224">
        <f t="shared" si="17"/>
        <v>0</v>
      </c>
      <c r="C55" s="176">
        <f t="shared" si="16"/>
        <v>0</v>
      </c>
      <c r="D55" s="1076">
        <v>0.25</v>
      </c>
      <c r="E55" s="650"/>
      <c r="F55" s="647">
        <f t="shared" si="15"/>
        <v>0</v>
      </c>
      <c r="G55" s="342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2542</v>
      </c>
      <c r="B61" s="652" t="s">
        <v>28</v>
      </c>
      <c r="C61" s="652" t="s">
        <v>29</v>
      </c>
      <c r="D61" s="652" t="s">
        <v>997</v>
      </c>
      <c r="E61" s="652">
        <f>IF(B41="楼面地价",SUM(E51:E60),'数据-汇总表'!D3)</f>
        <v>1604.01</v>
      </c>
      <c r="F61" s="653">
        <f>IF(B41="楼面地价",SUM(F51:F60),ROUND(C43*E61/10000,0))</f>
        <v>239</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0"/>
      <c r="Q63" s="2920"/>
      <c r="R63" s="2920"/>
      <c r="S63" s="2920"/>
      <c r="T63" s="2920"/>
      <c r="U63" s="2920"/>
      <c r="V63" s="2920"/>
      <c r="W63" s="2920"/>
      <c r="X63" s="2920"/>
      <c r="Y63" s="2920"/>
      <c r="Z63" s="2920"/>
      <c r="AA63" s="2920"/>
      <c r="AB63" s="2920"/>
      <c r="AC63" s="2920"/>
      <c r="AD63" s="2920"/>
      <c r="AE63" s="2920"/>
    </row>
    <row r="64" spans="1:31" ht="21.75" thickBot="1">
      <c r="A64" s="703" t="s">
        <v>2435</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2346</v>
      </c>
      <c r="B67" s="473"/>
      <c r="C67" s="474">
        <v>0.5</v>
      </c>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2311</v>
      </c>
      <c r="B68" s="467"/>
      <c r="C68" s="479" t="s">
        <v>2413</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2349</v>
      </c>
      <c r="B70" s="485" t="s">
        <v>2315</v>
      </c>
      <c r="C70" s="3216" t="s">
        <v>3221</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2318</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v>2</v>
      </c>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2320</v>
      </c>
      <c r="B83" s="485" t="s">
        <v>2466</v>
      </c>
      <c r="C83" s="530" t="s">
        <v>2358</v>
      </c>
      <c r="D83" s="530" t="s">
        <v>2359</v>
      </c>
      <c r="E83" s="530" t="s">
        <v>2360</v>
      </c>
      <c r="F83" s="530" t="s">
        <v>2361</v>
      </c>
      <c r="G83" s="530" t="s">
        <v>2362</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2363</v>
      </c>
      <c r="C85" s="535" t="s">
        <v>2358</v>
      </c>
      <c r="D85" s="535" t="s">
        <v>2359</v>
      </c>
      <c r="E85" s="535" t="s">
        <v>2360</v>
      </c>
      <c r="F85" s="535" t="s">
        <v>2361</v>
      </c>
      <c r="G85" s="535" t="s">
        <v>2362</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98</v>
      </c>
      <c r="E86" s="501">
        <f>D86-$K17</f>
        <v>96</v>
      </c>
      <c r="F86" s="501">
        <f>E86-$K17</f>
        <v>94</v>
      </c>
      <c r="G86" s="501">
        <f>F86-$K17</f>
        <v>92</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2452</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2511</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2553</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2555</v>
      </c>
      <c r="C112" s="3218" t="s">
        <v>3222</v>
      </c>
      <c r="D112" s="3218" t="s">
        <v>3223</v>
      </c>
      <c r="E112" s="3218" t="s">
        <v>3224</v>
      </c>
      <c r="F112" s="3218" t="s">
        <v>3225</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2556</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43" zoomScale="80" zoomScaleNormal="60" zoomScaleSheetLayoutView="80" workbookViewId="0">
      <selection activeCell="D19" sqref="D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248</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1546</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30" ht="38.25" customHeight="1">
      <c r="A5" s="364"/>
      <c r="B5" s="365"/>
      <c r="C5" s="3459" t="s">
        <v>3202</v>
      </c>
      <c r="D5" s="3460"/>
      <c r="E5" s="3461" t="str">
        <f>土地案例!A2</f>
        <v>北京市平谷新城北部产业用地D02-01地块M1工业用地国有建设用地使用权出让公告</v>
      </c>
      <c r="F5" s="3462"/>
      <c r="G5" s="3459" t="str">
        <f>土地案例!A3</f>
        <v>北京市平谷新城北部产业用地F01地块M1工业用地国有建设用地使用权出让公告</v>
      </c>
      <c r="H5" s="3460"/>
      <c r="I5" s="3459" t="str">
        <f>土地案例!A4</f>
        <v>北京市平谷新城北部产业用地F05-05地块M2工业用地</v>
      </c>
      <c r="J5" s="3460"/>
      <c r="K5" s="567"/>
      <c r="L5" s="2910"/>
      <c r="M5" s="2911"/>
      <c r="N5" s="2911"/>
      <c r="O5" s="2911"/>
      <c r="P5" s="3448"/>
      <c r="Q5" s="3449"/>
      <c r="R5" s="3425"/>
      <c r="S5" s="3426"/>
      <c r="T5" s="3425"/>
      <c r="U5" s="3426"/>
      <c r="V5" s="3436"/>
      <c r="W5" s="3436"/>
      <c r="X5" s="1509"/>
      <c r="Y5" s="3425"/>
      <c r="Z5" s="3426"/>
      <c r="AA5" s="3441"/>
      <c r="AB5" s="3441"/>
      <c r="AC5" s="3441"/>
    </row>
    <row r="6" spans="1:30"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30" s="113" customFormat="1" ht="15.75" thickBot="1">
      <c r="A7" s="368" t="s">
        <v>2309</v>
      </c>
      <c r="B7" s="369"/>
      <c r="C7" s="370">
        <f>'数据-取费表'!B2</f>
        <v>44672</v>
      </c>
      <c r="D7" s="371">
        <v>100</v>
      </c>
      <c r="E7" s="372" t="str">
        <f>土地案例!K2</f>
        <v>2021-08-11</v>
      </c>
      <c r="F7" s="373">
        <f>SUMIF(70:70,YEAR(E7)&amp;"-"&amp;INT((MONTH(E7)+2)/3),71:71)</f>
        <v>94.690000000000012</v>
      </c>
      <c r="G7" s="2130" t="str">
        <f>土地案例!K3</f>
        <v>2021-08-11</v>
      </c>
      <c r="H7" s="371">
        <f>SUMIF(70:70,YEAR(G7)&amp;"-"&amp;INT((MONTH(G7)+2)/3),71:71)</f>
        <v>94.690000000000012</v>
      </c>
      <c r="I7" s="2130" t="str">
        <f>土地案例!K4</f>
        <v>2020-02-17</v>
      </c>
      <c r="J7" s="371">
        <f>SUMIF(70:70,YEAR(I7)&amp;"-"&amp;INT((MONTH(I7)+2)/3),71:71)</f>
        <v>84.070000000000036</v>
      </c>
      <c r="K7" s="568"/>
      <c r="L7" s="2912"/>
      <c r="M7" s="2913"/>
      <c r="N7" s="2913"/>
      <c r="O7" s="2913"/>
      <c r="P7" s="3421" t="s">
        <v>2310</v>
      </c>
      <c r="Q7" s="3431"/>
      <c r="R7" s="710" t="s">
        <v>17</v>
      </c>
      <c r="S7" s="711">
        <f t="shared" ref="S7:S15" si="0">F7</f>
        <v>94.690000000000012</v>
      </c>
      <c r="T7" s="710" t="s">
        <v>17</v>
      </c>
      <c r="U7" s="711">
        <f t="shared" ref="U7:U15" si="1">H7</f>
        <v>94.690000000000012</v>
      </c>
      <c r="V7" s="710" t="s">
        <v>17</v>
      </c>
      <c r="W7" s="711">
        <f t="shared" ref="W7:W15" si="2">J7</f>
        <v>84.070000000000036</v>
      </c>
      <c r="X7" s="712"/>
      <c r="Y7" s="3421" t="s">
        <v>2310</v>
      </c>
      <c r="Z7" s="3422"/>
      <c r="AA7" s="713">
        <f>D7/F7</f>
        <v>1.0560777273207307</v>
      </c>
      <c r="AB7" s="713">
        <f>D7/H7</f>
        <v>1.0560777273207307</v>
      </c>
      <c r="AC7" s="713">
        <f>D7/J7</f>
        <v>1.189484953015344</v>
      </c>
    </row>
    <row r="8" spans="1:30" s="113" customFormat="1" ht="15.75" thickBot="1">
      <c r="A8" s="368" t="s">
        <v>2311</v>
      </c>
      <c r="B8" s="369"/>
      <c r="C8" s="374" t="s">
        <v>2312</v>
      </c>
      <c r="D8" s="371">
        <v>100</v>
      </c>
      <c r="E8" s="374" t="s">
        <v>3169</v>
      </c>
      <c r="F8" s="373">
        <f>SUMIF(73:73,E8,74:74)-SUMIF(73:73,C8,74:74)+100</f>
        <v>100</v>
      </c>
      <c r="G8" s="374" t="s">
        <v>3169</v>
      </c>
      <c r="H8" s="371">
        <f>SUMIF(73:73,G8,74:74)-SUMIF(73:73,C8,74:74)+100</f>
        <v>100</v>
      </c>
      <c r="I8" s="374" t="s">
        <v>3169</v>
      </c>
      <c r="J8" s="371">
        <f>SUMIF(73:73,I8,74:74)-SUMIF(73:73,C8,74:74)+100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v>1.2</v>
      </c>
      <c r="D11" s="132">
        <v>100</v>
      </c>
      <c r="E11" s="388">
        <v>1.1000000000000001</v>
      </c>
      <c r="F11" s="132">
        <f>LOOKUP(E11,80:80,81:81)-LOOKUP(C11,80:80,81:81)+100</f>
        <v>100</v>
      </c>
      <c r="G11" s="389">
        <v>1</v>
      </c>
      <c r="H11" s="132">
        <f>LOOKUP(G11,80:80,81:81)-LOOKUP(C11,80:80,81:81)+100</f>
        <v>100</v>
      </c>
      <c r="I11" s="388">
        <v>1</v>
      </c>
      <c r="J11" s="132">
        <f>LOOKUP(I11,80:80,81:81)-LOOKUP(C11,80:80,81:81)+100</f>
        <v>100</v>
      </c>
      <c r="K11" s="629">
        <v>2</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8"/>
      <c r="Q20" s="1506"/>
      <c r="R20" s="714"/>
      <c r="S20" s="715"/>
      <c r="T20" s="714"/>
      <c r="U20" s="715"/>
      <c r="V20" s="714"/>
      <c r="W20" s="715"/>
      <c r="X20" s="1509"/>
      <c r="Y20" s="3438"/>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8"/>
      <c r="Q24" s="1506"/>
      <c r="R24" s="714"/>
      <c r="S24" s="715"/>
      <c r="T24" s="714"/>
      <c r="U24" s="715"/>
      <c r="V24" s="714"/>
      <c r="W24" s="715"/>
      <c r="X24" s="1509"/>
      <c r="Y24" s="3438"/>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8"/>
      <c r="Q26" s="1506"/>
      <c r="R26" s="714"/>
      <c r="S26" s="715"/>
      <c r="T26" s="714"/>
      <c r="U26" s="715"/>
      <c r="V26" s="714"/>
      <c r="W26" s="715"/>
      <c r="X26" s="1509"/>
      <c r="Y26" s="3438"/>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8"/>
      <c r="Q28" s="1497"/>
      <c r="R28" s="710"/>
      <c r="S28" s="711"/>
      <c r="T28" s="710"/>
      <c r="U28" s="711"/>
      <c r="V28" s="710"/>
      <c r="W28" s="711"/>
      <c r="X28" s="712"/>
      <c r="Y28" s="3438"/>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4"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v>96842</v>
      </c>
      <c r="D38" s="426">
        <v>100</v>
      </c>
      <c r="E38" s="635">
        <f>土地案例!D2</f>
        <v>7327.55</v>
      </c>
      <c r="F38" s="426">
        <f>LOOKUP(E38,117:117,118:118)-LOOKUP(C38,117:117,118:118)+100</f>
        <v>96</v>
      </c>
      <c r="G38" s="635">
        <f>土地案例!D3</f>
        <v>99235.68</v>
      </c>
      <c r="H38" s="426">
        <f>LOOKUP(G38,117:117,118:118)-LOOKUP(C38,117:117,118:118)+100</f>
        <v>100</v>
      </c>
      <c r="I38" s="487">
        <f>土地案例!D4</f>
        <v>30231.14</v>
      </c>
      <c r="J38" s="426">
        <f>LOOKUP(I38,117:117,118:118)-LOOKUP(C38,117:117,118:118)+100</f>
        <v>99</v>
      </c>
      <c r="K38" s="570"/>
      <c r="L38" s="2917"/>
      <c r="M38" s="2911"/>
      <c r="N38" s="2911"/>
      <c r="O38" s="2969"/>
      <c r="P38" s="3439"/>
      <c r="Q38" s="1506" t="str">
        <f>B38</f>
        <v>宗地面积</v>
      </c>
      <c r="R38" s="714" t="s">
        <v>17</v>
      </c>
      <c r="S38" s="715">
        <f t="shared" si="10"/>
        <v>96</v>
      </c>
      <c r="T38" s="714" t="s">
        <v>17</v>
      </c>
      <c r="U38" s="715">
        <f t="shared" si="11"/>
        <v>100</v>
      </c>
      <c r="V38" s="714" t="s">
        <v>17</v>
      </c>
      <c r="W38" s="715">
        <f t="shared" si="12"/>
        <v>99</v>
      </c>
      <c r="X38" s="1509"/>
      <c r="Y38" s="3439"/>
      <c r="Z38" s="1510" t="str">
        <f t="shared" si="13"/>
        <v>宗地面积</v>
      </c>
      <c r="AA38" s="1507">
        <f t="shared" si="3"/>
        <v>1.0416666666666667</v>
      </c>
      <c r="AB38" s="1507">
        <f t="shared" si="4"/>
        <v>1</v>
      </c>
      <c r="AC38" s="1507">
        <f t="shared" si="5"/>
        <v>1.0101010101010102</v>
      </c>
    </row>
    <row r="39" spans="1:29" ht="15">
      <c r="A39" s="431"/>
      <c r="B39" s="381" t="s">
        <v>2513</v>
      </c>
      <c r="C39" s="2062" t="s">
        <v>3204</v>
      </c>
      <c r="D39" s="394">
        <v>100</v>
      </c>
      <c r="E39" s="2062" t="s">
        <v>3204</v>
      </c>
      <c r="F39" s="394">
        <f>SUMIF(119:119,E39,120:120)-SUMIF(119:119,C39,120:120)+100</f>
        <v>100</v>
      </c>
      <c r="G39" s="2062" t="s">
        <v>3204</v>
      </c>
      <c r="H39" s="394">
        <f>SUMIF(119:119,G39,120:120)-SUMIF(119:119,C39,120:120)+100</f>
        <v>100</v>
      </c>
      <c r="I39" s="2062" t="s">
        <v>3204</v>
      </c>
      <c r="J39" s="394">
        <f>SUMIF(119:119,I39,120:120)-SUMIF(119:119,C39,120:120)+100</f>
        <v>100</v>
      </c>
      <c r="K39" s="569">
        <v>2</v>
      </c>
      <c r="L39" s="2917"/>
      <c r="M39" s="2911"/>
      <c r="N39" s="2911"/>
      <c r="O39" s="2969"/>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t="s">
        <v>3209</v>
      </c>
      <c r="D41" s="132">
        <v>100</v>
      </c>
      <c r="E41" s="2136" t="s">
        <v>3209</v>
      </c>
      <c r="F41" s="394">
        <f>SUMIF(123:123,E41,124:124)-SUMIF(123:123,C41,124:124)+100</f>
        <v>100</v>
      </c>
      <c r="G41" s="2136" t="s">
        <v>3209</v>
      </c>
      <c r="H41" s="394">
        <f>SUMIF(123:123,G41,124:124)-SUMIF(123:123,C41,124:124)+100</f>
        <v>100</v>
      </c>
      <c r="I41" s="2136" t="s">
        <v>3207</v>
      </c>
      <c r="J41" s="394">
        <f>SUMIF(123:123,I41,124:124)-SUMIF(123:123,C41,124:124)+100</f>
        <v>101</v>
      </c>
      <c r="K41" s="569">
        <v>1</v>
      </c>
      <c r="L41" s="2912"/>
      <c r="M41" s="2913"/>
      <c r="N41" s="2913"/>
      <c r="O41" s="2967"/>
      <c r="P41" s="3439"/>
      <c r="Q41" s="1506" t="str">
        <f t="shared" si="14"/>
        <v>宗地开发程度</v>
      </c>
      <c r="R41" s="710" t="s">
        <v>17</v>
      </c>
      <c r="S41" s="711">
        <f t="shared" si="10"/>
        <v>100</v>
      </c>
      <c r="T41" s="710" t="s">
        <v>17</v>
      </c>
      <c r="U41" s="711">
        <f t="shared" si="11"/>
        <v>100</v>
      </c>
      <c r="V41" s="710" t="s">
        <v>17</v>
      </c>
      <c r="W41" s="711">
        <f t="shared" si="12"/>
        <v>101</v>
      </c>
      <c r="X41" s="712"/>
      <c r="Y41" s="3439"/>
      <c r="Z41" s="55" t="str">
        <f t="shared" si="13"/>
        <v>宗地开发程度</v>
      </c>
      <c r="AA41" s="713">
        <f t="shared" si="3"/>
        <v>1</v>
      </c>
      <c r="AB41" s="713">
        <f t="shared" si="4"/>
        <v>1</v>
      </c>
      <c r="AC41" s="713">
        <f t="shared" si="5"/>
        <v>0.99009900990099009</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f>土地案例!V2</f>
        <v>1431</v>
      </c>
      <c r="F46" s="442"/>
      <c r="G46" s="443">
        <f>土地案例!V3</f>
        <v>1527</v>
      </c>
      <c r="H46" s="444"/>
      <c r="I46" s="441">
        <f>土地案例!V4</f>
        <v>1416</v>
      </c>
      <c r="J46" s="444"/>
      <c r="K46" s="723"/>
      <c r="L46" s="2919"/>
      <c r="M46" s="2920"/>
      <c r="N46" s="2911"/>
      <c r="O46" s="2920"/>
      <c r="P46" s="3419" t="str">
        <f>A46</f>
        <v>成交单价</v>
      </c>
      <c r="Q46" s="3419"/>
      <c r="R46" s="3436">
        <f>E46</f>
        <v>1431</v>
      </c>
      <c r="S46" s="3436"/>
      <c r="T46" s="3436">
        <f>G46</f>
        <v>1527</v>
      </c>
      <c r="U46" s="3436"/>
      <c r="V46" s="3436">
        <f>I46</f>
        <v>1416</v>
      </c>
      <c r="W46" s="3436"/>
      <c r="X46" s="699"/>
      <c r="Y46" s="721"/>
      <c r="Z46" s="699"/>
      <c r="AA46" s="699"/>
      <c r="AB46" s="699"/>
      <c r="AC46" s="699"/>
    </row>
    <row r="47" spans="1:29" ht="15.75" thickBot="1">
      <c r="A47" s="445" t="s">
        <v>2430</v>
      </c>
      <c r="B47" s="639"/>
      <c r="C47" s="448">
        <f>R48</f>
        <v>1546</v>
      </c>
      <c r="D47" s="2508" t="s">
        <v>2820</v>
      </c>
      <c r="E47" s="448">
        <f>R47</f>
        <v>1499</v>
      </c>
      <c r="F47" s="2509"/>
      <c r="G47" s="447">
        <f>T47</f>
        <v>1536</v>
      </c>
      <c r="H47" s="2509"/>
      <c r="I47" s="448">
        <f>V47</f>
        <v>1604</v>
      </c>
      <c r="J47" s="2509"/>
      <c r="K47" s="2511">
        <f>F47+H47+J47</f>
        <v>0</v>
      </c>
      <c r="L47" s="2919"/>
      <c r="M47" s="2920"/>
      <c r="N47" s="2920"/>
      <c r="O47" s="2920"/>
      <c r="P47" s="3419" t="str">
        <f>A47</f>
        <v>比较价值（元/平方米）</v>
      </c>
      <c r="Q47" s="3419"/>
      <c r="R47" s="3458">
        <f>ROUND(PRODUCT(R46,AA7:AA45),0)</f>
        <v>1499</v>
      </c>
      <c r="S47" s="3458"/>
      <c r="T47" s="3458">
        <f>ROUND(PRODUCT(T46,AB7:AB45),0)</f>
        <v>1536</v>
      </c>
      <c r="U47" s="3458"/>
      <c r="V47" s="3458">
        <f>ROUND(PRODUCT(V46,AC7:AC45),0)</f>
        <v>1604</v>
      </c>
      <c r="W47" s="3458"/>
      <c r="X47" s="699"/>
      <c r="Y47" s="699"/>
      <c r="Z47" s="699"/>
      <c r="AA47" s="699"/>
      <c r="AB47" s="699"/>
      <c r="AC47" s="699"/>
    </row>
    <row r="48" spans="1:29" ht="15.75" thickBot="1">
      <c r="A48" s="449" t="s">
        <v>2518</v>
      </c>
      <c r="B48" s="450"/>
      <c r="C48" s="451">
        <f>R48</f>
        <v>1546</v>
      </c>
      <c r="D48" s="451"/>
      <c r="E48" s="451"/>
      <c r="F48" s="451"/>
      <c r="G48" s="451"/>
      <c r="H48" s="451"/>
      <c r="I48" s="451"/>
      <c r="J48" s="451"/>
      <c r="K48" s="724"/>
      <c r="L48" s="2919"/>
      <c r="M48" s="2920"/>
      <c r="N48" s="2920"/>
      <c r="O48" s="2920"/>
      <c r="P48" s="3455" t="str">
        <f>A48</f>
        <v>估价对象XX用房的比较价值（楼面单价，元/平方米）</v>
      </c>
      <c r="Q48" s="3456"/>
      <c r="R48" s="3457">
        <f>ROUND(IF(D47="简单平均",AVERAGE(R47:W47),R47*F47+T47*H47+V47*J47),0)</f>
        <v>1546</v>
      </c>
      <c r="S48" s="3457"/>
      <c r="T48" s="3457"/>
      <c r="U48" s="3457"/>
      <c r="V48" s="3457"/>
      <c r="W48" s="345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2432</v>
      </c>
      <c r="D51" s="455"/>
      <c r="E51" s="456">
        <f>IF(E46&lt;E47,E47/E46-1,E46/E47-1)</f>
        <v>4.7519217330538099E-2</v>
      </c>
      <c r="F51" s="457" t="str">
        <f>IF(OR(E51&gt;=0.3,E51&lt;=-0.3),"超过30%","")</f>
        <v/>
      </c>
      <c r="G51" s="456">
        <f>IF(G46&lt;G47,G47/G46-1,G46/G47-1)</f>
        <v>5.893909626718985E-3</v>
      </c>
      <c r="H51" s="457" t="str">
        <f>IF(OR(G51&gt;=0.3,G51&lt;=-0.3),"超过30%","")</f>
        <v/>
      </c>
      <c r="I51" s="456">
        <f>IF(I46&lt;I47,I47/I46-1,I46/I47-1)</f>
        <v>0.13276836158192085</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2433</v>
      </c>
      <c r="D52" s="458"/>
      <c r="E52" s="456">
        <f>IF(E47&lt;G47,G47/E47-1,E47/G47-1)</f>
        <v>2.4683122081387676E-2</v>
      </c>
      <c r="F52" s="457" t="str">
        <f>IF(OR(E52&gt;=0.2,E52&lt;=-0.2),"超过20%","")</f>
        <v/>
      </c>
      <c r="G52" s="456">
        <f>IF(G47&lt;I47,I47/G47-1,G47/I47-1)</f>
        <v>4.4270833333333259E-2</v>
      </c>
      <c r="H52" s="457" t="str">
        <f>IF(OR(G52&gt;=0.2,G52&lt;=-0.2),"超过20%","")</f>
        <v/>
      </c>
      <c r="I52" s="456">
        <f>IF(I47&lt;E47,E47/I47-1,I47/E47-1)</f>
        <v>7.0046697798532342E-2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2434</v>
      </c>
      <c r="D53" s="458"/>
      <c r="E53" s="456">
        <f>IF(E46&lt;G46,G46/E46-1,E46/G46-1)</f>
        <v>6.7085953878406768E-2</v>
      </c>
      <c r="F53" s="457" t="str">
        <f>IF(OR(E53&gt;=0.3,E53&lt;=-0.3),"超过30%","")</f>
        <v/>
      </c>
      <c r="G53" s="456">
        <f>IF(G46&lt;I46,I46/G46-1,G46/I46-1)</f>
        <v>7.8389830508474478E-2</v>
      </c>
      <c r="H53" s="457" t="str">
        <f>IF(OR(G53&gt;=0.3,G53&lt;=-0.3),"超过30%","")</f>
        <v/>
      </c>
      <c r="I53" s="456">
        <f>IF(I46&lt;E46,E46/I46-1,I46/E46-1)</f>
        <v>1.0593220338983134E-2</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2519</v>
      </c>
      <c r="B55" s="641" t="s">
        <v>2520</v>
      </c>
      <c r="C55" s="2139" t="s">
        <v>2521</v>
      </c>
      <c r="D55" s="2140" t="s">
        <v>2522</v>
      </c>
      <c r="E55" s="642" t="s">
        <v>2523</v>
      </c>
      <c r="F55" s="1021" t="s">
        <v>2524</v>
      </c>
      <c r="G55" s="3416" t="s">
        <v>2525</v>
      </c>
      <c r="H55" s="3417"/>
      <c r="I55" s="140" t="s">
        <v>2526</v>
      </c>
      <c r="J55" s="2141">
        <f>项目基本情况!F35</f>
        <v>0</v>
      </c>
      <c r="K55" s="2142" t="s">
        <v>2527</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2528</v>
      </c>
      <c r="B56" s="645">
        <f>C48</f>
        <v>1546</v>
      </c>
      <c r="C56" s="646">
        <v>1</v>
      </c>
      <c r="D56" s="1075">
        <v>1</v>
      </c>
      <c r="E56" s="646">
        <f>'数据-汇总表'!E8+'数据-汇总表'!E9</f>
        <v>1604.01</v>
      </c>
      <c r="F56" s="1017">
        <f t="shared" ref="F56:F65" si="15">ROUND(B56*E56/10000,0)</f>
        <v>248</v>
      </c>
      <c r="G56" s="3418"/>
      <c r="H56" s="341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2529</v>
      </c>
      <c r="B57" s="224">
        <f>ROUND($C$48*C57*D57,0)</f>
        <v>0</v>
      </c>
      <c r="C57" s="176">
        <f t="shared" ref="C57:C65" si="16">IF($C$55="北京市系数",I57,J57)</f>
        <v>0</v>
      </c>
      <c r="D57" s="1076">
        <v>0.25</v>
      </c>
      <c r="E57" s="650"/>
      <c r="F57" s="1017">
        <f t="shared" si="15"/>
        <v>0</v>
      </c>
      <c r="G57" s="3420" t="s">
        <v>2530</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2531</v>
      </c>
      <c r="B58" s="224">
        <f t="shared" ref="B58:B65" si="17">ROUND($C$48*C58*D58,0)</f>
        <v>0</v>
      </c>
      <c r="C58" s="176">
        <f t="shared" si="16"/>
        <v>0</v>
      </c>
      <c r="D58" s="1076">
        <v>0.25</v>
      </c>
      <c r="E58" s="650"/>
      <c r="F58" s="1017">
        <f t="shared" si="15"/>
        <v>0</v>
      </c>
      <c r="G58" s="342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2532</v>
      </c>
      <c r="B59" s="224">
        <f t="shared" si="17"/>
        <v>0</v>
      </c>
      <c r="C59" s="176">
        <f t="shared" si="16"/>
        <v>0</v>
      </c>
      <c r="D59" s="1076">
        <v>0.25</v>
      </c>
      <c r="E59" s="650"/>
      <c r="F59" s="1017">
        <f t="shared" si="15"/>
        <v>0</v>
      </c>
      <c r="G59" s="342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2533</v>
      </c>
      <c r="B60" s="224">
        <f t="shared" si="17"/>
        <v>0</v>
      </c>
      <c r="C60" s="176">
        <f t="shared" si="16"/>
        <v>0</v>
      </c>
      <c r="D60" s="1076">
        <v>0.25</v>
      </c>
      <c r="E60" s="650"/>
      <c r="F60" s="1017">
        <f t="shared" si="15"/>
        <v>0</v>
      </c>
      <c r="G60" s="342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2542</v>
      </c>
      <c r="B66" s="652" t="s">
        <v>28</v>
      </c>
      <c r="C66" s="652" t="s">
        <v>29</v>
      </c>
      <c r="D66" s="652" t="s">
        <v>997</v>
      </c>
      <c r="E66" s="652">
        <f>IF(B46="楼面地价",SUM(E56:E65),'数据-汇总表'!D3)</f>
        <v>1604.01</v>
      </c>
      <c r="F66" s="653">
        <f>IF(B46="楼面地价",SUM(F56:F65),ROUND(C48*E66/10000,0))</f>
        <v>248</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0"/>
      <c r="Q68" s="2920"/>
      <c r="R68" s="2920"/>
      <c r="S68" s="2920"/>
      <c r="T68" s="2920"/>
      <c r="U68" s="2920"/>
      <c r="V68" s="2920"/>
      <c r="W68" s="2920"/>
      <c r="X68" s="2920"/>
      <c r="Y68" s="2920"/>
      <c r="Z68" s="2920"/>
      <c r="AA68" s="2920"/>
      <c r="AB68" s="2920"/>
      <c r="AC68" s="2920"/>
    </row>
    <row r="69" spans="1:29" ht="21.75" thickBot="1">
      <c r="A69" s="703" t="s">
        <v>2435</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1"/>
      <c r="Q70" s="2936"/>
      <c r="R70" s="2936"/>
      <c r="S70" s="2936"/>
      <c r="T70" s="2936"/>
      <c r="U70" s="2936"/>
      <c r="V70" s="2936"/>
      <c r="W70" s="2936"/>
      <c r="X70" s="2936"/>
      <c r="Y70" s="2936"/>
      <c r="Z70" s="2936"/>
      <c r="AA70" s="2936"/>
      <c r="AB70" s="2936"/>
      <c r="AC70" s="2936"/>
    </row>
    <row r="71" spans="1:29" s="113" customFormat="1" ht="30" customHeight="1">
      <c r="A71" s="2146" t="s">
        <v>2544</v>
      </c>
      <c r="B71" s="294" t="str">
        <f>"北京市平均增长率"&amp;TEXT(SUMIF(基准地价修正!N21:N25,A71,基准地价修正!P21:P25),"0.00%")</f>
        <v>北京市平均增长率0.00%</v>
      </c>
      <c r="C71" s="560">
        <v>100</v>
      </c>
      <c r="D71" s="552">
        <f>C71-$C$72</f>
        <v>98.23</v>
      </c>
      <c r="E71" s="552">
        <f t="shared" ref="E71:M71" si="20">D71-$C$72</f>
        <v>96.460000000000008</v>
      </c>
      <c r="F71" s="552">
        <f t="shared" si="20"/>
        <v>94.690000000000012</v>
      </c>
      <c r="G71" s="552">
        <f t="shared" si="20"/>
        <v>92.920000000000016</v>
      </c>
      <c r="H71" s="552">
        <f t="shared" si="20"/>
        <v>91.15000000000002</v>
      </c>
      <c r="I71" s="552">
        <f t="shared" si="20"/>
        <v>89.380000000000024</v>
      </c>
      <c r="J71" s="552">
        <f t="shared" si="20"/>
        <v>87.610000000000028</v>
      </c>
      <c r="K71" s="552">
        <f t="shared" si="20"/>
        <v>85.840000000000032</v>
      </c>
      <c r="L71" s="552">
        <f t="shared" si="20"/>
        <v>84.070000000000036</v>
      </c>
      <c r="M71" s="552">
        <f t="shared" si="20"/>
        <v>82.30000000000004</v>
      </c>
      <c r="N71" s="552"/>
      <c r="O71" s="1313"/>
      <c r="P71" s="2934"/>
      <c r="Q71" s="2854"/>
      <c r="R71" s="2854"/>
      <c r="S71" s="2854"/>
      <c r="T71" s="2854"/>
      <c r="U71" s="2854"/>
      <c r="V71" s="2854"/>
      <c r="W71" s="2854"/>
      <c r="X71" s="2854"/>
      <c r="Y71" s="2854"/>
      <c r="Z71" s="2854"/>
      <c r="AA71" s="2854"/>
      <c r="AB71" s="2854"/>
      <c r="AC71" s="2854"/>
    </row>
    <row r="72" spans="1:29" s="113" customFormat="1" ht="15.75" thickBot="1">
      <c r="A72" s="472" t="s">
        <v>2346</v>
      </c>
      <c r="B72" s="473"/>
      <c r="C72" s="474">
        <v>1.77</v>
      </c>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5">
      <c r="A73" s="478" t="s">
        <v>2311</v>
      </c>
      <c r="B73" s="467"/>
      <c r="C73" s="479" t="s">
        <v>2413</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2349</v>
      </c>
      <c r="B75" s="485" t="s">
        <v>2315</v>
      </c>
      <c r="C75" s="3216" t="s">
        <v>3203</v>
      </c>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2318</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2319</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2320</v>
      </c>
      <c r="B88" s="485" t="s">
        <v>2357</v>
      </c>
      <c r="C88" s="530" t="s">
        <v>2358</v>
      </c>
      <c r="D88" s="530" t="s">
        <v>2359</v>
      </c>
      <c r="E88" s="530" t="s">
        <v>2360</v>
      </c>
      <c r="F88" s="530" t="s">
        <v>2361</v>
      </c>
      <c r="G88" s="530" t="s">
        <v>2362</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2545</v>
      </c>
      <c r="C90" s="535" t="s">
        <v>2358</v>
      </c>
      <c r="D90" s="535" t="s">
        <v>2359</v>
      </c>
      <c r="E90" s="535" t="s">
        <v>2360</v>
      </c>
      <c r="F90" s="535" t="s">
        <v>2361</v>
      </c>
      <c r="G90" s="535" t="s">
        <v>2362</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2458</v>
      </c>
      <c r="C92" s="535" t="s">
        <v>2358</v>
      </c>
      <c r="D92" s="535" t="s">
        <v>2359</v>
      </c>
      <c r="E92" s="535" t="s">
        <v>2360</v>
      </c>
      <c r="F92" s="535" t="s">
        <v>2361</v>
      </c>
      <c r="G92" s="535" t="s">
        <v>2362</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2363</v>
      </c>
      <c r="C94" s="535" t="s">
        <v>2358</v>
      </c>
      <c r="D94" s="535" t="s">
        <v>2359</v>
      </c>
      <c r="E94" s="535" t="s">
        <v>2360</v>
      </c>
      <c r="F94" s="535" t="s">
        <v>2361</v>
      </c>
      <c r="G94" s="535" t="s">
        <v>2362</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2452</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2511</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2324</v>
      </c>
      <c r="B116" s="485" t="s">
        <v>2552</v>
      </c>
      <c r="C116" s="486" t="str">
        <f>C117&amp;"(含)"&amp;"-"&amp;D117</f>
        <v>0(含)-10000</v>
      </c>
      <c r="D116" s="486" t="str">
        <f t="shared" ref="D116:M116" si="26">D117&amp;"(含)"&amp;"-"&amp;E117</f>
        <v>10000(含)-20000</v>
      </c>
      <c r="E116" s="486" t="str">
        <f t="shared" si="26"/>
        <v>20000(含)-30000</v>
      </c>
      <c r="F116" s="486" t="str">
        <f t="shared" si="26"/>
        <v>30000(含)-40000</v>
      </c>
      <c r="G116" s="486" t="str">
        <f t="shared" si="26"/>
        <v>40000(含)-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10000</v>
      </c>
      <c r="E117" s="552">
        <v>20000</v>
      </c>
      <c r="F117" s="552">
        <v>30000</v>
      </c>
      <c r="G117" s="552">
        <v>40000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101</v>
      </c>
      <c r="E118" s="548">
        <v>102</v>
      </c>
      <c r="F118" s="548">
        <v>103</v>
      </c>
      <c r="G118" s="548">
        <v>104</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2553</v>
      </c>
      <c r="C119" s="3217" t="s">
        <v>3205</v>
      </c>
      <c r="D119" s="3217" t="s">
        <v>3206</v>
      </c>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2554</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2555</v>
      </c>
      <c r="C123" s="3218" t="s">
        <v>3208</v>
      </c>
      <c r="D123" s="3218" t="s">
        <v>3210</v>
      </c>
      <c r="E123" s="3218" t="s">
        <v>3211</v>
      </c>
      <c r="F123" s="3218" t="s">
        <v>3212</v>
      </c>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2556</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B1" zoomScale="80" zoomScaleNormal="70" zoomScaleSheetLayoutView="80" workbookViewId="0">
      <selection activeCell="G5" sqref="G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42.03</v>
      </c>
      <c r="G1" s="1532">
        <f>MATCH(C1,'数据-取费表'!A6:A16,0)+5</f>
        <v>6</v>
      </c>
      <c r="H1" s="2887">
        <f ca="1">66/F7/365*10000</f>
        <v>1.1273116614498613</v>
      </c>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1003</v>
      </c>
      <c r="C2" s="1541" t="s">
        <v>1421</v>
      </c>
      <c r="D2" s="1541"/>
      <c r="E2" s="1542"/>
      <c r="F2" s="1543"/>
      <c r="G2" s="2901"/>
      <c r="H2" s="2890"/>
      <c r="I2" s="2890" t="s">
        <v>3230</v>
      </c>
      <c r="J2" s="2890"/>
      <c r="K2" s="2891"/>
      <c r="L2" s="2890"/>
      <c r="M2" s="2890"/>
    </row>
    <row r="3" spans="1:37" ht="18" customHeight="1" thickBot="1">
      <c r="A3" s="1544" t="s">
        <v>1422</v>
      </c>
      <c r="B3" s="1545">
        <f ca="1">IF(ISERROR(B2*10000/F43),0,ROUND(B2*10000/F43,0))</f>
        <v>6253</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63</v>
      </c>
      <c r="D5" s="1518" t="s">
        <v>1307</v>
      </c>
      <c r="E5" s="1203"/>
      <c r="F5" s="1204"/>
      <c r="G5" s="1538"/>
      <c r="H5" s="305">
        <v>1</v>
      </c>
      <c r="I5" s="306" t="s">
        <v>1306</v>
      </c>
      <c r="J5" s="1202">
        <f ca="1">J6+J10+J12</f>
        <v>0</v>
      </c>
      <c r="K5" s="1518" t="s">
        <v>1307</v>
      </c>
      <c r="L5" s="1203"/>
      <c r="M5" s="1204"/>
    </row>
    <row r="6" spans="1:37" ht="18" customHeight="1">
      <c r="A6" s="1201" t="s">
        <v>1003</v>
      </c>
      <c r="B6" s="3465" t="s">
        <v>1308</v>
      </c>
      <c r="C6" s="1206">
        <f ca="1">ROUND(F6*F8*F7*(1-F9)/10000,0)</f>
        <v>63</v>
      </c>
      <c r="D6" s="160" t="s">
        <v>2790</v>
      </c>
      <c r="E6" s="308" t="s">
        <v>1310</v>
      </c>
      <c r="F6" s="309">
        <f ca="1">INDIRECT("'数据-取费表'!u"&amp;$G$1)</f>
        <v>1.2</v>
      </c>
      <c r="G6" s="1538"/>
      <c r="H6" s="1201" t="s">
        <v>1003</v>
      </c>
      <c r="I6" s="3465" t="s">
        <v>1308</v>
      </c>
      <c r="J6" s="307">
        <f ca="1">ROUND(M6*M8*M7*(1-M9)/10000,0)</f>
        <v>0</v>
      </c>
      <c r="K6" s="160" t="s">
        <v>2789</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1604.01</v>
      </c>
      <c r="G7" s="1538"/>
      <c r="H7" s="310"/>
      <c r="I7" s="3466"/>
      <c r="J7" s="312"/>
      <c r="K7" s="313"/>
      <c r="L7" s="308" t="s">
        <v>1311</v>
      </c>
      <c r="M7" s="309">
        <f ca="1">F7</f>
        <v>1604.01</v>
      </c>
    </row>
    <row r="8" spans="1:37" ht="18" customHeight="1">
      <c r="A8" s="310"/>
      <c r="B8" s="3466"/>
      <c r="C8" s="312"/>
      <c r="D8" s="313"/>
      <c r="E8" s="308" t="s">
        <v>1312</v>
      </c>
      <c r="F8" s="309">
        <f ca="1">INDIRECT("'数据-取费表'!ai"&amp;$G$1)</f>
        <v>365</v>
      </c>
      <c r="G8" s="1538"/>
      <c r="H8" s="310"/>
      <c r="I8" s="3466"/>
      <c r="J8" s="312"/>
      <c r="K8" s="313"/>
      <c r="L8" s="308" t="s">
        <v>1312</v>
      </c>
      <c r="M8" s="309">
        <f ca="1">INDIRECT("'数据-取费表'!ai"&amp;$G$1)</f>
        <v>365</v>
      </c>
    </row>
    <row r="9" spans="1:37" ht="18" customHeight="1">
      <c r="A9" s="310"/>
      <c r="B9" s="3467"/>
      <c r="C9" s="312"/>
      <c r="D9" s="313"/>
      <c r="E9" s="308" t="s">
        <v>1313</v>
      </c>
      <c r="F9" s="318">
        <f ca="1">INDIRECT("'数据-取费表'!w"&amp;$G$1)</f>
        <v>0.1</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3178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834</v>
      </c>
      <c r="D13" s="1213" t="s">
        <v>1320</v>
      </c>
      <c r="E13" s="1213" t="s">
        <v>1321</v>
      </c>
      <c r="F13" s="1214">
        <f ca="1">INDIRECT("'数据-取费表'!y"&amp;$G$1)</f>
        <v>0.94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642</v>
      </c>
      <c r="D14" s="1499" t="s">
        <v>1323</v>
      </c>
      <c r="E14" s="1496"/>
      <c r="F14" s="325"/>
      <c r="G14" s="1538"/>
      <c r="H14" s="1113" t="s">
        <v>1003</v>
      </c>
      <c r="I14" s="308" t="s">
        <v>1324</v>
      </c>
      <c r="J14" s="24">
        <f ca="1">C29</f>
        <v>887</v>
      </c>
      <c r="K14" s="15"/>
      <c r="L14" s="916"/>
      <c r="M14" s="917"/>
    </row>
    <row r="15" spans="1:37" s="1551" customFormat="1" ht="18" customHeight="1" thickBot="1">
      <c r="A15" s="1113" t="s">
        <v>1004</v>
      </c>
      <c r="B15" s="308" t="s">
        <v>1325</v>
      </c>
      <c r="C15" s="24">
        <f ca="1">ROUND(C14*F15,0)</f>
        <v>19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16</v>
      </c>
      <c r="K16" s="1219" t="s">
        <v>1330</v>
      </c>
      <c r="L16" s="1220"/>
      <c r="M16" s="1204"/>
    </row>
    <row r="17" spans="1:37" s="1551" customFormat="1" ht="18" customHeight="1">
      <c r="A17" s="1113" t="s">
        <v>1295</v>
      </c>
      <c r="B17" s="308" t="s">
        <v>1331</v>
      </c>
      <c r="C17" s="24">
        <f ca="1">ROUND(F17*(F43+INDIRECT("'数据-取费表'!S"&amp;$G$1))/10000,0)</f>
        <v>32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703</v>
      </c>
      <c r="D19" s="136" t="s">
        <v>1341</v>
      </c>
      <c r="E19" s="1514"/>
      <c r="F19" s="26"/>
      <c r="G19" s="1538"/>
      <c r="H19" s="1113" t="s">
        <v>1004</v>
      </c>
      <c r="I19" s="308" t="s">
        <v>1342</v>
      </c>
      <c r="J19" s="24">
        <f ca="1">IF(K19="按租金收入计税",ROUND(J6*M19/(1+'数据-取费表'!C42),2),ROUND(C29*M19*0.7,2))</f>
        <v>7.45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14</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8.9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31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-16</v>
      </c>
      <c r="K25" s="1227" t="s">
        <v>1369</v>
      </c>
      <c r="L25" s="1228"/>
      <c r="M25" s="1229"/>
    </row>
    <row r="26" spans="1:37">
      <c r="A26" s="1113" t="s">
        <v>1002</v>
      </c>
      <c r="B26" s="308" t="s">
        <v>1370</v>
      </c>
      <c r="C26" s="24">
        <f ca="1">ROUND((C19+C20)*F26,0)</f>
        <v>72</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887</v>
      </c>
      <c r="D29" s="1224"/>
      <c r="E29" s="1222"/>
      <c r="F29" s="1225"/>
      <c r="G29" s="1550"/>
      <c r="H29" s="340" t="s">
        <v>1001</v>
      </c>
      <c r="I29" s="341" t="s">
        <v>1384</v>
      </c>
      <c r="J29" s="342">
        <f ca="1">ROUND(J26/(1+F40)^F41,0)</f>
        <v>0</v>
      </c>
      <c r="K29" s="343" t="s">
        <v>1385</v>
      </c>
      <c r="L29" s="344"/>
      <c r="M29" s="345">
        <f ca="1">INDIRECT("'数据-取费表'!k"&amp;$G$1)</f>
        <v>1604.01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21</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11</v>
      </c>
      <c r="D31" s="1499" t="s">
        <v>1335</v>
      </c>
      <c r="E31" s="1498" t="s">
        <v>1386</v>
      </c>
      <c r="F31" s="2503" t="str">
        <f>IF(项目基本情况!B11="企业","——",IF('数据-取费表'!B10="住宅",IF(F6*F7*F8/12/(1+'数据-取费表'!F30)&gt;100000,4%,2.5%),IF(F6*F7*F8/12/(1+'数据-取费表'!F30)&gt;100000,12%,7%)))</f>
        <v>——</v>
      </c>
      <c r="G31" s="1538"/>
      <c r="H31" s="3005" t="s">
        <v>2985</v>
      </c>
      <c r="I31" s="1552"/>
      <c r="J31" s="1553"/>
      <c r="K31" s="2667"/>
      <c r="L31" s="2893"/>
      <c r="M31" s="2894"/>
    </row>
    <row r="32" spans="1:37" ht="18" customHeight="1">
      <c r="A32" s="1113" t="s">
        <v>1002</v>
      </c>
      <c r="B32" s="308" t="s">
        <v>1338</v>
      </c>
      <c r="C32" s="24">
        <f ca="1">IF(项目基本情况!B11="自然人","——",ROUND(C6*F32/(1+'数据-取费表'!C42),2))</f>
        <v>3.3</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7.2</v>
      </c>
      <c r="D33" s="1524" t="s">
        <v>3227</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ROUND(C29*F36,1)</f>
        <v>8.9</v>
      </c>
      <c r="D36" s="1498" t="s">
        <v>1387</v>
      </c>
      <c r="E36" s="308" t="s">
        <v>1327</v>
      </c>
      <c r="F36" s="334">
        <f ca="1">INDIRECT("'数据-取费表'!Ak"&amp;$G$1)</f>
        <v>0.01</v>
      </c>
      <c r="G36" s="1538"/>
      <c r="H36" s="2895"/>
      <c r="I36" s="1552">
        <f>1416*40%/(1+7.5%)^42.27</f>
        <v>26.637131871867037</v>
      </c>
      <c r="J36" s="1553"/>
      <c r="K36" s="2736"/>
      <c r="L36" s="2895"/>
      <c r="M36" s="2895"/>
    </row>
    <row r="37" spans="1:18" ht="18" customHeight="1">
      <c r="A37" s="1113" t="s">
        <v>1043</v>
      </c>
      <c r="B37" s="308" t="s">
        <v>1358</v>
      </c>
      <c r="C37" s="24">
        <f ca="1">ROUND(C13*F37,1)</f>
        <v>0.8</v>
      </c>
      <c r="D37" s="1498" t="s">
        <v>1359</v>
      </c>
      <c r="E37" s="308" t="s">
        <v>1360</v>
      </c>
      <c r="F37" s="336">
        <f ca="1">INDIRECT("'数据-取费表'!Al"&amp;$G$1)</f>
        <v>1E-3</v>
      </c>
      <c r="G37" s="1538"/>
      <c r="H37" s="2895"/>
      <c r="I37" s="1552"/>
      <c r="J37" s="1553"/>
      <c r="K37" s="2736"/>
      <c r="L37" s="2895"/>
      <c r="M37" s="2895"/>
    </row>
    <row r="38" spans="1:18" ht="18" customHeight="1" thickBot="1">
      <c r="A38" s="1221" t="s">
        <v>1298</v>
      </c>
      <c r="B38" s="1222" t="s">
        <v>1344</v>
      </c>
      <c r="C38" s="1223">
        <f ca="1">ROUND(C5*F38,1)</f>
        <v>0.6</v>
      </c>
      <c r="D38" s="1224" t="s">
        <v>1364</v>
      </c>
      <c r="E38" s="1222" t="s">
        <v>1360</v>
      </c>
      <c r="F38" s="1218">
        <f ca="1">INDIRECT("'数据-取费表'!Am"&amp;$G$1)</f>
        <v>0.01</v>
      </c>
      <c r="G38" s="1538"/>
      <c r="H38" s="2895"/>
      <c r="I38" s="1552"/>
      <c r="J38" s="1553"/>
      <c r="K38" s="2899"/>
      <c r="L38" s="2895"/>
      <c r="M38" s="2895"/>
    </row>
    <row r="39" spans="1:18" ht="24.6" customHeight="1" thickTop="1">
      <c r="A39" s="1211" t="s">
        <v>999</v>
      </c>
      <c r="B39" s="1226" t="s">
        <v>1388</v>
      </c>
      <c r="C39" s="316">
        <f ca="1">C5-C30</f>
        <v>42</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986</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42.03</v>
      </c>
      <c r="G41" s="1538"/>
      <c r="H41" s="1325"/>
      <c r="I41" s="1552"/>
      <c r="J41" s="1553"/>
      <c r="K41" s="2736"/>
      <c r="L41" s="1325"/>
      <c r="M41" s="1325"/>
    </row>
    <row r="42" spans="1:18" ht="18" customHeight="1">
      <c r="A42" s="314"/>
      <c r="B42" s="315"/>
      <c r="C42" s="316"/>
      <c r="D42" s="333"/>
      <c r="E42" s="308" t="s">
        <v>1382</v>
      </c>
      <c r="F42" s="318">
        <f ca="1">INDIRECT("'数据-取费表'!v"&amp;$G$1)</f>
        <v>0.02</v>
      </c>
      <c r="G42" s="1538"/>
      <c r="H42" s="1325"/>
      <c r="I42" s="1552"/>
      <c r="J42" s="1553"/>
      <c r="K42" s="2736"/>
      <c r="L42" s="1325"/>
      <c r="M42" s="1325"/>
    </row>
    <row r="43" spans="1:18" ht="18" customHeight="1" thickBot="1">
      <c r="A43" s="340" t="s">
        <v>1001</v>
      </c>
      <c r="B43" s="341" t="s">
        <v>1392</v>
      </c>
      <c r="C43" s="342">
        <f ca="1">ROUND(C40*10000/F43,0)</f>
        <v>6147</v>
      </c>
      <c r="D43" s="343" t="s">
        <v>1393</v>
      </c>
      <c r="E43" s="344" t="s">
        <v>1394</v>
      </c>
      <c r="F43" s="345">
        <f ca="1">INDIRECT("'数据-取费表'!k"&amp;$G$1)</f>
        <v>1604.01</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-2467</v>
      </c>
      <c r="D46" s="1560" t="str">
        <f>C2</f>
        <v>万元</v>
      </c>
      <c r="E46" s="1554"/>
      <c r="F46" s="1554"/>
      <c r="I46" s="1561" t="s">
        <v>1426</v>
      </c>
      <c r="J46" s="1562"/>
      <c r="K46" s="1563"/>
      <c r="L46" s="1564">
        <f ca="1">IF(M47="住宅",0,IF(L48&gt;J51,L60,J60))</f>
        <v>17</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3172</v>
      </c>
      <c r="K47" s="1570" t="s">
        <v>1432</v>
      </c>
      <c r="L47" s="1571">
        <f ca="1">INDIRECT("'数据-取费表'!d"&amp;$G$1)</f>
        <v>50</v>
      </c>
      <c r="M47" s="1534" t="str">
        <f>IF(ISNUMBER(FIND("住宅",C1)),"住宅","非住宅")</f>
        <v>非住宅</v>
      </c>
      <c r="O47" s="1572" t="s">
        <v>1008</v>
      </c>
      <c r="P47" s="1573" t="s">
        <v>1433</v>
      </c>
      <c r="Q47" s="1574">
        <f ca="1">C40+J29</f>
        <v>986</v>
      </c>
      <c r="R47" s="1574" t="s">
        <v>1434</v>
      </c>
    </row>
    <row r="48" spans="1:18" s="1538" customFormat="1" ht="28.5" thickBot="1">
      <c r="A48" s="1242" t="s">
        <v>1044</v>
      </c>
      <c r="B48" s="306" t="s">
        <v>1306</v>
      </c>
      <c r="C48" s="1513">
        <f ca="1">C49+C53+C55</f>
        <v>0</v>
      </c>
      <c r="D48" s="1244"/>
      <c r="E48" s="1245"/>
      <c r="F48" s="1093"/>
      <c r="G48" s="731"/>
      <c r="H48" s="732"/>
      <c r="I48" s="1575" t="s">
        <v>1435</v>
      </c>
      <c r="J48" s="1576" t="s">
        <v>3173</v>
      </c>
      <c r="K48" s="1577" t="s">
        <v>1436</v>
      </c>
      <c r="L48" s="1578">
        <f ca="1">INDIRECT("'数据-取费表'!f"&amp;$G$1)</f>
        <v>42.03</v>
      </c>
      <c r="O48" s="1572" t="s">
        <v>1009</v>
      </c>
      <c r="P48" s="1573" t="s">
        <v>1437</v>
      </c>
      <c r="Q48" s="1574">
        <f ca="1">J60</f>
        <v>17</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2017</v>
      </c>
      <c r="K49" s="1577" t="s">
        <v>1440</v>
      </c>
      <c r="L49" s="1581"/>
      <c r="O49" s="1582" t="s">
        <v>1010</v>
      </c>
      <c r="P49" s="1573" t="s">
        <v>1441</v>
      </c>
      <c r="Q49" s="1574">
        <f ca="1">C29</f>
        <v>887</v>
      </c>
      <c r="R49" s="1574" t="s">
        <v>1434</v>
      </c>
    </row>
    <row r="50" spans="1:18" s="1538" customFormat="1" ht="13.5" thickBot="1">
      <c r="A50" s="1107"/>
      <c r="B50" s="1110"/>
      <c r="C50" s="1250"/>
      <c r="D50" s="1084"/>
      <c r="E50" s="1187" t="s">
        <v>1311</v>
      </c>
      <c r="F50" s="1188">
        <f ca="1">F7</f>
        <v>1604.01</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55</v>
      </c>
      <c r="K51" s="1588" t="s">
        <v>1446</v>
      </c>
      <c r="L51" s="1589">
        <f ca="1">ROUND(-PV(INDIRECT("'数据-取费表'!h"&amp;$G$1),J51,(C39-C13*C76),0),0)</f>
        <v>-501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42.03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42.03</v>
      </c>
      <c r="K53" s="3463" t="s">
        <v>1453</v>
      </c>
      <c r="L53" s="3464"/>
      <c r="O53" s="1572" t="s">
        <v>1014</v>
      </c>
      <c r="P53" s="1573" t="s">
        <v>1454</v>
      </c>
      <c r="Q53" s="1574">
        <f ca="1">Q47+Q48</f>
        <v>1003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0.216</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834</v>
      </c>
      <c r="D56" s="1601"/>
      <c r="E56" s="1602"/>
      <c r="F56" s="1594"/>
      <c r="I56" s="1603" t="s">
        <v>1459</v>
      </c>
      <c r="J56" s="1604" t="s">
        <v>3177</v>
      </c>
      <c r="K56" s="1575" t="s">
        <v>1460</v>
      </c>
      <c r="L56" s="1578" t="str">
        <f ca="1">IF(L48&lt;J51,"——",L48-J53)</f>
        <v>——</v>
      </c>
      <c r="O56" s="1572" t="s">
        <v>1008</v>
      </c>
      <c r="P56" s="1573" t="s">
        <v>1433</v>
      </c>
      <c r="Q56" s="1574">
        <f ca="1">C40+J29</f>
        <v>986</v>
      </c>
      <c r="R56" s="1574" t="s">
        <v>1434</v>
      </c>
    </row>
    <row r="57" spans="1:18" s="1538" customFormat="1" ht="24.75" thickBot="1">
      <c r="A57" s="1605"/>
      <c r="B57" s="1081" t="s">
        <v>1383</v>
      </c>
      <c r="C57" s="244">
        <f ca="1">C29</f>
        <v>887</v>
      </c>
      <c r="D57" s="1606"/>
      <c r="E57" s="1607"/>
      <c r="F57" s="1608"/>
      <c r="I57" s="1609" t="s">
        <v>1461</v>
      </c>
      <c r="J57" s="1610">
        <f ca="1">IF(OR(M47="住宅",J51&lt;L48,J56="是"),"——",J51-L48)</f>
        <v>12.969999999999999</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85</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75</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355</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17</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74.510000000000005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986</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8.9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0.8</v>
      </c>
      <c r="D65" s="1095" t="s">
        <v>1359</v>
      </c>
      <c r="E65" s="1081" t="s">
        <v>1360</v>
      </c>
      <c r="F65" s="336">
        <f t="shared" ca="1" si="0"/>
        <v>1E-3</v>
      </c>
      <c r="I65" s="1616" t="s">
        <v>1484</v>
      </c>
      <c r="J65" s="1617">
        <v>40</v>
      </c>
      <c r="K65" s="1617">
        <v>30</v>
      </c>
      <c r="L65" s="1617">
        <v>50</v>
      </c>
      <c r="M65" s="1619">
        <v>0.02</v>
      </c>
      <c r="O65" s="1572" t="s">
        <v>1008</v>
      </c>
      <c r="P65" s="1573" t="s">
        <v>1485</v>
      </c>
      <c r="Q65" s="1574">
        <f ca="1">C40+J29</f>
        <v>986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-85</v>
      </c>
      <c r="D67" s="1094" t="s">
        <v>1369</v>
      </c>
      <c r="E67" s="1099"/>
      <c r="F67" s="1100"/>
      <c r="O67" s="1582" t="s">
        <v>1010</v>
      </c>
      <c r="P67" s="1573" t="s">
        <v>1467</v>
      </c>
      <c r="Q67" s="1620">
        <f ca="1">L51</f>
        <v>-501</v>
      </c>
      <c r="R67" s="1574" t="s">
        <v>1487</v>
      </c>
    </row>
    <row r="68" spans="1:18" s="1538" customFormat="1" ht="16.5" thickBot="1">
      <c r="A68" s="1078" t="s">
        <v>1000</v>
      </c>
      <c r="B68" s="1079" t="s">
        <v>1390</v>
      </c>
      <c r="C68" s="307">
        <f ca="1">ROUND(C67*(1-((1+F70)/(1+F68))^F69)/(F68-F70),0)</f>
        <v>-1481</v>
      </c>
      <c r="D68" s="1096" t="s">
        <v>1374</v>
      </c>
      <c r="E68" s="1081" t="s">
        <v>1375</v>
      </c>
      <c r="F68" s="318">
        <f ca="1">F40</f>
        <v>0.05</v>
      </c>
      <c r="O68" s="1582" t="s">
        <v>1011</v>
      </c>
      <c r="P68" s="1621" t="s">
        <v>1488</v>
      </c>
      <c r="Q68" s="1574">
        <f ca="1">ROUND(Q69-Q70*Q71,0)</f>
        <v>-25</v>
      </c>
      <c r="R68" s="1574" t="s">
        <v>1019</v>
      </c>
    </row>
    <row r="69" spans="1:18" s="1538" customFormat="1" ht="13.5" thickBot="1">
      <c r="A69" s="1082"/>
      <c r="B69" s="1083"/>
      <c r="C69" s="312"/>
      <c r="D69" s="1101" t="s">
        <v>1378</v>
      </c>
      <c r="E69" s="1081" t="s">
        <v>1379</v>
      </c>
      <c r="F69" s="339">
        <f ca="1">F41</f>
        <v>42.03</v>
      </c>
      <c r="O69" s="1582" t="s">
        <v>1016</v>
      </c>
      <c r="P69" s="1621" t="s">
        <v>1489</v>
      </c>
      <c r="Q69" s="1574">
        <f ca="1">C39</f>
        <v>42</v>
      </c>
      <c r="R69" s="1574" t="s">
        <v>1434</v>
      </c>
    </row>
    <row r="70" spans="1:18" s="1538" customFormat="1" ht="13.5" thickBot="1">
      <c r="A70" s="1085"/>
      <c r="B70" s="1086"/>
      <c r="C70" s="316"/>
      <c r="D70" s="1097"/>
      <c r="E70" s="1081" t="s">
        <v>1382</v>
      </c>
      <c r="F70" s="1185"/>
      <c r="O70" s="1582" t="s">
        <v>1017</v>
      </c>
      <c r="P70" s="1621" t="s">
        <v>1490</v>
      </c>
      <c r="Q70" s="1574">
        <f ca="1">C13</f>
        <v>834</v>
      </c>
      <c r="R70" s="1574" t="s">
        <v>1434</v>
      </c>
    </row>
    <row r="71" spans="1:18" s="1538" customFormat="1" ht="13.5" thickBot="1">
      <c r="A71" s="1102" t="s">
        <v>1001</v>
      </c>
      <c r="B71" s="1103" t="s">
        <v>1392</v>
      </c>
      <c r="C71" s="342">
        <f ca="1">ROUND(C68*10000/F71,0)</f>
        <v>-9233</v>
      </c>
      <c r="D71" s="1104" t="s">
        <v>1393</v>
      </c>
      <c r="E71" s="1105" t="s">
        <v>1394</v>
      </c>
      <c r="F71" s="345">
        <f ca="1">F43</f>
        <v>1604.01</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67</v>
      </c>
      <c r="D75" s="1538"/>
      <c r="E75" s="1538"/>
      <c r="F75" s="1538"/>
      <c r="K75" s="1556"/>
      <c r="L75" s="1538"/>
      <c r="O75" s="1572" t="s">
        <v>1014</v>
      </c>
      <c r="P75" s="1573" t="s">
        <v>1454</v>
      </c>
      <c r="Q75" s="1574">
        <f ca="1">Q65+Q66</f>
        <v>986</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-0.59499999999999997</v>
      </c>
    </row>
    <row r="80" spans="1:18">
      <c r="B80" s="346" t="s">
        <v>1416</v>
      </c>
      <c r="C80" s="280">
        <f ca="1">ROUND(C75/C39,3)</f>
        <v>1.595</v>
      </c>
    </row>
    <row r="81" spans="2:3">
      <c r="B81" s="276" t="s">
        <v>1417</v>
      </c>
      <c r="C81" s="244"/>
    </row>
    <row r="82" spans="2:3">
      <c r="B82" s="279" t="s">
        <v>1418</v>
      </c>
      <c r="C82" s="281">
        <f ca="1">1-C83</f>
        <v>0.15400000000000003</v>
      </c>
    </row>
    <row r="83" spans="2:3">
      <c r="B83" s="279" t="s">
        <v>1419</v>
      </c>
      <c r="C83" s="280">
        <f ca="1">ROUND(C13/C40,3)</f>
        <v>0.84599999999999997</v>
      </c>
    </row>
  </sheetData>
  <sheetProtection formatCells="0" formatColumns="0" formatRows="0"/>
  <mergeCells count="3">
    <mergeCell ref="K53:L53"/>
    <mergeCell ref="B6:B9"/>
    <mergeCell ref="I6:I9"/>
  </mergeCells>
  <phoneticPr fontId="4"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7"/>
  <sheetViews>
    <sheetView topLeftCell="I1" workbookViewId="0">
      <selection activeCell="R15" sqref="R15"/>
    </sheetView>
  </sheetViews>
  <sheetFormatPr defaultRowHeight="13.5"/>
  <cols>
    <col min="1" max="1" width="66.375" style="3212" bestFit="1" customWidth="1"/>
    <col min="2" max="19" width="9" style="3212"/>
    <col min="20" max="20" width="28.75" style="3212" customWidth="1"/>
    <col min="21" max="16384" width="9" style="3212"/>
  </cols>
  <sheetData>
    <row r="1" spans="1:22" s="3209" customFormat="1" ht="25.5">
      <c r="A1" s="3210" t="s">
        <v>3128</v>
      </c>
      <c r="B1" s="3210" t="s">
        <v>3129</v>
      </c>
      <c r="C1" s="3210" t="s">
        <v>3130</v>
      </c>
      <c r="D1" s="3210" t="s">
        <v>3131</v>
      </c>
      <c r="E1" s="3210" t="s">
        <v>3132</v>
      </c>
      <c r="F1" s="3210" t="s">
        <v>3133</v>
      </c>
      <c r="G1" s="3210" t="s">
        <v>3134</v>
      </c>
      <c r="H1" s="3210" t="s">
        <v>3135</v>
      </c>
      <c r="I1" s="3210" t="s">
        <v>3136</v>
      </c>
      <c r="J1" s="3210" t="s">
        <v>3137</v>
      </c>
      <c r="K1" s="3210" t="s">
        <v>3138</v>
      </c>
      <c r="L1" s="3210" t="s">
        <v>3139</v>
      </c>
      <c r="M1" s="3210" t="s">
        <v>3140</v>
      </c>
      <c r="N1" s="3210" t="s">
        <v>3141</v>
      </c>
      <c r="O1" s="3210"/>
      <c r="P1" s="3211" t="s">
        <v>3142</v>
      </c>
      <c r="Q1" s="3211" t="s">
        <v>3143</v>
      </c>
      <c r="R1" s="3211" t="s">
        <v>3144</v>
      </c>
      <c r="S1" s="3210" t="s">
        <v>3145</v>
      </c>
      <c r="T1" s="3210" t="s">
        <v>3146</v>
      </c>
      <c r="U1" s="3210" t="s">
        <v>3147</v>
      </c>
      <c r="V1" s="3209">
        <v>1.5192000000000001</v>
      </c>
    </row>
    <row r="2" spans="1:22" s="3215" customFormat="1">
      <c r="A2" s="3214" t="s">
        <v>3148</v>
      </c>
      <c r="B2" s="3214" t="s">
        <v>3118</v>
      </c>
      <c r="C2" s="3214" t="s">
        <v>3149</v>
      </c>
      <c r="D2" s="3214">
        <v>7327.55</v>
      </c>
      <c r="E2" s="3214">
        <v>8060.31</v>
      </c>
      <c r="F2" s="3214">
        <v>1.1000000000000001</v>
      </c>
      <c r="G2" s="3214" t="s">
        <v>3150</v>
      </c>
      <c r="H2" s="3214" t="s">
        <v>3151</v>
      </c>
      <c r="I2" s="3214">
        <v>0</v>
      </c>
      <c r="J2" s="3214" t="s">
        <v>3152</v>
      </c>
      <c r="K2" s="3214" t="s">
        <v>3152</v>
      </c>
      <c r="L2" s="3214">
        <v>759.27</v>
      </c>
      <c r="M2" s="3214">
        <v>759.27</v>
      </c>
      <c r="N2" s="3214">
        <v>942</v>
      </c>
      <c r="O2" s="3214">
        <f>ROUND(N2*[2]Sheet3!$C$16,0)</f>
        <v>1431</v>
      </c>
      <c r="P2" s="3214">
        <f>ROUND(M2/D2*10000,0)</f>
        <v>1036</v>
      </c>
      <c r="Q2" s="3214">
        <f>ROUND(P2*[2]Sheet3!C16,0)</f>
        <v>1574</v>
      </c>
      <c r="R2" s="3214">
        <f>ROUND(Q2*666.67/10000,2)</f>
        <v>104.93</v>
      </c>
      <c r="S2" s="3214">
        <v>0</v>
      </c>
      <c r="T2" s="3214" t="s">
        <v>3153</v>
      </c>
      <c r="U2" s="3214" t="s">
        <v>3154</v>
      </c>
      <c r="V2" s="3215">
        <f>ROUND(N2*V1,0)</f>
        <v>1431</v>
      </c>
    </row>
    <row r="3" spans="1:22" s="3215" customFormat="1">
      <c r="A3" s="3214" t="s">
        <v>3155</v>
      </c>
      <c r="B3" s="3214" t="s">
        <v>3118</v>
      </c>
      <c r="C3" s="3214" t="s">
        <v>3149</v>
      </c>
      <c r="D3" s="3214">
        <v>99235.68</v>
      </c>
      <c r="E3" s="3214">
        <v>99235.68</v>
      </c>
      <c r="F3" s="3214">
        <v>1</v>
      </c>
      <c r="G3" s="3214" t="s">
        <v>3150</v>
      </c>
      <c r="H3" s="3214" t="s">
        <v>3151</v>
      </c>
      <c r="I3" s="3214">
        <v>0</v>
      </c>
      <c r="J3" s="3214" t="s">
        <v>3152</v>
      </c>
      <c r="K3" s="3214" t="s">
        <v>3152</v>
      </c>
      <c r="L3" s="3214">
        <v>9975.17</v>
      </c>
      <c r="M3" s="3214">
        <v>9975.17</v>
      </c>
      <c r="N3" s="3214">
        <v>1005.2</v>
      </c>
      <c r="O3" s="3214">
        <f>ROUND(N3*[2]Sheet3!$C$16,0)</f>
        <v>1527</v>
      </c>
      <c r="P3" s="3214">
        <f t="shared" ref="P3:P7" si="0">ROUND(M3/D3*10000,0)</f>
        <v>1005</v>
      </c>
      <c r="Q3" s="3214">
        <f>ROUND(P3*[2]Sheet3!$C$16,0)</f>
        <v>1527</v>
      </c>
      <c r="R3" s="3214">
        <f t="shared" ref="R3:R7" si="1">ROUND(Q3*666.67/10000,2)</f>
        <v>101.8</v>
      </c>
      <c r="S3" s="3214">
        <v>0</v>
      </c>
      <c r="T3" s="3214" t="s">
        <v>3156</v>
      </c>
      <c r="U3" s="3214" t="s">
        <v>3154</v>
      </c>
      <c r="V3" s="3215">
        <f>ROUND(N3*V1,0)</f>
        <v>1527</v>
      </c>
    </row>
    <row r="4" spans="1:22" s="3215" customFormat="1">
      <c r="A4" s="3214" t="s">
        <v>3157</v>
      </c>
      <c r="B4" s="3214" t="s">
        <v>3118</v>
      </c>
      <c r="C4" s="3214" t="s">
        <v>3149</v>
      </c>
      <c r="D4" s="3214">
        <v>30231.14</v>
      </c>
      <c r="E4" s="3214">
        <v>30231.14</v>
      </c>
      <c r="F4" s="3214">
        <v>1</v>
      </c>
      <c r="G4" s="3214" t="s">
        <v>3150</v>
      </c>
      <c r="H4" s="3214" t="s">
        <v>3158</v>
      </c>
      <c r="I4" s="3214">
        <v>0</v>
      </c>
      <c r="J4" s="3214" t="s">
        <v>3159</v>
      </c>
      <c r="K4" s="3214" t="s">
        <v>3159</v>
      </c>
      <c r="L4" s="3214">
        <v>2817.03</v>
      </c>
      <c r="M4" s="3214">
        <v>2817.03</v>
      </c>
      <c r="N4" s="3214">
        <v>931.83</v>
      </c>
      <c r="O4" s="3214">
        <f>ROUND(N4*[2]Sheet3!$C$16,0)</f>
        <v>1416</v>
      </c>
      <c r="P4" s="3214">
        <f t="shared" si="0"/>
        <v>932</v>
      </c>
      <c r="Q4" s="3214">
        <f>ROUND(P4*[2]Sheet3!$C$16,0)</f>
        <v>1416</v>
      </c>
      <c r="R4" s="3214">
        <f t="shared" si="1"/>
        <v>94.4</v>
      </c>
      <c r="S4" s="3214">
        <v>0</v>
      </c>
      <c r="T4" s="3214" t="s">
        <v>3160</v>
      </c>
      <c r="U4" s="3214" t="s">
        <v>3154</v>
      </c>
      <c r="V4" s="3215">
        <f>ROUND(N4*V1,0)</f>
        <v>1416</v>
      </c>
    </row>
    <row r="5" spans="1:22">
      <c r="A5" s="3213" t="s">
        <v>3161</v>
      </c>
      <c r="B5" s="3213" t="s">
        <v>3118</v>
      </c>
      <c r="C5" s="3213" t="s">
        <v>3149</v>
      </c>
      <c r="D5" s="3213">
        <v>34616.870000000003</v>
      </c>
      <c r="E5" s="3213">
        <v>34616.870000000003</v>
      </c>
      <c r="F5" s="3213">
        <v>1</v>
      </c>
      <c r="G5" s="3213" t="s">
        <v>3150</v>
      </c>
      <c r="H5" s="3213" t="s">
        <v>3149</v>
      </c>
      <c r="I5" s="3213">
        <v>0</v>
      </c>
      <c r="J5" s="3213" t="s">
        <v>3162</v>
      </c>
      <c r="K5" s="3213" t="s">
        <v>3162</v>
      </c>
      <c r="L5" s="3213">
        <v>3408.23</v>
      </c>
      <c r="M5" s="3213">
        <v>3408.23</v>
      </c>
      <c r="N5" s="3213">
        <v>984.55</v>
      </c>
      <c r="O5" s="3213">
        <f>ROUND(N5*[2]Sheet3!$C$16,0)</f>
        <v>1496</v>
      </c>
      <c r="P5" s="3213">
        <f t="shared" si="0"/>
        <v>985</v>
      </c>
      <c r="Q5" s="3213">
        <f>ROUND(P5*[2]Sheet3!$C$16,0)</f>
        <v>1496</v>
      </c>
      <c r="R5" s="3213">
        <f t="shared" si="1"/>
        <v>99.73</v>
      </c>
      <c r="S5" s="3213">
        <v>0</v>
      </c>
      <c r="T5" s="3213" t="s">
        <v>3163</v>
      </c>
      <c r="U5" s="3213" t="s">
        <v>3154</v>
      </c>
    </row>
    <row r="6" spans="1:22">
      <c r="A6" s="3213" t="s">
        <v>3164</v>
      </c>
      <c r="B6" s="3213" t="s">
        <v>3118</v>
      </c>
      <c r="C6" s="3213" t="s">
        <v>3149</v>
      </c>
      <c r="D6" s="3213">
        <v>17333.330000000002</v>
      </c>
      <c r="E6" s="3213">
        <v>17333</v>
      </c>
      <c r="F6" s="3213">
        <v>1</v>
      </c>
      <c r="G6" s="3213" t="s">
        <v>3150</v>
      </c>
      <c r="H6" s="3213" t="s">
        <v>6</v>
      </c>
      <c r="I6" s="3213">
        <v>0</v>
      </c>
      <c r="J6" s="3213" t="s">
        <v>3165</v>
      </c>
      <c r="K6" s="3213" t="s">
        <v>3165</v>
      </c>
      <c r="L6" s="3213">
        <v>1659.75</v>
      </c>
      <c r="M6" s="3213">
        <v>1659.75</v>
      </c>
      <c r="N6" s="3213">
        <v>957.57</v>
      </c>
      <c r="O6" s="3213">
        <f>ROUND(N6*[2]Sheet3!$C$16,0)</f>
        <v>1455</v>
      </c>
      <c r="P6" s="3213">
        <f t="shared" si="0"/>
        <v>958</v>
      </c>
      <c r="Q6" s="3213">
        <f>ROUND(P6*[2]Sheet3!$C$16,0)</f>
        <v>1455</v>
      </c>
      <c r="R6" s="3213">
        <f t="shared" si="1"/>
        <v>97</v>
      </c>
      <c r="S6" s="3213">
        <v>0</v>
      </c>
      <c r="T6" s="3213" t="s">
        <v>3166</v>
      </c>
      <c r="U6" s="3213" t="s">
        <v>3154</v>
      </c>
    </row>
    <row r="7" spans="1:22">
      <c r="A7" s="3213" t="s">
        <v>3167</v>
      </c>
      <c r="B7" s="3213" t="s">
        <v>3118</v>
      </c>
      <c r="C7" s="3213" t="s">
        <v>3149</v>
      </c>
      <c r="D7" s="3213">
        <v>17333.330000000002</v>
      </c>
      <c r="E7" s="3213">
        <v>17333</v>
      </c>
      <c r="F7" s="3213">
        <v>1</v>
      </c>
      <c r="G7" s="3213" t="s">
        <v>3150</v>
      </c>
      <c r="H7" s="3213" t="s">
        <v>6</v>
      </c>
      <c r="I7" s="3213">
        <v>0</v>
      </c>
      <c r="J7" s="3213" t="s">
        <v>3165</v>
      </c>
      <c r="K7" s="3213" t="s">
        <v>3165</v>
      </c>
      <c r="L7" s="3213">
        <v>1658.01</v>
      </c>
      <c r="M7" s="3213">
        <v>1658.01</v>
      </c>
      <c r="N7" s="3213">
        <v>956.57</v>
      </c>
      <c r="O7" s="3213">
        <f>ROUND(N7*[2]Sheet3!$C$16,0)</f>
        <v>1453</v>
      </c>
      <c r="P7" s="3213">
        <f t="shared" si="0"/>
        <v>957</v>
      </c>
      <c r="Q7" s="3213">
        <f>ROUND(P7*[2]Sheet3!$C$16,0)</f>
        <v>1454</v>
      </c>
      <c r="R7" s="3213">
        <f t="shared" si="1"/>
        <v>96.93</v>
      </c>
      <c r="S7" s="3213">
        <v>0</v>
      </c>
      <c r="T7" s="3213" t="s">
        <v>3168</v>
      </c>
      <c r="U7" s="3213" t="s">
        <v>3154</v>
      </c>
    </row>
  </sheetData>
  <phoneticPr fontId="14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891</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5555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128321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128321</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128321</v>
      </c>
      <c r="D10" s="954">
        <f ca="1">IF(B1="",'数据-汇总表'!E6,IF(INDIRECT("'数据-取费表'!c"&amp;$G$1)="住宅",INDIRECT("'数据-取费表'!s"&amp;$G$1),INDIRECT("'数据-取费表'!k"&amp;$G$1)+INDIRECT("'数据-取费表'!s"&amp;$G$1)))</f>
        <v>1604.01</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320802</v>
      </c>
      <c r="D19" s="958">
        <f ca="1">D9+D10</f>
        <v>1604.01</v>
      </c>
      <c r="E19" s="217">
        <f>'数据-取费表'!B31</f>
        <v>200</v>
      </c>
      <c r="F19" s="237"/>
      <c r="G19" s="2012"/>
    </row>
    <row r="20" spans="1:7" s="220" customFormat="1" ht="13.5" customHeight="1">
      <c r="A20" s="261" t="s">
        <v>2200</v>
      </c>
      <c r="B20" s="216" t="s">
        <v>2201</v>
      </c>
      <c r="C20" s="238">
        <f ca="1">ROUND((C5+C19)*F20,0)</f>
        <v>8982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38895</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11005</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27513</v>
      </c>
      <c r="D24" s="244"/>
      <c r="E24" s="244"/>
      <c r="F24" s="245"/>
      <c r="G24" s="246" t="s">
        <v>2212</v>
      </c>
    </row>
    <row r="25" spans="1:7" s="220" customFormat="1" ht="24">
      <c r="A25" s="888" t="s">
        <v>2102</v>
      </c>
      <c r="B25" s="221" t="s">
        <v>2213</v>
      </c>
      <c r="C25" s="1262">
        <f ca="1">ROUND(IF('数据-取费表'!B22&lt;=1,C20*F22*'数据-取费表'!B22/2,C20*(POWER((1+F22),'数据-取费表'!B22/2)-1)),0)</f>
        <v>377</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45811</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45811</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586950</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7025564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6416040</v>
      </c>
      <c r="D34" s="223"/>
      <c r="E34" s="226"/>
      <c r="F34" s="263"/>
      <c r="G34" s="225"/>
    </row>
    <row r="35" spans="1:7" ht="13.5" customHeight="1">
      <c r="A35" s="888" t="s">
        <v>796</v>
      </c>
      <c r="B35" s="221" t="s">
        <v>2153</v>
      </c>
      <c r="C35" s="226">
        <f ca="1">ROUND(C34*F35,0)</f>
        <v>192481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320802</v>
      </c>
      <c r="D37" s="223">
        <f ca="1">D19</f>
        <v>1604.01</v>
      </c>
      <c r="E37" s="255">
        <f>'数据-取费表'!B35</f>
        <v>200</v>
      </c>
      <c r="F37" s="265"/>
      <c r="G37" s="267"/>
    </row>
    <row r="38" spans="1:7" ht="13.5" customHeight="1">
      <c r="A38" s="888" t="s">
        <v>799</v>
      </c>
      <c r="B38" s="221" t="s">
        <v>2159</v>
      </c>
      <c r="C38" s="226">
        <f ca="1">ROUND(C34*F38,0)</f>
        <v>96241</v>
      </c>
      <c r="D38" s="226"/>
      <c r="E38" s="226"/>
      <c r="F38" s="265">
        <f>'数据-取费表'!B36</f>
        <v>1.4999999999999999E-2</v>
      </c>
      <c r="G38" s="225" t="s">
        <v>2154</v>
      </c>
    </row>
    <row r="39" spans="1:7" s="220" customFormat="1" ht="13.5" customHeight="1">
      <c r="A39" s="261" t="s">
        <v>2160</v>
      </c>
      <c r="B39" s="216" t="s">
        <v>2161</v>
      </c>
      <c r="C39" s="238">
        <f ca="1">ROUND(C33*F20,0)</f>
        <v>140511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300975</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295074</v>
      </c>
      <c r="D42" s="244"/>
      <c r="E42" s="244"/>
      <c r="F42" s="245"/>
      <c r="G42" s="3413" t="s">
        <v>2217</v>
      </c>
    </row>
    <row r="43" spans="1:7" ht="13.5" customHeight="1">
      <c r="A43" s="888" t="s">
        <v>792</v>
      </c>
      <c r="B43" s="221" t="s">
        <v>2171</v>
      </c>
      <c r="C43" s="244">
        <f ca="1">ROUND(IF('数据-取费表'!B22&lt;=1,C39*F22*'数据-取费表'!B20/2,C39*(POWER((1+F22),'数据-取费表'!B20/2)-1)),0)</f>
        <v>5901</v>
      </c>
      <c r="D43" s="244"/>
      <c r="E43" s="244"/>
      <c r="F43" s="245"/>
      <c r="G43" s="3414"/>
    </row>
    <row r="44" spans="1:7" ht="13.5" customHeight="1">
      <c r="A44" s="888" t="s">
        <v>793</v>
      </c>
      <c r="B44" s="221" t="s">
        <v>2172</v>
      </c>
      <c r="C44" s="244">
        <f ca="1">ROUND(IF('数据-取费表'!B22&lt;=1,C40*F22*'数据-取费表'!B20/2,C40*(POWER((1+F22),'数据-取费表'!B20/2)-1)),4)</f>
        <v>8.0000000000000004E-4</v>
      </c>
      <c r="D44" s="244"/>
      <c r="E44" s="244"/>
      <c r="F44" s="245"/>
      <c r="G44" s="3415"/>
    </row>
    <row r="45" spans="1:7" s="220" customFormat="1" ht="13.5" customHeight="1">
      <c r="A45" s="261" t="s">
        <v>2173</v>
      </c>
      <c r="B45" s="250" t="s">
        <v>2139</v>
      </c>
      <c r="C45" s="251">
        <f ca="1">C46</f>
        <v>716608</v>
      </c>
      <c r="D45" s="241">
        <f ca="1">C47</f>
        <v>2E-3</v>
      </c>
      <c r="E45" s="242" t="s">
        <v>2165</v>
      </c>
      <c r="F45" s="2507">
        <f ca="1">F27</f>
        <v>0.1</v>
      </c>
      <c r="G45" s="253" t="s">
        <v>2174</v>
      </c>
    </row>
    <row r="46" spans="1:7" s="220" customFormat="1" ht="13.5" customHeight="1">
      <c r="A46" s="888" t="s">
        <v>791</v>
      </c>
      <c r="B46" s="254" t="s">
        <v>2175</v>
      </c>
      <c r="C46" s="255">
        <f ca="1">ROUND((C33+C39)*F27,0)</f>
        <v>716608</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8849111</v>
      </c>
      <c r="D49" s="238"/>
      <c r="E49" s="238"/>
      <c r="F49" s="270"/>
      <c r="G49" s="240" t="s">
        <v>2180</v>
      </c>
    </row>
    <row r="50" spans="1:7" s="264" customFormat="1">
      <c r="A50" s="261" t="s">
        <v>2181</v>
      </c>
      <c r="B50" s="216" t="s">
        <v>2182</v>
      </c>
      <c r="C50" s="238"/>
      <c r="D50" s="238"/>
      <c r="E50" s="238"/>
      <c r="F50" s="270">
        <f>IF('数据-取费表'!B24=0,'数据-取费表'!N16,1)</f>
        <v>0.94</v>
      </c>
      <c r="G50" s="253"/>
    </row>
    <row r="51" spans="1:7" ht="16.5" customHeight="1">
      <c r="A51" s="261" t="s">
        <v>2184</v>
      </c>
      <c r="B51" s="216" t="s">
        <v>2219</v>
      </c>
      <c r="C51" s="238">
        <f ca="1">ROUND(C49*F50,0)</f>
        <v>8318164</v>
      </c>
      <c r="D51" s="238"/>
      <c r="E51" s="238"/>
      <c r="F51" s="270"/>
      <c r="G51" s="240" t="s">
        <v>2186</v>
      </c>
    </row>
    <row r="52" spans="1:7" s="214" customFormat="1" ht="16.5" thickBot="1">
      <c r="A52" s="271" t="s">
        <v>2187</v>
      </c>
      <c r="B52" s="272"/>
      <c r="C52" s="273">
        <f ca="1">C31+C51</f>
        <v>8905114</v>
      </c>
      <c r="D52" s="272"/>
      <c r="E52" s="272"/>
      <c r="F52" s="272"/>
      <c r="G52" s="274"/>
    </row>
    <row r="55" spans="1:7" ht="15">
      <c r="B55" s="276" t="s">
        <v>2188</v>
      </c>
      <c r="C55" s="277"/>
    </row>
    <row r="56" spans="1:7">
      <c r="B56" s="279" t="s">
        <v>1418</v>
      </c>
      <c r="C56" s="281">
        <f ca="1">1-C57</f>
        <v>6.5999999999999948E-2</v>
      </c>
    </row>
    <row r="57" spans="1:7">
      <c r="B57" s="279" t="s">
        <v>1419</v>
      </c>
      <c r="C57" s="280">
        <f ca="1">ROUND(C51/C52,3)</f>
        <v>0.93400000000000005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3"/>
      <c r="F1" s="3003"/>
      <c r="G1" s="2866"/>
      <c r="H1" s="3003"/>
      <c r="I1" s="3003"/>
      <c r="J1" s="3003"/>
      <c r="K1" s="3004">
        <f>MATCH(C1,'数据-取费表'!A6:A16,0)+5</f>
        <v>7</v>
      </c>
    </row>
    <row r="2" spans="1:33" ht="18" customHeight="1">
      <c r="A2" s="207" t="s">
        <v>2088</v>
      </c>
      <c r="B2" s="210">
        <f ca="1">C32</f>
        <v>0</v>
      </c>
      <c r="C2" s="282" t="s">
        <v>2221</v>
      </c>
      <c r="D2" s="282"/>
      <c r="E2" s="3003"/>
      <c r="F2" s="3003"/>
      <c r="G2" s="3003"/>
      <c r="H2" s="3003"/>
      <c r="I2" s="3003"/>
      <c r="J2" s="3003"/>
      <c r="K2" s="3003"/>
    </row>
    <row r="3" spans="1:33" ht="18" customHeight="1" thickBot="1">
      <c r="A3" s="209" t="s">
        <v>2090</v>
      </c>
      <c r="B3" s="210">
        <f ca="1">ROUND(B2*10000/IF(C1="",'数据-汇总表'!E3,INDIRECT("'数据-取费表'!K"&amp;$K$1)),0)</f>
        <v>0</v>
      </c>
      <c r="C3" s="282" t="s">
        <v>2222</v>
      </c>
      <c r="D3" s="282"/>
      <c r="E3" s="3003"/>
      <c r="F3" s="3003"/>
      <c r="G3" s="3003"/>
      <c r="H3" s="3003"/>
      <c r="I3" s="3003"/>
      <c r="J3" s="3003"/>
      <c r="K3" s="3003"/>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1604.01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1604.01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13</v>
      </c>
      <c r="D20" s="955">
        <f ca="1">IF(C1="",'数据-汇总表'!E6,IF(INDIRECT("'数据-取费表'!c"&amp;$K$1)="住宅",INDIRECT("'数据-取费表'!s"&amp;$K$1),INDIRECT("'数据-取费表'!k"&amp;$K$1)+INDIRECT("'数据-取费表'!s"&amp;$K$1)))</f>
        <v>1604.01</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65" t="s">
        <v>1308</v>
      </c>
      <c r="C6" s="1206">
        <f ca="1">ROUND(F6*F8*F7*(1-F9),0)</f>
        <v>0</v>
      </c>
      <c r="D6" s="160" t="s">
        <v>2787</v>
      </c>
      <c r="E6" s="308" t="s">
        <v>1310</v>
      </c>
      <c r="F6" s="309">
        <f ca="1">INDIRECT("'数据-取费表'!u"&amp;$G$1)</f>
        <v>0</v>
      </c>
      <c r="G6" s="1538"/>
      <c r="H6" s="1201" t="s">
        <v>1003</v>
      </c>
      <c r="I6" s="3465" t="s">
        <v>1308</v>
      </c>
      <c r="J6" s="307">
        <f ca="1">ROUND(M6*M8*M7*(1-M9),0)</f>
        <v>0</v>
      </c>
      <c r="K6" s="1530" t="s">
        <v>2788</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0</v>
      </c>
      <c r="G7" s="1538"/>
      <c r="H7" s="310"/>
      <c r="I7" s="3466"/>
      <c r="J7" s="312"/>
      <c r="K7" s="313"/>
      <c r="L7" s="308" t="s">
        <v>1311</v>
      </c>
      <c r="M7" s="309">
        <f ca="1">F7</f>
        <v>0</v>
      </c>
    </row>
    <row r="8" spans="1:37" ht="18" customHeight="1">
      <c r="A8" s="310"/>
      <c r="B8" s="3466"/>
      <c r="C8" s="312"/>
      <c r="D8" s="313"/>
      <c r="E8" s="308" t="s">
        <v>1312</v>
      </c>
      <c r="F8" s="309">
        <f ca="1">INDIRECT("'数据-取费表'!ai"&amp;$G$1)</f>
        <v>0</v>
      </c>
      <c r="G8" s="1538"/>
      <c r="H8" s="310"/>
      <c r="I8" s="3466"/>
      <c r="J8" s="312"/>
      <c r="K8" s="313"/>
      <c r="L8" s="308" t="s">
        <v>1312</v>
      </c>
      <c r="M8" s="309">
        <f ca="1">INDIRECT("'数据-取费表'!ai"&amp;$G$1)</f>
        <v>0</v>
      </c>
    </row>
    <row r="9" spans="1:37" ht="18" customHeight="1">
      <c r="A9" s="310"/>
      <c r="B9" s="3467"/>
      <c r="C9" s="312"/>
      <c r="D9" s="313"/>
      <c r="E9" s="308" t="s">
        <v>1313</v>
      </c>
      <c r="F9" s="318">
        <f ca="1">INDIRECT("'数据-取费表'!w"&amp;$G$1)</f>
        <v>0</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2985</v>
      </c>
      <c r="I31" s="1552"/>
      <c r="J31" s="1553"/>
      <c r="K31" s="2667"/>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6"/>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6"/>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3" t="s">
        <v>1453</v>
      </c>
      <c r="L53" s="346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38" sqref="K3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3113</v>
      </c>
      <c r="B1" s="3029"/>
      <c r="C1" s="3041"/>
      <c r="D1" s="3041"/>
      <c r="E1" s="3030"/>
      <c r="F1" s="3031"/>
      <c r="G1" s="3032"/>
      <c r="J1" s="3035" t="s">
        <v>2992</v>
      </c>
      <c r="K1" s="3036"/>
      <c r="L1" s="3036"/>
      <c r="M1" s="3036"/>
      <c r="N1" s="3036"/>
      <c r="O1" s="3036"/>
      <c r="P1" s="3036"/>
      <c r="Q1" s="3036"/>
      <c r="R1" s="3037"/>
      <c r="S1" s="3038"/>
      <c r="T1" s="3038"/>
      <c r="U1" s="3038"/>
    </row>
    <row r="2" spans="1:22" s="3050" customFormat="1" ht="13.15" customHeight="1">
      <c r="A2" s="1539" t="s">
        <v>2993</v>
      </c>
      <c r="B2" s="3040" t="e">
        <f>C40</f>
        <v>#DIV/0!</v>
      </c>
      <c r="C2" s="3041" t="s">
        <v>2994</v>
      </c>
      <c r="D2" s="3041"/>
      <c r="E2" s="3042"/>
      <c r="F2" s="3043"/>
      <c r="G2" s="3044"/>
      <c r="H2" s="3045"/>
      <c r="I2" s="3046"/>
      <c r="J2" s="3474" t="s">
        <v>2995</v>
      </c>
      <c r="K2" s="3475"/>
      <c r="L2" s="3047" t="s">
        <v>2996</v>
      </c>
      <c r="M2" s="3047" t="s">
        <v>2997</v>
      </c>
      <c r="N2" s="3047" t="s">
        <v>2998</v>
      </c>
      <c r="O2" s="3047" t="s">
        <v>2999</v>
      </c>
      <c r="P2" s="3047" t="s">
        <v>3000</v>
      </c>
      <c r="Q2" s="3048" t="s">
        <v>3001</v>
      </c>
      <c r="R2" s="3049" t="s">
        <v>3002</v>
      </c>
      <c r="S2" s="3038"/>
      <c r="T2" s="3038"/>
      <c r="U2" s="3038"/>
      <c r="V2" s="3046"/>
    </row>
    <row r="3" spans="1:22" s="3050" customFormat="1" ht="13.15" customHeight="1">
      <c r="A3" s="3051" t="s">
        <v>3003</v>
      </c>
      <c r="B3" s="3052" t="e">
        <f>ROUND(B2*10000/B4,0)</f>
        <v>#DIV/0!</v>
      </c>
      <c r="C3" s="3041" t="s">
        <v>3004</v>
      </c>
      <c r="D3" s="3041"/>
      <c r="E3" s="3042"/>
      <c r="F3" s="3043"/>
      <c r="G3" s="3044"/>
      <c r="H3" s="3045"/>
      <c r="I3" s="3046"/>
      <c r="J3" s="3476" t="s">
        <v>3005</v>
      </c>
      <c r="K3" s="3477"/>
      <c r="L3" s="3053"/>
      <c r="M3" s="3053"/>
      <c r="N3" s="3053"/>
      <c r="O3" s="3053"/>
      <c r="P3" s="3053"/>
      <c r="Q3" s="3054"/>
      <c r="R3" s="3055">
        <f>SUM(L3:Q3)</f>
        <v>0</v>
      </c>
      <c r="S3" s="3038"/>
      <c r="T3" s="3038"/>
      <c r="U3" s="3038"/>
      <c r="V3" s="3046"/>
    </row>
    <row r="4" spans="1:22" s="3050" customFormat="1" ht="13.15" customHeight="1">
      <c r="A4" s="3056" t="s">
        <v>3006</v>
      </c>
      <c r="B4" s="3057"/>
      <c r="C4" s="3041"/>
      <c r="D4" s="3041"/>
      <c r="E4" s="3042"/>
      <c r="F4" s="3043"/>
      <c r="G4" s="3044"/>
      <c r="H4" s="3045"/>
      <c r="I4" s="3046"/>
      <c r="J4" s="3476" t="s">
        <v>3007</v>
      </c>
      <c r="K4" s="3477"/>
      <c r="L4" s="3058"/>
      <c r="M4" s="3058"/>
      <c r="N4" s="3058"/>
      <c r="O4" s="3058"/>
      <c r="P4" s="3058"/>
      <c r="Q4" s="3059"/>
      <c r="R4" s="3060">
        <f>SUM(L4:Q4)</f>
        <v>0</v>
      </c>
      <c r="S4" s="3038"/>
      <c r="T4" s="3038"/>
      <c r="U4" s="3038"/>
      <c r="V4" s="3046"/>
    </row>
    <row r="5" spans="1:22" s="3050" customFormat="1" ht="13.15" customHeight="1" thickBot="1">
      <c r="A5" s="3061" t="s">
        <v>3008</v>
      </c>
      <c r="B5" s="3062"/>
      <c r="C5" s="3041"/>
      <c r="D5" s="3063"/>
      <c r="E5" s="3043"/>
      <c r="F5" s="3043"/>
      <c r="G5" s="3044"/>
      <c r="H5" s="3045"/>
      <c r="I5" s="3046"/>
      <c r="J5" s="3064" t="s">
        <v>3009</v>
      </c>
      <c r="K5" s="3065"/>
      <c r="L5" s="3065"/>
      <c r="M5" s="3066"/>
      <c r="N5" s="3066"/>
      <c r="O5" s="3066"/>
      <c r="P5" s="3066"/>
      <c r="Q5" s="3066"/>
      <c r="R5" s="3049">
        <f>SUM(R14,R19,R24,R25,R27,R28)</f>
        <v>0</v>
      </c>
      <c r="S5" s="3038"/>
      <c r="T5" s="3038" t="s">
        <v>3010</v>
      </c>
      <c r="U5" s="3038" t="e">
        <f>ROUND(R5*10000/365/R3,1)</f>
        <v>#DIV/0!</v>
      </c>
      <c r="V5" s="3046"/>
    </row>
    <row r="6" spans="1:22" s="3050" customFormat="1" ht="13.15" customHeight="1" thickBot="1">
      <c r="A6" s="3482" t="s">
        <v>3011</v>
      </c>
      <c r="B6" s="3483"/>
      <c r="C6" s="3484"/>
      <c r="D6" s="3067"/>
      <c r="E6" s="3068"/>
      <c r="F6" s="3069"/>
      <c r="G6" s="3070"/>
      <c r="H6" s="3045"/>
      <c r="I6" s="3046"/>
      <c r="J6" s="3468">
        <v>1</v>
      </c>
      <c r="K6" s="3469" t="s">
        <v>3012</v>
      </c>
      <c r="L6" s="3071" t="s">
        <v>3013</v>
      </c>
      <c r="M6" s="3072" t="s">
        <v>3014</v>
      </c>
      <c r="N6" s="3072" t="s">
        <v>3015</v>
      </c>
      <c r="O6" s="3072" t="s">
        <v>3016</v>
      </c>
      <c r="P6" s="3072" t="s">
        <v>3017</v>
      </c>
      <c r="Q6" s="3072" t="s">
        <v>3018</v>
      </c>
      <c r="R6" s="3055" t="s">
        <v>3019</v>
      </c>
      <c r="S6" s="3038"/>
      <c r="T6" s="3038" t="s">
        <v>3020</v>
      </c>
      <c r="U6" s="3038"/>
      <c r="V6" s="3046"/>
    </row>
    <row r="7" spans="1:22" s="3050" customFormat="1" ht="13.15" customHeight="1">
      <c r="A7" s="3073" t="s">
        <v>3021</v>
      </c>
      <c r="B7" s="3074"/>
      <c r="C7" s="3075"/>
      <c r="D7" s="3076">
        <f>SUM(D9,D10,D11,D17,0)</f>
        <v>0</v>
      </c>
      <c r="E7" s="3077" t="e">
        <f>E9+E10+E11+E17</f>
        <v>#DIV/0!</v>
      </c>
      <c r="F7" s="3078"/>
      <c r="G7" s="3079"/>
      <c r="H7" s="3045"/>
      <c r="I7" s="3046"/>
      <c r="J7" s="3468"/>
      <c r="K7" s="3470"/>
      <c r="L7" s="3080" t="s">
        <v>3022</v>
      </c>
      <c r="M7" s="3081"/>
      <c r="N7" s="3057"/>
      <c r="O7" s="3082"/>
      <c r="P7" s="3082"/>
      <c r="Q7" s="3083">
        <v>365</v>
      </c>
      <c r="R7" s="3084">
        <f>ROUND(M7*N7*O7*P7*Q7/10000,0)</f>
        <v>0</v>
      </c>
      <c r="S7" s="3038"/>
      <c r="T7" s="3038" t="s">
        <v>3023</v>
      </c>
      <c r="U7" s="3038"/>
      <c r="V7" s="3046"/>
    </row>
    <row r="8" spans="1:22" s="3050" customFormat="1" ht="13.15" customHeight="1">
      <c r="A8" s="3085" t="s">
        <v>3024</v>
      </c>
      <c r="B8" s="3485" t="s">
        <v>3025</v>
      </c>
      <c r="C8" s="3486"/>
      <c r="D8" s="3086" t="s">
        <v>3026</v>
      </c>
      <c r="E8" s="3087" t="s">
        <v>3027</v>
      </c>
      <c r="F8" s="3088" t="s">
        <v>3028</v>
      </c>
      <c r="G8" s="3089"/>
      <c r="H8" s="3045"/>
      <c r="I8" s="3046"/>
      <c r="J8" s="3468"/>
      <c r="K8" s="3470"/>
      <c r="L8" s="3080" t="s">
        <v>3029</v>
      </c>
      <c r="M8" s="3081"/>
      <c r="N8" s="3057"/>
      <c r="O8" s="3082"/>
      <c r="P8" s="3082"/>
      <c r="Q8" s="3083">
        <v>365</v>
      </c>
      <c r="R8" s="3084">
        <f t="shared" ref="R8:R13" si="0">ROUND(M8*N8*O8*P8*Q8/10000,0)</f>
        <v>0</v>
      </c>
      <c r="S8" s="3038"/>
      <c r="T8" s="3038" t="s">
        <v>3030</v>
      </c>
      <c r="U8" s="3038"/>
      <c r="V8" s="3046"/>
    </row>
    <row r="9" spans="1:22" s="3050" customFormat="1" ht="13.15" customHeight="1">
      <c r="A9" s="3085">
        <v>1</v>
      </c>
      <c r="B9" s="3485" t="s">
        <v>3031</v>
      </c>
      <c r="C9" s="3486"/>
      <c r="D9" s="3086">
        <f>ROUND(D6*E9,0)</f>
        <v>0</v>
      </c>
      <c r="E9" s="3090"/>
      <c r="F9" s="3091" t="s">
        <v>3032</v>
      </c>
      <c r="G9" s="3070"/>
      <c r="H9" s="3045"/>
      <c r="I9" s="3046"/>
      <c r="J9" s="3468"/>
      <c r="K9" s="3470"/>
      <c r="L9" s="3080" t="s">
        <v>3033</v>
      </c>
      <c r="M9" s="3081"/>
      <c r="N9" s="3057"/>
      <c r="O9" s="3082"/>
      <c r="P9" s="3082"/>
      <c r="Q9" s="3083">
        <v>365</v>
      </c>
      <c r="R9" s="3084">
        <f t="shared" si="0"/>
        <v>0</v>
      </c>
      <c r="S9" s="3038"/>
      <c r="T9" s="3038"/>
      <c r="U9" s="3038"/>
      <c r="V9" s="3046"/>
    </row>
    <row r="10" spans="1:22" s="3050" customFormat="1" ht="13.15" customHeight="1">
      <c r="A10" s="3085">
        <v>2</v>
      </c>
      <c r="B10" s="3485" t="s">
        <v>3034</v>
      </c>
      <c r="C10" s="3486"/>
      <c r="D10" s="3086">
        <f>ROUND(D6*E10,0)</f>
        <v>0</v>
      </c>
      <c r="E10" s="3090"/>
      <c r="F10" s="3091" t="s">
        <v>3035</v>
      </c>
      <c r="G10" s="3070"/>
      <c r="H10" s="3045"/>
      <c r="I10" s="3046"/>
      <c r="J10" s="3468"/>
      <c r="K10" s="3470"/>
      <c r="L10" s="3080" t="s">
        <v>3036</v>
      </c>
      <c r="M10" s="3081"/>
      <c r="N10" s="3057"/>
      <c r="O10" s="3082"/>
      <c r="P10" s="3082"/>
      <c r="Q10" s="3083">
        <v>365</v>
      </c>
      <c r="R10" s="3084">
        <f t="shared" si="0"/>
        <v>0</v>
      </c>
      <c r="S10" s="3038"/>
      <c r="T10" s="3038"/>
      <c r="U10" s="3038"/>
      <c r="V10" s="3046"/>
    </row>
    <row r="11" spans="1:22" s="3050" customFormat="1" ht="13.15" customHeight="1">
      <c r="A11" s="3085">
        <v>3</v>
      </c>
      <c r="B11" s="3485" t="s">
        <v>3037</v>
      </c>
      <c r="C11" s="3486"/>
      <c r="D11" s="3086">
        <f>D12+D14+D15+D16</f>
        <v>0</v>
      </c>
      <c r="E11" s="3092" t="e">
        <f>D11/D6</f>
        <v>#DIV/0!</v>
      </c>
      <c r="F11" s="3088"/>
      <c r="G11" s="3089"/>
      <c r="H11" s="3045"/>
      <c r="I11" s="3046"/>
      <c r="J11" s="3468"/>
      <c r="K11" s="3470"/>
      <c r="L11" s="3080" t="s">
        <v>3038</v>
      </c>
      <c r="M11" s="3081"/>
      <c r="N11" s="3057"/>
      <c r="O11" s="3082"/>
      <c r="P11" s="3082"/>
      <c r="Q11" s="3083">
        <v>365</v>
      </c>
      <c r="R11" s="3084">
        <f t="shared" si="0"/>
        <v>0</v>
      </c>
      <c r="S11" s="3038"/>
      <c r="T11" s="3038"/>
      <c r="U11" s="3038"/>
      <c r="V11" s="3046"/>
    </row>
    <row r="12" spans="1:22" s="3050" customFormat="1" ht="13.15" customHeight="1">
      <c r="A12" s="3093" t="s">
        <v>3039</v>
      </c>
      <c r="B12" s="3478" t="s">
        <v>3040</v>
      </c>
      <c r="C12" s="3479"/>
      <c r="D12" s="3094">
        <f>ROUND(D13*1.2%*(1-30%),0)</f>
        <v>0</v>
      </c>
      <c r="E12" s="3095">
        <v>1.2E-2</v>
      </c>
      <c r="F12" s="3088" t="s">
        <v>3041</v>
      </c>
      <c r="G12" s="3089"/>
      <c r="H12" s="3045"/>
      <c r="I12" s="3046"/>
      <c r="J12" s="3468"/>
      <c r="K12" s="3470"/>
      <c r="L12" s="3080" t="s">
        <v>3042</v>
      </c>
      <c r="M12" s="3081"/>
      <c r="N12" s="3057"/>
      <c r="O12" s="3082"/>
      <c r="P12" s="3082"/>
      <c r="Q12" s="3083">
        <v>365</v>
      </c>
      <c r="R12" s="3084">
        <f t="shared" si="0"/>
        <v>0</v>
      </c>
      <c r="S12" s="3038"/>
      <c r="T12" s="3038"/>
      <c r="U12" s="3038"/>
      <c r="V12" s="3046"/>
    </row>
    <row r="13" spans="1:22" s="3050" customFormat="1" ht="13.15" customHeight="1">
      <c r="A13" s="3093"/>
      <c r="B13" s="3096"/>
      <c r="C13" s="3097" t="s">
        <v>3043</v>
      </c>
      <c r="D13" s="3098"/>
      <c r="E13" s="3099"/>
      <c r="F13" s="3088"/>
      <c r="G13" s="3089"/>
      <c r="H13" s="3045"/>
      <c r="I13" s="3046"/>
      <c r="J13" s="3468"/>
      <c r="K13" s="3470"/>
      <c r="L13" s="3080" t="s">
        <v>3044</v>
      </c>
      <c r="M13" s="3081"/>
      <c r="N13" s="3057"/>
      <c r="O13" s="3082"/>
      <c r="P13" s="3082"/>
      <c r="Q13" s="3083">
        <v>365</v>
      </c>
      <c r="R13" s="3084">
        <f t="shared" si="0"/>
        <v>0</v>
      </c>
      <c r="S13" s="3038"/>
      <c r="T13" s="3038"/>
      <c r="U13" s="3038"/>
      <c r="V13" s="3046"/>
    </row>
    <row r="14" spans="1:22" s="3050" customFormat="1" ht="13.15" customHeight="1">
      <c r="A14" s="3093" t="s">
        <v>3045</v>
      </c>
      <c r="B14" s="3478" t="s">
        <v>3046</v>
      </c>
      <c r="C14" s="3479"/>
      <c r="D14" s="3094">
        <f>ROUND(E14*B5/10000,0)</f>
        <v>0</v>
      </c>
      <c r="E14" s="3083"/>
      <c r="F14" s="3088" t="s">
        <v>3047</v>
      </c>
      <c r="G14" s="3089"/>
      <c r="H14" s="3045"/>
      <c r="I14" s="3046"/>
      <c r="J14" s="3468"/>
      <c r="K14" s="3471"/>
      <c r="L14" s="3100" t="s">
        <v>3048</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3049</v>
      </c>
      <c r="B15" s="3478" t="s">
        <v>3050</v>
      </c>
      <c r="C15" s="3479"/>
      <c r="D15" s="3094">
        <f>ROUND(D6*E15,0)</f>
        <v>0</v>
      </c>
      <c r="E15" s="3095">
        <v>5.5E-2</v>
      </c>
      <c r="F15" s="3088" t="s">
        <v>3051</v>
      </c>
      <c r="G15" s="3070"/>
      <c r="H15" s="3045"/>
      <c r="I15" s="3046"/>
      <c r="J15" s="3468">
        <v>2</v>
      </c>
      <c r="K15" s="3469" t="s">
        <v>3052</v>
      </c>
      <c r="L15" s="3080" t="s">
        <v>3053</v>
      </c>
      <c r="M15" s="3081" t="s">
        <v>3054</v>
      </c>
      <c r="N15" s="3081" t="s">
        <v>3055</v>
      </c>
      <c r="O15" s="3082" t="s">
        <v>3056</v>
      </c>
      <c r="P15" s="3082" t="s">
        <v>3018</v>
      </c>
      <c r="Q15" s="3057" t="s">
        <v>3057</v>
      </c>
      <c r="R15" s="3104" t="s">
        <v>3019</v>
      </c>
      <c r="S15" s="3038"/>
      <c r="T15" s="3038"/>
      <c r="U15" s="3038"/>
      <c r="V15" s="3046"/>
    </row>
    <row r="16" spans="1:22" s="3050" customFormat="1" ht="13.15" customHeight="1">
      <c r="A16" s="3093" t="s">
        <v>3058</v>
      </c>
      <c r="B16" s="3478" t="s">
        <v>3059</v>
      </c>
      <c r="C16" s="3479"/>
      <c r="D16" s="3105">
        <f>D6*E16</f>
        <v>0</v>
      </c>
      <c r="E16" s="3106"/>
      <c r="F16" s="3091" t="s">
        <v>3060</v>
      </c>
      <c r="G16" s="3070"/>
      <c r="H16" s="3045"/>
      <c r="I16" s="3046"/>
      <c r="J16" s="3468"/>
      <c r="K16" s="3470"/>
      <c r="L16" s="3080" t="s">
        <v>3061</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3062</v>
      </c>
      <c r="C17" s="3481"/>
      <c r="D17" s="3108">
        <f>ROUND(D6*E17,0)</f>
        <v>0</v>
      </c>
      <c r="E17" s="3109"/>
      <c r="F17" s="3110" t="s">
        <v>3063</v>
      </c>
      <c r="G17" s="3070"/>
      <c r="H17" s="3045"/>
      <c r="I17" s="3046"/>
      <c r="J17" s="3468"/>
      <c r="K17" s="3470"/>
      <c r="L17" s="3080" t="s">
        <v>3064</v>
      </c>
      <c r="M17" s="3081"/>
      <c r="N17" s="3081"/>
      <c r="O17" s="3082"/>
      <c r="P17" s="3083">
        <v>365</v>
      </c>
      <c r="Q17" s="3057"/>
      <c r="R17" s="3104">
        <f>ROUND(M17*N17*O17*P17/10000,0)</f>
        <v>0</v>
      </c>
      <c r="S17" s="3038"/>
      <c r="T17" s="3038"/>
      <c r="U17" s="3038"/>
      <c r="V17" s="3046"/>
    </row>
    <row r="18" spans="1:22" s="3050" customFormat="1" ht="13.15" customHeight="1" thickBot="1">
      <c r="A18" s="3073" t="s">
        <v>3065</v>
      </c>
      <c r="B18" s="3074"/>
      <c r="C18" s="3074"/>
      <c r="D18" s="3111">
        <f>ROUND(D6*E18,0)</f>
        <v>0</v>
      </c>
      <c r="E18" s="3112"/>
      <c r="F18" s="3113" t="s">
        <v>3066</v>
      </c>
      <c r="G18" s="3070"/>
      <c r="H18" s="3045"/>
      <c r="I18" s="3046"/>
      <c r="J18" s="3468"/>
      <c r="K18" s="3470"/>
      <c r="L18" s="3080" t="s">
        <v>3067</v>
      </c>
      <c r="M18" s="3081"/>
      <c r="N18" s="3081"/>
      <c r="O18" s="3082"/>
      <c r="P18" s="3083">
        <v>365</v>
      </c>
      <c r="Q18" s="3057"/>
      <c r="R18" s="3104">
        <f>ROUND(M18*N18*O18*P18/10000,0)</f>
        <v>0</v>
      </c>
      <c r="S18" s="3038"/>
      <c r="T18" s="3038"/>
      <c r="U18" s="3038"/>
      <c r="V18" s="3046"/>
    </row>
    <row r="19" spans="1:22" s="3050" customFormat="1" ht="13.15" customHeight="1" thickBot="1">
      <c r="A19" s="3114" t="s">
        <v>3068</v>
      </c>
      <c r="B19" s="3068"/>
      <c r="C19" s="3068"/>
      <c r="D19" s="3068"/>
      <c r="E19" s="3068"/>
      <c r="F19" s="3069"/>
      <c r="G19" s="3089"/>
      <c r="H19" s="3045"/>
      <c r="I19" s="3046"/>
      <c r="J19" s="3468"/>
      <c r="K19" s="3471"/>
      <c r="L19" s="3100" t="s">
        <v>3048</v>
      </c>
      <c r="M19" s="3101"/>
      <c r="N19" s="3101">
        <f>SUM(N16:N18)</f>
        <v>0</v>
      </c>
      <c r="O19" s="3102"/>
      <c r="P19" s="3115" t="s">
        <v>3112</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3069</v>
      </c>
      <c r="L20" s="3080" t="s">
        <v>3070</v>
      </c>
      <c r="M20" s="3081" t="s">
        <v>3071</v>
      </c>
      <c r="N20" s="3118" t="s">
        <v>3072</v>
      </c>
      <c r="O20" s="3082" t="s">
        <v>3073</v>
      </c>
      <c r="P20" s="3083" t="s">
        <v>3074</v>
      </c>
      <c r="Q20" s="3057" t="s">
        <v>3075</v>
      </c>
      <c r="R20" s="3104" t="s">
        <v>3076</v>
      </c>
      <c r="S20" s="3119"/>
      <c r="T20" s="3119"/>
      <c r="U20" s="3119"/>
      <c r="V20" s="3046"/>
    </row>
    <row r="21" spans="1:22" s="3050" customFormat="1" ht="13.15" customHeight="1">
      <c r="A21" s="3073"/>
      <c r="B21" s="3074"/>
      <c r="C21" s="3120" t="s">
        <v>3077</v>
      </c>
      <c r="D21" s="3121" t="s">
        <v>3078</v>
      </c>
      <c r="E21" s="3122" t="s">
        <v>3079</v>
      </c>
      <c r="F21" s="3117"/>
      <c r="G21" s="3089"/>
      <c r="H21" s="3045"/>
      <c r="I21" s="3046"/>
      <c r="J21" s="3468"/>
      <c r="K21" s="3470"/>
      <c r="L21" s="3080" t="s">
        <v>3080</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3081</v>
      </c>
      <c r="D22" s="3125" t="s">
        <v>3082</v>
      </c>
      <c r="E22" s="3126" t="s">
        <v>3083</v>
      </c>
      <c r="F22" s="3117"/>
      <c r="G22" s="3127"/>
      <c r="H22" s="3045"/>
      <c r="I22" s="3046"/>
      <c r="J22" s="3468"/>
      <c r="K22" s="3470"/>
      <c r="L22" s="3080" t="s">
        <v>3084</v>
      </c>
      <c r="M22" s="3081"/>
      <c r="N22" s="3081"/>
      <c r="O22" s="3082"/>
      <c r="P22" s="3083">
        <v>365</v>
      </c>
      <c r="Q22" s="3057"/>
      <c r="R22" s="3123">
        <f>ROUND(M22*N22*O22*P22/10000,0)</f>
        <v>0</v>
      </c>
      <c r="S22" s="3119"/>
      <c r="T22" s="3119"/>
      <c r="U22" s="3119"/>
      <c r="V22" s="3046"/>
    </row>
    <row r="23" spans="1:22" s="3050" customFormat="1" ht="13.15" customHeight="1">
      <c r="A23" s="3128">
        <v>1</v>
      </c>
      <c r="B23" s="3129" t="s">
        <v>3085</v>
      </c>
      <c r="C23" s="3130">
        <f>D6</f>
        <v>0</v>
      </c>
      <c r="D23" s="3131">
        <f>C23*(1+D24)</f>
        <v>0</v>
      </c>
      <c r="E23" s="3132">
        <f>D23*(1+E24)</f>
        <v>0</v>
      </c>
      <c r="F23" s="3133"/>
      <c r="G23" s="3134"/>
      <c r="H23" s="3045"/>
      <c r="I23" s="3046"/>
      <c r="J23" s="3468"/>
      <c r="K23" s="3470"/>
      <c r="L23" s="3080" t="s">
        <v>3086</v>
      </c>
      <c r="M23" s="3081"/>
      <c r="N23" s="3081"/>
      <c r="O23" s="3082"/>
      <c r="P23" s="3083">
        <v>365</v>
      </c>
      <c r="Q23" s="3057"/>
      <c r="R23" s="3123">
        <f>ROUND(M23*N23*O23*P23/10000,0)</f>
        <v>0</v>
      </c>
      <c r="S23" s="3038"/>
      <c r="T23" s="3038"/>
      <c r="U23" s="3038"/>
      <c r="V23" s="3046"/>
    </row>
    <row r="24" spans="1:22" s="3050" customFormat="1" ht="13.15" customHeight="1">
      <c r="A24" s="3135"/>
      <c r="B24" s="3136" t="s">
        <v>3087</v>
      </c>
      <c r="C24" s="3137"/>
      <c r="D24" s="3138"/>
      <c r="E24" s="3139"/>
      <c r="F24" s="3140"/>
      <c r="G24" s="3134"/>
      <c r="H24" s="3045"/>
      <c r="I24" s="3046"/>
      <c r="J24" s="3468"/>
      <c r="K24" s="3471"/>
      <c r="L24" s="3100" t="s">
        <v>3048</v>
      </c>
      <c r="M24" s="3101">
        <f>SUM(M21:M23)</f>
        <v>0</v>
      </c>
      <c r="N24" s="3101"/>
      <c r="O24" s="3102"/>
      <c r="P24" s="3115" t="s">
        <v>3112</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3088</v>
      </c>
      <c r="L25" s="3143"/>
      <c r="M25" s="3143"/>
      <c r="N25" s="3143"/>
      <c r="O25" s="3143"/>
      <c r="P25" s="3144"/>
      <c r="Q25" s="3145">
        <v>0</v>
      </c>
      <c r="R25" s="3116">
        <f>ROUND(R14*Q25,0)</f>
        <v>0</v>
      </c>
      <c r="S25" s="3038"/>
      <c r="T25" s="3038"/>
      <c r="U25" s="3038"/>
      <c r="V25" s="3146"/>
    </row>
    <row r="26" spans="1:22" s="3147" customFormat="1" ht="13.15" customHeight="1">
      <c r="A26" s="3128">
        <v>2</v>
      </c>
      <c r="B26" s="3129" t="s">
        <v>3089</v>
      </c>
      <c r="C26" s="3130">
        <f>D7</f>
        <v>0</v>
      </c>
      <c r="D26" s="3131">
        <f>D23*D27</f>
        <v>0</v>
      </c>
      <c r="E26" s="3132">
        <f>E23*E27</f>
        <v>0</v>
      </c>
      <c r="F26" s="3133"/>
      <c r="G26" s="3134"/>
      <c r="H26" s="3045"/>
      <c r="I26" s="3046"/>
      <c r="J26" s="3472">
        <v>5</v>
      </c>
      <c r="K26" s="3148" t="s">
        <v>3090</v>
      </c>
      <c r="L26" s="3149"/>
      <c r="M26" s="3150"/>
      <c r="N26" s="3151" t="s">
        <v>3091</v>
      </c>
      <c r="O26" s="3151" t="s">
        <v>3092</v>
      </c>
      <c r="P26" s="3152" t="s">
        <v>3093</v>
      </c>
      <c r="Q26" s="3152" t="s">
        <v>3094</v>
      </c>
      <c r="R26" s="3055" t="s">
        <v>3019</v>
      </c>
      <c r="S26" s="3153"/>
      <c r="T26" s="3153"/>
      <c r="U26" s="3153"/>
      <c r="V26" s="3146"/>
    </row>
    <row r="27" spans="1:22" s="3050" customFormat="1" ht="13.15" customHeight="1">
      <c r="A27" s="3135"/>
      <c r="B27" s="3136" t="s">
        <v>3095</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3096</v>
      </c>
      <c r="F28" s="3140"/>
      <c r="G28" s="3127"/>
      <c r="H28" s="3155"/>
      <c r="I28" s="3146"/>
      <c r="J28" s="3161">
        <v>6</v>
      </c>
      <c r="K28" s="3162" t="s">
        <v>3097</v>
      </c>
      <c r="L28" s="3163" t="s">
        <v>3098</v>
      </c>
      <c r="M28" s="3164"/>
      <c r="N28" s="3163" t="s">
        <v>3099</v>
      </c>
      <c r="O28" s="3165"/>
      <c r="P28" s="3163" t="s">
        <v>3100</v>
      </c>
      <c r="Q28" s="3166">
        <v>1.4999999999999999E-2</v>
      </c>
      <c r="R28" s="3167"/>
      <c r="S28" s="3119"/>
      <c r="T28" s="3119"/>
      <c r="U28" s="3119"/>
      <c r="V28" s="3146"/>
    </row>
    <row r="29" spans="1:22" s="3147" customFormat="1" ht="13.15" customHeight="1">
      <c r="A29" s="3128">
        <v>3</v>
      </c>
      <c r="B29" s="3129" t="s">
        <v>3101</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3095</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3102</v>
      </c>
      <c r="K31" s="3036"/>
      <c r="L31" s="3036"/>
      <c r="M31" s="3036"/>
      <c r="N31" s="3036"/>
      <c r="O31" s="3036"/>
      <c r="P31" s="3036"/>
      <c r="Q31" s="3036"/>
      <c r="R31" s="3037"/>
      <c r="S31" s="3119"/>
      <c r="T31" s="3038"/>
      <c r="U31" s="3038"/>
      <c r="V31" s="3146"/>
    </row>
    <row r="32" spans="1:22" s="3147" customFormat="1" ht="13.15" customHeight="1">
      <c r="A32" s="3128">
        <v>4</v>
      </c>
      <c r="B32" s="3129" t="s">
        <v>3103</v>
      </c>
      <c r="C32" s="3130">
        <f>C23-C26-C29</f>
        <v>0</v>
      </c>
      <c r="D32" s="3131">
        <f>D23-D26-D29</f>
        <v>0</v>
      </c>
      <c r="E32" s="3132">
        <f>E23-E26-E29</f>
        <v>0</v>
      </c>
      <c r="F32" s="3133"/>
      <c r="G32" s="3127"/>
      <c r="H32" s="3045"/>
      <c r="I32" s="3046"/>
      <c r="J32" s="3474" t="s">
        <v>2995</v>
      </c>
      <c r="K32" s="3475"/>
      <c r="L32" s="3047" t="s">
        <v>2996</v>
      </c>
      <c r="M32" s="3047" t="s">
        <v>2997</v>
      </c>
      <c r="N32" s="3047" t="s">
        <v>2998</v>
      </c>
      <c r="O32" s="3047" t="s">
        <v>2999</v>
      </c>
      <c r="P32" s="3047" t="s">
        <v>3000</v>
      </c>
      <c r="Q32" s="3048" t="s">
        <v>3001</v>
      </c>
      <c r="R32" s="3170" t="s">
        <v>3002</v>
      </c>
      <c r="S32" s="3119"/>
      <c r="T32" s="3038"/>
      <c r="U32" s="3038"/>
      <c r="V32" s="3146"/>
    </row>
    <row r="33" spans="1:23" s="3050" customFormat="1" ht="13.15" customHeight="1">
      <c r="A33" s="3128"/>
      <c r="B33" s="3129"/>
      <c r="C33" s="3130"/>
      <c r="D33" s="3171"/>
      <c r="E33" s="3172"/>
      <c r="F33" s="3133"/>
      <c r="G33" s="3127"/>
      <c r="H33" s="3155"/>
      <c r="I33" s="3146"/>
      <c r="J33" s="3476" t="s">
        <v>3005</v>
      </c>
      <c r="K33" s="3477"/>
      <c r="L33" s="3053"/>
      <c r="M33" s="3053"/>
      <c r="N33" s="3053"/>
      <c r="O33" s="3053"/>
      <c r="P33" s="3053"/>
      <c r="Q33" s="3054"/>
      <c r="R33" s="3173">
        <f>SUM(L33:Q33)</f>
        <v>0</v>
      </c>
      <c r="S33" s="3119"/>
      <c r="T33" s="3038"/>
      <c r="U33" s="3038"/>
      <c r="V33" s="3046"/>
    </row>
    <row r="34" spans="1:23" s="3050" customFormat="1" ht="13.15" customHeight="1">
      <c r="A34" s="3128">
        <v>5</v>
      </c>
      <c r="B34" s="3129" t="s">
        <v>3104</v>
      </c>
      <c r="C34" s="3174"/>
      <c r="D34" s="3175"/>
      <c r="E34" s="3176"/>
      <c r="F34" s="3133"/>
      <c r="G34" s="3127"/>
      <c r="H34" s="3155"/>
      <c r="I34" s="3146"/>
      <c r="J34" s="3476" t="s">
        <v>3007</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3105</v>
      </c>
      <c r="C35" s="3178"/>
      <c r="D35" s="3179"/>
      <c r="E35" s="3180"/>
      <c r="F35" s="3133"/>
      <c r="G35" s="3181"/>
      <c r="H35" s="3045"/>
      <c r="I35" s="3146"/>
      <c r="J35" s="3064" t="s">
        <v>3009</v>
      </c>
      <c r="K35" s="3065"/>
      <c r="L35" s="3065"/>
      <c r="M35" s="3066"/>
      <c r="N35" s="3066"/>
      <c r="O35" s="3066"/>
      <c r="P35" s="3066"/>
      <c r="Q35" s="3066"/>
      <c r="R35" s="3182">
        <f>R40+R41+R43</f>
        <v>0</v>
      </c>
      <c r="S35" s="3119"/>
      <c r="T35" s="3038" t="s">
        <v>3010</v>
      </c>
      <c r="U35" s="3038"/>
      <c r="V35" s="3046"/>
    </row>
    <row r="36" spans="1:23" s="3050" customFormat="1" ht="13.15" customHeight="1" thickBot="1">
      <c r="A36" s="3128">
        <v>7</v>
      </c>
      <c r="B36" s="3183" t="s">
        <v>3106</v>
      </c>
      <c r="C36" s="3184"/>
      <c r="D36" s="3185"/>
      <c r="E36" s="3186"/>
      <c r="F36" s="3187">
        <f>C36+D36+E36</f>
        <v>0</v>
      </c>
      <c r="G36" s="3127"/>
      <c r="H36" s="3045"/>
      <c r="I36" s="3046"/>
      <c r="J36" s="3468">
        <v>1</v>
      </c>
      <c r="K36" s="3469" t="s">
        <v>3107</v>
      </c>
      <c r="L36" s="3071"/>
      <c r="M36" s="3072"/>
      <c r="N36" s="3072"/>
      <c r="O36" s="3072"/>
      <c r="P36" s="3072"/>
      <c r="Q36" s="3072"/>
      <c r="R36" s="3055" t="s">
        <v>3019</v>
      </c>
      <c r="S36" s="3119"/>
      <c r="T36" s="3038" t="s">
        <v>3020</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3023</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3030</v>
      </c>
      <c r="U38" s="3038"/>
      <c r="V38" s="3046"/>
    </row>
    <row r="39" spans="1:23" s="3050" customFormat="1" ht="13.15" customHeight="1">
      <c r="A39" s="3128">
        <v>9</v>
      </c>
      <c r="B39" s="3129" t="s">
        <v>3108</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3109</v>
      </c>
      <c r="C40" s="3190" t="e">
        <f>C39+D39+E39</f>
        <v>#DIV/0!</v>
      </c>
      <c r="D40" s="3191"/>
      <c r="E40" s="3191"/>
      <c r="F40" s="3192"/>
      <c r="G40" s="3127"/>
      <c r="H40" s="3045"/>
      <c r="I40" s="3046"/>
      <c r="J40" s="3468"/>
      <c r="K40" s="3471"/>
      <c r="L40" s="3100" t="s">
        <v>3048</v>
      </c>
      <c r="M40" s="3101"/>
      <c r="N40" s="3101"/>
      <c r="O40" s="3102"/>
      <c r="P40" s="3102"/>
      <c r="Q40" s="3103"/>
      <c r="R40" s="3049">
        <f>SUM(R37:R39)</f>
        <v>0</v>
      </c>
      <c r="S40" s="3119"/>
      <c r="T40" s="3038"/>
      <c r="U40" s="3038"/>
      <c r="V40" s="3046"/>
    </row>
    <row r="41" spans="1:23" s="3050" customFormat="1" ht="13.15" customHeight="1" thickBot="1">
      <c r="A41" s="3193">
        <v>11</v>
      </c>
      <c r="B41" s="3194" t="s">
        <v>3110</v>
      </c>
      <c r="C41" s="3194" t="e">
        <f>ROUND(C40*10000/B4,0)</f>
        <v>#DIV/0!</v>
      </c>
      <c r="D41" s="3195"/>
      <c r="E41" s="3195"/>
      <c r="F41" s="3196"/>
      <c r="G41" s="3197"/>
      <c r="H41" s="3045"/>
      <c r="I41" s="3046"/>
      <c r="J41" s="3141">
        <v>2</v>
      </c>
      <c r="K41" s="3142" t="s">
        <v>3088</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3090</v>
      </c>
      <c r="L42" s="3149"/>
      <c r="M42" s="3150"/>
      <c r="N42" s="3151" t="s">
        <v>3091</v>
      </c>
      <c r="O42" s="3151" t="s">
        <v>3092</v>
      </c>
      <c r="P42" s="3152" t="s">
        <v>3093</v>
      </c>
      <c r="Q42" s="3152" t="s">
        <v>3094</v>
      </c>
      <c r="R42" s="3055" t="s">
        <v>3019</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3097</v>
      </c>
      <c r="L44" s="3201" t="s">
        <v>3098</v>
      </c>
      <c r="M44" s="3164"/>
      <c r="N44" s="3201" t="s">
        <v>3099</v>
      </c>
      <c r="O44" s="3164"/>
      <c r="P44" s="3201" t="s">
        <v>3100</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2"/>
      <c r="G1" s="1644"/>
      <c r="H1" s="1644"/>
      <c r="I1" s="1644"/>
      <c r="J1" s="1644"/>
      <c r="K1" s="1644"/>
      <c r="L1" s="1644"/>
      <c r="M1" s="1644"/>
      <c r="N1" s="1644"/>
      <c r="O1" s="1644"/>
      <c r="P1" s="1644"/>
      <c r="Q1" s="1644"/>
      <c r="R1" s="1644"/>
      <c r="S1" s="1644"/>
    </row>
    <row r="2" spans="1:22" ht="15.75">
      <c r="A2" s="2026" t="s">
        <v>2088</v>
      </c>
      <c r="B2" s="2027">
        <f ca="1">SUMIF(B6:B13,"&lt;&gt;#ref!",B6:B13)</f>
        <v>1003</v>
      </c>
      <c r="C2" s="2028" t="s">
        <v>2280</v>
      </c>
      <c r="D2" s="2029" t="s">
        <v>2281</v>
      </c>
      <c r="E2" s="2799">
        <f>SUM(E6:E13)</f>
        <v>1604.01</v>
      </c>
      <c r="F2" s="2902"/>
      <c r="G2" s="1644"/>
      <c r="H2" s="1644"/>
      <c r="I2" s="1644"/>
      <c r="J2" s="1644"/>
      <c r="K2" s="1644"/>
      <c r="L2" s="1644"/>
      <c r="M2" s="1644"/>
      <c r="N2" s="1644"/>
      <c r="O2" s="1644"/>
      <c r="P2" s="1644"/>
      <c r="Q2" s="1644"/>
      <c r="R2" s="1644"/>
      <c r="S2" s="1644"/>
    </row>
    <row r="3" spans="1:22" ht="15.75">
      <c r="A3" s="2026" t="s">
        <v>1300</v>
      </c>
      <c r="B3" s="2793">
        <f ca="1">ROUND(B2*10000/E2,0)</f>
        <v>6253</v>
      </c>
      <c r="C3" s="2028" t="s">
        <v>2288</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5" t="s">
        <v>2282</v>
      </c>
      <c r="B5" s="3487" t="s">
        <v>2283</v>
      </c>
      <c r="C5" s="3488"/>
      <c r="D5" s="2903"/>
      <c r="E5" s="2030" t="s">
        <v>2284</v>
      </c>
      <c r="F5" s="2031" t="s">
        <v>2285</v>
      </c>
      <c r="G5" s="1644"/>
      <c r="H5" s="1644"/>
      <c r="I5" s="1644"/>
      <c r="J5" s="1644"/>
      <c r="K5" s="1644"/>
      <c r="L5" s="1644"/>
      <c r="M5" s="1644"/>
      <c r="N5" s="1644"/>
      <c r="O5" s="1644"/>
      <c r="P5" s="1644"/>
      <c r="Q5" s="1644"/>
      <c r="R5" s="1644"/>
      <c r="S5" s="1644"/>
    </row>
    <row r="6" spans="1:22">
      <c r="A6" s="2796" t="str">
        <f>'数据-取费表'!AN6</f>
        <v>收益法</v>
      </c>
      <c r="B6" s="2794">
        <f ca="1">IF(F6="是",'数据-取费表'!AO6,0)</f>
        <v>1003</v>
      </c>
      <c r="C6" s="2028" t="s">
        <v>2280</v>
      </c>
      <c r="D6" s="2904"/>
      <c r="E6" s="2798">
        <f>IF(OR(A6=0,F6="否"),0,'数据-取费表'!K6+'数据-取费表'!S6)</f>
        <v>1604.01</v>
      </c>
      <c r="F6" s="2032" t="s">
        <v>2286</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8" t="s">
        <v>2280</v>
      </c>
      <c r="D7" s="2904"/>
      <c r="E7" s="2798">
        <f>IF(OR(A7=0,F7="否"),0,'数据-取费表'!K7+'数据-取费表'!S7)</f>
        <v>0</v>
      </c>
      <c r="F7" s="2032" t="s">
        <v>2286</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8" t="s">
        <v>2280</v>
      </c>
      <c r="D8" s="2904"/>
      <c r="E8" s="2798">
        <f>IF(OR(A8=0,F8="否"),0,'数据-取费表'!K8+'数据-取费表'!S8)</f>
        <v>0</v>
      </c>
      <c r="F8" s="2032" t="s">
        <v>2286</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8" t="s">
        <v>2280</v>
      </c>
      <c r="D9" s="2904"/>
      <c r="E9" s="2798">
        <f>IF(OR(A9=0,F9="否"),0,'数据-取费表'!K9+'数据-取费表'!S9)</f>
        <v>0</v>
      </c>
      <c r="F9" s="2032" t="s">
        <v>2286</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8" t="s">
        <v>2280</v>
      </c>
      <c r="D10" s="2904"/>
      <c r="E10" s="2798">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8" t="s">
        <v>2280</v>
      </c>
      <c r="D11" s="2904"/>
      <c r="E11" s="2798">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8" t="s">
        <v>2280</v>
      </c>
      <c r="D12" s="2904"/>
      <c r="E12" s="2798">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3" t="s">
        <v>2280</v>
      </c>
      <c r="D13" s="2905"/>
      <c r="E13" s="2798">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工商银行：</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估价对象为北京市房地产，为所有。根据，估价对象（分摊）出让国有建设用地使用权面积为0平方米，建筑面积为1604.01平方米。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估价对象为北京市房地产,属开发建设的工业项目，该项目尚在开发建设中。根据，估价对象（分摊）出让国有建设用地使用权面积为0平方米，规划建筑面积为1604.01平方米。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1604.01</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2296</v>
      </c>
      <c r="B4" s="362"/>
      <c r="C4" s="3416" t="s">
        <v>2297</v>
      </c>
      <c r="D4" s="3443"/>
      <c r="E4" s="3444" t="s">
        <v>2298</v>
      </c>
      <c r="F4" s="3445"/>
      <c r="G4" s="3416" t="s">
        <v>2299</v>
      </c>
      <c r="H4" s="3443"/>
      <c r="I4" s="3416" t="s">
        <v>2300</v>
      </c>
      <c r="J4" s="3443"/>
      <c r="K4" s="2045" t="s">
        <v>2301</v>
      </c>
      <c r="L4" s="2910"/>
      <c r="M4" s="2911"/>
      <c r="N4" s="2911"/>
      <c r="O4" s="2911"/>
      <c r="P4" s="3446" t="s">
        <v>2302</v>
      </c>
      <c r="Q4" s="3447"/>
      <c r="R4" s="3423" t="s">
        <v>2298</v>
      </c>
      <c r="S4" s="3424"/>
      <c r="T4" s="3423" t="s">
        <v>2299</v>
      </c>
      <c r="U4" s="3424"/>
      <c r="V4" s="3436" t="s">
        <v>2300</v>
      </c>
      <c r="W4" s="3436"/>
      <c r="X4" s="1509"/>
      <c r="Y4" s="3423" t="s">
        <v>2302</v>
      </c>
      <c r="Z4" s="3424"/>
      <c r="AA4" s="3440" t="s">
        <v>2298</v>
      </c>
      <c r="AB4" s="3440" t="s">
        <v>2299</v>
      </c>
      <c r="AC4" s="3440" t="s">
        <v>2300</v>
      </c>
    </row>
    <row r="5" spans="1:29" ht="15">
      <c r="A5" s="364"/>
      <c r="B5" s="365"/>
      <c r="C5" s="3427" t="s">
        <v>2303</v>
      </c>
      <c r="D5" s="3428"/>
      <c r="E5" s="3452" t="s">
        <v>2304</v>
      </c>
      <c r="F5" s="3453"/>
      <c r="G5" s="3427" t="s">
        <v>2305</v>
      </c>
      <c r="H5" s="3428"/>
      <c r="I5" s="3427" t="s">
        <v>2306</v>
      </c>
      <c r="J5" s="3428"/>
      <c r="K5" s="2046"/>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2046"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44672</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21" t="s">
        <v>2310</v>
      </c>
      <c r="Q7" s="3431"/>
      <c r="R7" s="710" t="s">
        <v>23</v>
      </c>
      <c r="S7" s="711">
        <f t="shared" ref="S7:S15" si="0">F7</f>
        <v>0</v>
      </c>
      <c r="T7" s="710" t="s">
        <v>23</v>
      </c>
      <c r="U7" s="711">
        <f t="shared" ref="U7:U15" si="1">H7</f>
        <v>0</v>
      </c>
      <c r="V7" s="710" t="s">
        <v>23</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21" t="s">
        <v>2313</v>
      </c>
      <c r="Q8" s="3422"/>
      <c r="R8" s="710" t="s">
        <v>23</v>
      </c>
      <c r="S8" s="711">
        <f t="shared" si="0"/>
        <v>0</v>
      </c>
      <c r="T8" s="710" t="s">
        <v>23</v>
      </c>
      <c r="U8" s="711">
        <f t="shared" si="1"/>
        <v>0</v>
      </c>
      <c r="V8" s="710" t="s">
        <v>23</v>
      </c>
      <c r="W8" s="711">
        <f t="shared" si="2"/>
        <v>0</v>
      </c>
      <c r="X8" s="712"/>
      <c r="Y8" s="3421" t="s">
        <v>2313</v>
      </c>
      <c r="Z8" s="342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8"/>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8"/>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8"/>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8"/>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5"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6"/>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6"/>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6"/>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6"/>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6"/>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6"/>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6"/>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6"/>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6"/>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91"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92"/>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92"/>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92"/>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92"/>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2"/>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92"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92"/>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92"/>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92"/>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92"/>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92"/>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92"/>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92"/>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93"/>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19"/>
      <c r="M47" s="2920"/>
      <c r="N47" s="2911"/>
      <c r="O47" s="2920"/>
      <c r="P47" s="3419" t="str">
        <f>A47</f>
        <v>成交单价（元/平方米）</v>
      </c>
      <c r="Q47" s="341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19"/>
      <c r="M48" s="2920"/>
      <c r="N48" s="2920"/>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19"/>
      <c r="M49" s="2920"/>
      <c r="N49" s="2920"/>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1604.01</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36"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36"/>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36"/>
      <c r="AC6" s="3442"/>
    </row>
    <row r="7" spans="1:29" s="113" customFormat="1" ht="15.75" thickBot="1">
      <c r="A7" s="368" t="s">
        <v>2309</v>
      </c>
      <c r="B7" s="369"/>
      <c r="C7" s="370">
        <f>'数据-取费表'!B2</f>
        <v>44672</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5"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6"/>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6"/>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6"/>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6"/>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6"/>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91"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2"/>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92"/>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92"/>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2"/>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92"/>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92"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92"/>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2"/>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2"/>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92"/>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92"/>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2"/>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2"/>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3"/>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19"/>
      <c r="M47" s="2920"/>
      <c r="N47" s="2911"/>
      <c r="O47" s="2920"/>
      <c r="P47" s="3419" t="str">
        <f>A47</f>
        <v>成交单价（元/平方米）</v>
      </c>
      <c r="Q47" s="3419"/>
      <c r="R47" s="3436">
        <f>E47</f>
        <v>0</v>
      </c>
      <c r="S47" s="3436"/>
      <c r="T47" s="3436">
        <f>G47</f>
        <v>0</v>
      </c>
      <c r="U47" s="3436"/>
      <c r="V47" s="3436">
        <f>I47</f>
        <v>0</v>
      </c>
      <c r="W47" s="343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19"/>
      <c r="M48" s="2920"/>
      <c r="N48" s="2911"/>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9"/>
      <c r="M49" s="2920"/>
      <c r="N49" s="2911"/>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2435</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2346</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2311</v>
      </c>
      <c r="B61" s="467"/>
      <c r="C61" s="479" t="s">
        <v>2413</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2349</v>
      </c>
      <c r="B63" s="485" t="s">
        <v>2315</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2320</v>
      </c>
      <c r="B76" s="485" t="s">
        <v>2357</v>
      </c>
      <c r="C76" s="530" t="s">
        <v>2358</v>
      </c>
      <c r="D76" s="530" t="s">
        <v>2359</v>
      </c>
      <c r="E76" s="530" t="s">
        <v>2360</v>
      </c>
      <c r="F76" s="530" t="s">
        <v>2361</v>
      </c>
      <c r="G76" s="530" t="s">
        <v>2362</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2363</v>
      </c>
      <c r="C78" s="535" t="s">
        <v>2358</v>
      </c>
      <c r="D78" s="535" t="s">
        <v>2359</v>
      </c>
      <c r="E78" s="535" t="s">
        <v>2360</v>
      </c>
      <c r="F78" s="535" t="s">
        <v>2361</v>
      </c>
      <c r="G78" s="535" t="s">
        <v>2362</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2364</v>
      </c>
      <c r="C80" s="535" t="s">
        <v>2358</v>
      </c>
      <c r="D80" s="535" t="s">
        <v>2359</v>
      </c>
      <c r="E80" s="535" t="s">
        <v>2360</v>
      </c>
      <c r="F80" s="535" t="s">
        <v>2361</v>
      </c>
      <c r="G80" s="535" t="s">
        <v>2362</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2416</v>
      </c>
      <c r="C82" s="616" t="s">
        <v>2436</v>
      </c>
      <c r="D82" s="616" t="s">
        <v>2437</v>
      </c>
      <c r="E82" s="616" t="s">
        <v>2438</v>
      </c>
      <c r="F82" s="616" t="s">
        <v>2439</v>
      </c>
      <c r="G82" s="616" t="s">
        <v>2440</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2370</v>
      </c>
      <c r="C84" s="535" t="s">
        <v>2358</v>
      </c>
      <c r="D84" s="535" t="s">
        <v>2359</v>
      </c>
      <c r="E84" s="535" t="s">
        <v>2360</v>
      </c>
      <c r="F84" s="535" t="s">
        <v>2361</v>
      </c>
      <c r="G84" s="535" t="s">
        <v>2362</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2441</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2324</v>
      </c>
      <c r="B100" s="485" t="s">
        <v>2442</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2375</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2377</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2379</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2443</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2444</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2445</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2446</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2381</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1604.01</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507" t="s">
        <v>2412</v>
      </c>
      <c r="Q4" s="3508"/>
      <c r="R4" s="3511" t="s">
        <v>2408</v>
      </c>
      <c r="S4" s="3512"/>
      <c r="T4" s="3511" t="s">
        <v>2409</v>
      </c>
      <c r="U4" s="3512"/>
      <c r="V4" s="3513" t="s">
        <v>2410</v>
      </c>
      <c r="W4" s="3513"/>
      <c r="X4" s="2114"/>
      <c r="Y4" s="3511" t="s">
        <v>2412</v>
      </c>
      <c r="Z4" s="3512"/>
      <c r="AA4" s="3515" t="s">
        <v>2408</v>
      </c>
      <c r="AB4" s="3515" t="s">
        <v>2409</v>
      </c>
      <c r="AC4" s="3504" t="s">
        <v>2410</v>
      </c>
    </row>
    <row r="5" spans="1:29" ht="15">
      <c r="A5" s="364"/>
      <c r="B5" s="365"/>
      <c r="C5" s="3427" t="s">
        <v>2303</v>
      </c>
      <c r="D5" s="3428"/>
      <c r="E5" s="3452" t="s">
        <v>2304</v>
      </c>
      <c r="F5" s="3453"/>
      <c r="G5" s="3427" t="s">
        <v>2305</v>
      </c>
      <c r="H5" s="3428"/>
      <c r="I5" s="3427" t="s">
        <v>2306</v>
      </c>
      <c r="J5" s="3428"/>
      <c r="K5" s="567"/>
      <c r="L5" s="2910"/>
      <c r="M5" s="2911"/>
      <c r="N5" s="2911"/>
      <c r="O5" s="2911"/>
      <c r="P5" s="3509"/>
      <c r="Q5" s="3449"/>
      <c r="R5" s="3425"/>
      <c r="S5" s="3426"/>
      <c r="T5" s="3425"/>
      <c r="U5" s="3426"/>
      <c r="V5" s="3436"/>
      <c r="W5" s="3436"/>
      <c r="X5" s="1509"/>
      <c r="Y5" s="3425"/>
      <c r="Z5" s="3426"/>
      <c r="AA5" s="3441"/>
      <c r="AB5" s="3441"/>
      <c r="AC5" s="3505"/>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510"/>
      <c r="Q6" s="3451"/>
      <c r="R6" s="3425"/>
      <c r="S6" s="3426"/>
      <c r="T6" s="3434"/>
      <c r="U6" s="3435"/>
      <c r="V6" s="3436"/>
      <c r="W6" s="3436"/>
      <c r="X6" s="1509"/>
      <c r="Y6" s="3434"/>
      <c r="Z6" s="3435"/>
      <c r="AA6" s="3442"/>
      <c r="AB6" s="3442"/>
      <c r="AC6" s="3506"/>
    </row>
    <row r="7" spans="1:29" s="113" customFormat="1" ht="15.75" thickBot="1">
      <c r="A7" s="368" t="s">
        <v>2309</v>
      </c>
      <c r="B7" s="369"/>
      <c r="C7" s="370">
        <f>'数据-取费表'!B2</f>
        <v>44672</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14"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14" t="s">
        <v>2313</v>
      </c>
      <c r="Q8" s="3422"/>
      <c r="R8" s="710" t="s">
        <v>17</v>
      </c>
      <c r="S8" s="711">
        <f t="shared" si="0"/>
        <v>0</v>
      </c>
      <c r="T8" s="710" t="s">
        <v>17</v>
      </c>
      <c r="U8" s="711">
        <f t="shared" si="1"/>
        <v>0</v>
      </c>
      <c r="V8" s="710" t="s">
        <v>17</v>
      </c>
      <c r="W8" s="711">
        <f t="shared" si="2"/>
        <v>0</v>
      </c>
      <c r="X8" s="712"/>
      <c r="Y8" s="3421" t="s">
        <v>2313</v>
      </c>
      <c r="Z8" s="342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5"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6"/>
      <c r="Q22" s="1506"/>
      <c r="R22" s="714"/>
      <c r="S22" s="715"/>
      <c r="T22" s="714"/>
      <c r="U22" s="715"/>
      <c r="V22" s="714"/>
      <c r="W22" s="715"/>
      <c r="X22" s="1509"/>
      <c r="Y22" s="3438"/>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6"/>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6"/>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6"/>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6"/>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6"/>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6"/>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91"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2"/>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2"/>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2"/>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2"/>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2"/>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2"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2"/>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2"/>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2"/>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2"/>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92"/>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2"/>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2"/>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3"/>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19"/>
      <c r="M48" s="2911"/>
      <c r="N48" s="2911"/>
      <c r="O48" s="2911"/>
      <c r="P48" s="3418" t="str">
        <f>A48</f>
        <v>成交单价（元/平方米）</v>
      </c>
      <c r="Q48" s="341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19"/>
      <c r="M49" s="2911"/>
      <c r="N49" s="2911"/>
      <c r="O49" s="2911"/>
      <c r="P49" s="3418"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9"/>
      <c r="M50" s="2911"/>
      <c r="N50" s="2911"/>
      <c r="O50" s="291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2435</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2346</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2311</v>
      </c>
      <c r="B62" s="467"/>
      <c r="C62" s="479" t="s">
        <v>2413</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2349</v>
      </c>
      <c r="B64" s="485" t="s">
        <v>2315</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2320</v>
      </c>
      <c r="B77" s="485" t="s">
        <v>2458</v>
      </c>
      <c r="C77" s="530" t="s">
        <v>2358</v>
      </c>
      <c r="D77" s="530" t="s">
        <v>2359</v>
      </c>
      <c r="E77" s="530" t="s">
        <v>2360</v>
      </c>
      <c r="F77" s="530" t="s">
        <v>2361</v>
      </c>
      <c r="G77" s="530" t="s">
        <v>2362</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2363</v>
      </c>
      <c r="C79" s="535" t="s">
        <v>2358</v>
      </c>
      <c r="D79" s="535" t="s">
        <v>2359</v>
      </c>
      <c r="E79" s="535" t="s">
        <v>2360</v>
      </c>
      <c r="F79" s="535" t="s">
        <v>2361</v>
      </c>
      <c r="G79" s="535" t="s">
        <v>2362</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2364</v>
      </c>
      <c r="C81" s="535" t="s">
        <v>2358</v>
      </c>
      <c r="D81" s="535" t="s">
        <v>2359</v>
      </c>
      <c r="E81" s="535" t="s">
        <v>2360</v>
      </c>
      <c r="F81" s="535" t="s">
        <v>2361</v>
      </c>
      <c r="G81" s="535" t="s">
        <v>2362</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2450</v>
      </c>
      <c r="C83" s="616" t="s">
        <v>2436</v>
      </c>
      <c r="D83" s="616" t="s">
        <v>2437</v>
      </c>
      <c r="E83" s="616" t="s">
        <v>2438</v>
      </c>
      <c r="F83" s="616" t="s">
        <v>2439</v>
      </c>
      <c r="G83" s="616" t="s">
        <v>2440</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2459</v>
      </c>
      <c r="C85" s="535" t="s">
        <v>2358</v>
      </c>
      <c r="D85" s="535" t="s">
        <v>2359</v>
      </c>
      <c r="E85" s="535" t="s">
        <v>2360</v>
      </c>
      <c r="F85" s="535" t="s">
        <v>2361</v>
      </c>
      <c r="G85" s="535" t="s">
        <v>2362</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2460</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2324</v>
      </c>
      <c r="B101" s="485" t="s">
        <v>2373</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2375</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2377</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2461</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2378</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2379</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2462</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2445</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2381</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1604.01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1044"/>
      <c r="M4" s="1045"/>
      <c r="N4" s="1045"/>
      <c r="O4" s="1045"/>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1044"/>
      <c r="M5" s="1045"/>
      <c r="N5" s="1045"/>
      <c r="O5" s="1045"/>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1044"/>
      <c r="M6" s="1045"/>
      <c r="N6" s="1045"/>
      <c r="O6" s="1045"/>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44672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1" t="s">
        <v>2313</v>
      </c>
      <c r="Q8" s="3422"/>
      <c r="R8" s="710" t="s">
        <v>17</v>
      </c>
      <c r="S8" s="711">
        <f t="shared" si="0"/>
        <v>0</v>
      </c>
      <c r="T8" s="710" t="s">
        <v>17</v>
      </c>
      <c r="U8" s="711">
        <f t="shared" si="1"/>
        <v>0</v>
      </c>
      <c r="V8" s="710" t="s">
        <v>17</v>
      </c>
      <c r="W8" s="711">
        <f t="shared" si="2"/>
        <v>0</v>
      </c>
      <c r="X8" s="712"/>
      <c r="Y8" s="3421" t="s">
        <v>2313</v>
      </c>
      <c r="Z8" s="342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2464</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15">
      <c r="A21" s="387"/>
      <c r="B21" s="1265" t="s">
        <v>2450</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4"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19" t="str">
        <f>A41</f>
        <v>成交单价（元/平方米）</v>
      </c>
      <c r="Q41" s="341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5"/>
      <c r="O54" s="2966"/>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44672</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8"/>
      <c r="Q15" s="1506"/>
      <c r="R15" s="714"/>
      <c r="S15" s="715"/>
      <c r="T15" s="714"/>
      <c r="U15" s="715"/>
      <c r="V15" s="714"/>
      <c r="W15" s="715"/>
      <c r="X15" s="1509"/>
      <c r="Y15" s="3438"/>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8"/>
      <c r="Q17" s="1506"/>
      <c r="R17" s="714"/>
      <c r="S17" s="715"/>
      <c r="T17" s="714"/>
      <c r="U17" s="715"/>
      <c r="V17" s="714"/>
      <c r="W17" s="715"/>
      <c r="X17" s="1509"/>
      <c r="Y17" s="3438"/>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8"/>
      <c r="Q19" s="1506"/>
      <c r="R19" s="714"/>
      <c r="S19" s="715"/>
      <c r="T19" s="714"/>
      <c r="U19" s="715"/>
      <c r="V19" s="714"/>
      <c r="W19" s="715"/>
      <c r="X19" s="1509"/>
      <c r="Y19" s="3438"/>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19"/>
      <c r="M37" s="2920"/>
      <c r="N37" s="2911"/>
      <c r="O37" s="2920"/>
      <c r="P37" s="3419" t="str">
        <f>A37</f>
        <v>成交单价</v>
      </c>
      <c r="Q37" s="341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19"/>
      <c r="M38" s="2920"/>
      <c r="N38" s="2920"/>
      <c r="O38" s="2920"/>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9"/>
      <c r="M39" s="2920"/>
      <c r="N39" s="2920"/>
      <c r="O39" s="2920"/>
      <c r="P39" s="3455" t="str">
        <f>A39</f>
        <v>估价对象XX用房的比较价值（楼面单价，元/平方米）</v>
      </c>
      <c r="Q39" s="3456"/>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2488</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2346</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2311</v>
      </c>
      <c r="B51" s="467"/>
      <c r="C51" s="479" t="s">
        <v>2413</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2349</v>
      </c>
      <c r="B53" s="485" t="s">
        <v>2315</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2364</v>
      </c>
      <c r="C65" s="535" t="s">
        <v>2358</v>
      </c>
      <c r="D65" s="535" t="s">
        <v>2359</v>
      </c>
      <c r="E65" s="535" t="s">
        <v>2360</v>
      </c>
      <c r="F65" s="535" t="s">
        <v>2361</v>
      </c>
      <c r="G65" s="535" t="s">
        <v>2362</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2450</v>
      </c>
      <c r="C67" s="616" t="s">
        <v>2436</v>
      </c>
      <c r="D67" s="616" t="s">
        <v>2437</v>
      </c>
      <c r="E67" s="616" t="s">
        <v>2438</v>
      </c>
      <c r="F67" s="616" t="s">
        <v>2439</v>
      </c>
      <c r="G67" s="616" t="s">
        <v>2440</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2370</v>
      </c>
      <c r="C69" s="535" t="s">
        <v>2358</v>
      </c>
      <c r="D69" s="535" t="s">
        <v>2359</v>
      </c>
      <c r="E69" s="535" t="s">
        <v>2360</v>
      </c>
      <c r="F69" s="535" t="s">
        <v>2361</v>
      </c>
      <c r="G69" s="535" t="s">
        <v>2362</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2490</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2324</v>
      </c>
      <c r="B79" s="485" t="s">
        <v>2491</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2492</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2377</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2494</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2496</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2497</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44672</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8"/>
      <c r="Q15" s="1506"/>
      <c r="R15" s="714"/>
      <c r="S15" s="715"/>
      <c r="T15" s="714"/>
      <c r="U15" s="715"/>
      <c r="V15" s="714"/>
      <c r="W15" s="715"/>
      <c r="X15" s="1509"/>
      <c r="Y15" s="3438"/>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8"/>
      <c r="Q17" s="1506"/>
      <c r="R17" s="714"/>
      <c r="S17" s="715"/>
      <c r="T17" s="714"/>
      <c r="U17" s="715"/>
      <c r="V17" s="714"/>
      <c r="W17" s="715"/>
      <c r="X17" s="1509"/>
      <c r="Y17" s="3438"/>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8"/>
      <c r="Q19" s="1506"/>
      <c r="R19" s="714"/>
      <c r="S19" s="715"/>
      <c r="T19" s="714"/>
      <c r="U19" s="715"/>
      <c r="V19" s="714"/>
      <c r="W19" s="715"/>
      <c r="X19" s="1509"/>
      <c r="Y19" s="3438"/>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19"/>
      <c r="M35" s="2920"/>
      <c r="N35" s="2911"/>
      <c r="O35" s="2920"/>
      <c r="P35" s="3419" t="str">
        <f>A35</f>
        <v>成交单价（元/平方米）</v>
      </c>
      <c r="Q35" s="341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19"/>
      <c r="M36" s="2920"/>
      <c r="N36" s="2911"/>
      <c r="O36" s="2920"/>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9"/>
      <c r="M37" s="2920"/>
      <c r="N37" s="2920"/>
      <c r="O37" s="2920"/>
      <c r="P37" s="3455" t="str">
        <f>A37</f>
        <v>估价对象XX用房的比较价值（楼面单价，元/平方米）</v>
      </c>
      <c r="Q37" s="3456"/>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2435</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2346</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2311</v>
      </c>
      <c r="B49" s="467"/>
      <c r="C49" s="479" t="s">
        <v>2413</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2349</v>
      </c>
      <c r="B51" s="485" t="s">
        <v>2315</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2501</v>
      </c>
      <c r="C63" s="535" t="s">
        <v>2358</v>
      </c>
      <c r="D63" s="535" t="s">
        <v>2359</v>
      </c>
      <c r="E63" s="535" t="s">
        <v>2360</v>
      </c>
      <c r="F63" s="535" t="s">
        <v>2361</v>
      </c>
      <c r="G63" s="535" t="s">
        <v>2362</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2450</v>
      </c>
      <c r="C65" s="616" t="s">
        <v>2436</v>
      </c>
      <c r="D65" s="616" t="s">
        <v>2437</v>
      </c>
      <c r="E65" s="616" t="s">
        <v>2438</v>
      </c>
      <c r="F65" s="616" t="s">
        <v>2439</v>
      </c>
      <c r="G65" s="616" t="s">
        <v>2440</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2370</v>
      </c>
      <c r="C67" s="535" t="s">
        <v>2358</v>
      </c>
      <c r="D67" s="535" t="s">
        <v>2359</v>
      </c>
      <c r="E67" s="535" t="s">
        <v>2360</v>
      </c>
      <c r="F67" s="535" t="s">
        <v>2361</v>
      </c>
      <c r="G67" s="535" t="s">
        <v>2362</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2490</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2324</v>
      </c>
      <c r="B77" s="485" t="s">
        <v>2377</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2494</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2502</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2504</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Ⅹ-平1</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t="e">
        <f>IF(F3="宗地容积率",'数据-汇总表'!I4,IF(F3="估价对象容积率",'数据-汇总表'!I6,'数据-汇总表'!I7))</f>
        <v>#DIV/0!</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t="str">
        <f>G2</f>
        <v>十级</v>
      </c>
      <c r="Y7" s="1348" t="s">
        <v>2596</v>
      </c>
      <c r="Z7" s="1349" t="e">
        <f>G3</f>
        <v>#DIV/0!</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2600</v>
      </c>
      <c r="X8" s="351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6"/>
      <c r="AE14" s="2986"/>
      <c r="AF14" s="2986"/>
      <c r="AG14" s="2986"/>
      <c r="AH14" s="2986"/>
      <c r="AI14" s="2986"/>
      <c r="AJ14" s="2987"/>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6"/>
      <c r="AE15" s="2986"/>
      <c r="AF15" s="2986"/>
      <c r="AG15" s="2986"/>
      <c r="AH15" s="2986"/>
      <c r="AI15" s="2986"/>
      <c r="AJ15" s="2987"/>
    </row>
    <row r="16" spans="1:36" ht="24.6" customHeight="1">
      <c r="A16" s="3524" t="s">
        <v>2643</v>
      </c>
      <c r="B16" s="2179" t="s">
        <v>2644</v>
      </c>
      <c r="C16" s="2341" t="e">
        <f>ROUND(IF(F17="与级别开发程度一致",0,(G17-E17)/C17),0)</f>
        <v>#DIV/0!</v>
      </c>
      <c r="D16" s="3540" t="s">
        <v>2648</v>
      </c>
      <c r="E16" s="3541"/>
      <c r="F16" s="3540" t="s">
        <v>2645</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6"/>
      <c r="AE16" s="2986"/>
      <c r="AF16" s="2986"/>
      <c r="AG16" s="2986"/>
      <c r="AH16" s="2986"/>
      <c r="AI16" s="2986"/>
      <c r="AJ16" s="2987"/>
    </row>
    <row r="17" spans="1:37" ht="13.5" thickBot="1">
      <c r="A17" s="3528"/>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44672</v>
      </c>
      <c r="H19" s="2222"/>
      <c r="I19" s="866" t="str">
        <f>IF(H19="季度增幅（自定义）",SUMIF(N21:N24,E2,O21:O24),"")</f>
        <v/>
      </c>
      <c r="J19" s="2219"/>
      <c r="K19" s="1259"/>
      <c r="L19" s="2223" t="s">
        <v>2654</v>
      </c>
      <c r="M19" s="1468">
        <f>ROUND(SUMIF(地价!B2:F2,E2,地价!B37:F37),0)</f>
        <v>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2663</v>
      </c>
      <c r="C21" s="876" t="e">
        <f>IF(B21="容积率修正",IF(G3&lt;=10,D22,J22),C23)</f>
        <v>#DIV/0!</v>
      </c>
      <c r="D21" s="2235"/>
      <c r="E21" s="2235"/>
      <c r="F21" s="2235"/>
      <c r="G21" s="2235"/>
      <c r="H21" s="2235"/>
      <c r="I21" s="2235"/>
      <c r="J21" s="2236"/>
      <c r="K21" s="1259"/>
      <c r="L21" s="2985"/>
      <c r="M21" s="2985"/>
      <c r="N21" s="2237" t="s">
        <v>2664</v>
      </c>
      <c r="O21" s="1307"/>
      <c r="P21" s="1308">
        <f>SUMPRODUCT((地价!A3:A37=YEAR(G19)&amp;"-"&amp;ROUNDUP(MONTH(G19)/3,0))*(地价!AD2:AH2=N21)*(地价!AD3:AH37))</f>
        <v>0</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2665</v>
      </c>
      <c r="B22" s="2238"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5"/>
      <c r="M22" s="2985"/>
      <c r="N22" s="2237" t="s">
        <v>2668</v>
      </c>
      <c r="O22" s="1307"/>
      <c r="P22" s="1308">
        <f>SUMPRODUCT((地价!A3:A37=YEAR(G19)&amp;"-"&amp;ROUNDUP(MONTH(G19)/3,0))*(地价!AD2:AH2=N22)*(地价!AD3:AH37))</f>
        <v>0</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2669</v>
      </c>
      <c r="B23" s="2239" t="s">
        <v>2670</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2671</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5"/>
      <c r="M24" s="2985"/>
      <c r="N24" s="2247" t="s">
        <v>2673</v>
      </c>
      <c r="O24" s="1309"/>
      <c r="P24" s="1310">
        <f>SUMPRODUCT((地价!A3:A37=YEAR(G19)&amp;"-"&amp;ROUNDUP(MONTH(G19)/3,0))*(地价!AD2:AH2=N24)*(地价!AD3:AH37))</f>
        <v>0</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2674</v>
      </c>
      <c r="C25" s="869"/>
      <c r="D25" s="2182"/>
      <c r="E25" s="2182"/>
      <c r="F25" s="2249"/>
      <c r="G25" s="2182"/>
      <c r="H25" s="2182"/>
      <c r="I25" s="2182"/>
      <c r="J25" s="2183"/>
      <c r="K25" s="1252"/>
      <c r="L25" s="2153"/>
      <c r="M25" s="2153"/>
      <c r="N25" s="2980" t="s">
        <v>2675</v>
      </c>
      <c r="O25" s="2981"/>
      <c r="P25" s="2982">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3" t="s">
        <v>2574</v>
      </c>
      <c r="M26" s="2180" t="s">
        <v>2639</v>
      </c>
      <c r="N26" s="2180" t="s">
        <v>2640</v>
      </c>
      <c r="O26" s="2180" t="s">
        <v>2641</v>
      </c>
      <c r="P26" s="2984"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2984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t="str">
        <f>估价对象房地状况!G15</f>
        <v>较好</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t="str">
        <f>估价对象房地状况!G19</f>
        <v>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t="str">
        <f>估价对象房地状况!G18</f>
        <v>较好</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2731</v>
      </c>
      <c r="B90" s="3529"/>
      <c r="C90" s="3529"/>
      <c r="D90" s="3529"/>
      <c r="E90" s="3529"/>
      <c r="F90" s="3529"/>
      <c r="G90" s="3529"/>
      <c r="H90" s="3529"/>
      <c r="I90" s="3529"/>
      <c r="J90" s="3529"/>
      <c r="K90" s="2313"/>
      <c r="L90" s="2313"/>
      <c r="M90" s="2313"/>
      <c r="N90" s="2313"/>
    </row>
    <row r="91" spans="1:37">
      <c r="A91" s="3531" t="s">
        <v>2732</v>
      </c>
      <c r="B91" s="3531" t="s">
        <v>2733</v>
      </c>
      <c r="C91" s="2267" t="s">
        <v>2734</v>
      </c>
      <c r="D91" s="2268"/>
      <c r="E91" s="2268"/>
      <c r="F91" s="2268"/>
      <c r="G91" s="2268"/>
      <c r="H91" s="2268"/>
      <c r="I91" s="2268"/>
      <c r="J91" s="2314"/>
      <c r="K91" s="2315"/>
      <c r="L91" s="2315"/>
      <c r="M91" s="2315"/>
      <c r="N91" s="2315"/>
    </row>
    <row r="92" spans="1:37">
      <c r="A92" s="3531"/>
      <c r="B92" s="35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2"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2736</v>
      </c>
      <c r="B101" s="2320" t="s">
        <v>2737</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2739</v>
      </c>
      <c r="B110" s="3530"/>
      <c r="C110" s="3530"/>
      <c r="D110" s="3530"/>
      <c r="E110" s="3530"/>
      <c r="F110" s="3530"/>
      <c r="G110" s="3530"/>
      <c r="H110" s="3530"/>
      <c r="I110" s="3530"/>
      <c r="J110" s="3530"/>
      <c r="K110" s="2322"/>
      <c r="L110" s="2322"/>
      <c r="M110" s="2322"/>
      <c r="N110" s="2322"/>
    </row>
    <row r="112" spans="1:14" ht="13.5" thickBot="1"/>
    <row r="113" spans="1:13" ht="25.5" thickBot="1">
      <c r="A113" s="842" t="s">
        <v>2740</v>
      </c>
      <c r="B113" s="1197" t="e">
        <f>G3</f>
        <v>#DIV/0!</v>
      </c>
      <c r="C113" s="843" t="s">
        <v>2741</v>
      </c>
      <c r="D113" s="844" t="e">
        <f>SUMPRODUCT((A115:A118=F113)*(B114:M114=H113)*B115:M118)</f>
        <v>#DIV/0!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0"/>
      <c r="G1" s="2990"/>
      <c r="H1" s="2990"/>
      <c r="I1" s="2990"/>
      <c r="J1" s="2990"/>
      <c r="K1" s="2990"/>
      <c r="L1" s="2990"/>
      <c r="M1" s="2990"/>
      <c r="N1" s="2990"/>
      <c r="O1" s="2990"/>
      <c r="P1" s="2990"/>
    </row>
    <row r="2" spans="1:16" ht="15.75">
      <c r="A2" s="2331" t="s">
        <v>2754</v>
      </c>
      <c r="B2" s="2794" t="e">
        <f ca="1">SUMIF(B6:B13,"&lt;&gt;#ref!",B6:B13)</f>
        <v>#DIV/0!</v>
      </c>
      <c r="C2" s="2331" t="s">
        <v>2755</v>
      </c>
      <c r="D2" s="2331" t="s">
        <v>2756</v>
      </c>
      <c r="E2" s="2804">
        <f ca="1">SUMIF(E6:E13,"&lt;&gt;#ref!",E6:E13)</f>
        <v>0</v>
      </c>
      <c r="F2" s="2990"/>
      <c r="G2" s="2990"/>
      <c r="H2" s="2990"/>
      <c r="I2" s="2990"/>
      <c r="J2" s="2990"/>
      <c r="K2" s="2990"/>
      <c r="L2" s="2990"/>
      <c r="M2" s="2990"/>
      <c r="N2" s="2990"/>
      <c r="O2" s="2990"/>
      <c r="P2" s="2990"/>
    </row>
    <row r="3" spans="1:16" ht="15.75">
      <c r="A3" s="2331" t="s">
        <v>2757</v>
      </c>
      <c r="B3" s="2794" t="e">
        <f ca="1">ROUND(B2*10000/E2,0)</f>
        <v>#DIV/0!</v>
      </c>
      <c r="C3" s="2331"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2"/>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1"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1"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1"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1"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1"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1"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1"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1"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1087</v>
      </c>
      <c r="E5" s="1646"/>
    </row>
    <row r="6" spans="1:5" ht="15.75">
      <c r="A6" s="1646"/>
      <c r="B6" s="3226"/>
      <c r="C6" s="1649" t="s">
        <v>1529</v>
      </c>
      <c r="D6" s="959" t="str">
        <f ca="1">NUMBERSTRING(INT(D5*10000),2)&amp;"元整"</f>
        <v>壹仟零捌拾柒万元整</v>
      </c>
      <c r="E6" s="1646"/>
    </row>
    <row r="7" spans="1:5" ht="15.75">
      <c r="A7" s="1646"/>
      <c r="B7" s="3231"/>
      <c r="C7" s="1650" t="s">
        <v>1530</v>
      </c>
      <c r="D7" s="960">
        <f ca="1">结果表!H102</f>
        <v>6777</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1087</v>
      </c>
      <c r="E13" s="1646"/>
    </row>
    <row r="14" spans="1:5" ht="15.75">
      <c r="A14" s="1646"/>
      <c r="B14" s="3226"/>
      <c r="C14" s="1649" t="s">
        <v>1529</v>
      </c>
      <c r="D14" s="959" t="str">
        <f ca="1">NUMBERSTRING(INT(D13*10000),2)&amp;"元整"</f>
        <v>壹仟零捌拾柒万元整</v>
      </c>
      <c r="E14" s="1646"/>
    </row>
    <row r="15" spans="1:5" ht="15">
      <c r="A15" s="1646"/>
      <c r="B15" s="3231"/>
      <c r="C15" s="1650" t="s">
        <v>1539</v>
      </c>
      <c r="D15" s="968">
        <f ca="1">结果表!H108</f>
        <v>6777</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v>
      </c>
      <c r="C19" s="1654" t="s">
        <v>1528</v>
      </c>
      <c r="D19" s="960" t="str">
        <f>结果表!H111</f>
        <v>——</v>
      </c>
      <c r="E19" s="1646"/>
    </row>
    <row r="20" spans="1:5" ht="15.75">
      <c r="A20" s="1646"/>
      <c r="B20" s="3226"/>
      <c r="C20" s="1649" t="s">
        <v>1541</v>
      </c>
      <c r="D20" s="959" t="e">
        <f>NUMBERSTRING(INT(D19*10000),2)&amp;"元整"</f>
        <v>#VALUE!</v>
      </c>
      <c r="E20" s="1646"/>
    </row>
    <row r="21" spans="1:5" ht="15.75" thickBot="1">
      <c r="A21" s="1646"/>
      <c r="B21" s="322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8" t="s">
        <v>2765</v>
      </c>
      <c r="D1" s="3559"/>
      <c r="E1" s="3559"/>
      <c r="F1" s="3559"/>
      <c r="G1" s="3559"/>
      <c r="H1" s="3559"/>
      <c r="I1" s="3559"/>
      <c r="J1" s="3559"/>
      <c r="K1" s="3559"/>
      <c r="L1" s="3559"/>
      <c r="M1" s="3559"/>
      <c r="N1" s="3559"/>
      <c r="O1" s="3559"/>
      <c r="P1" s="3559"/>
      <c r="Q1" s="3559"/>
      <c r="R1" s="3559"/>
      <c r="S1" s="356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27811</v>
      </c>
      <c r="C2" s="2" t="s">
        <v>133</v>
      </c>
      <c r="D2" s="205"/>
      <c r="E2" s="205"/>
      <c r="F2" s="205"/>
      <c r="G2" s="205"/>
    </row>
    <row r="3" spans="1:7" s="206" customFormat="1" ht="18" customHeight="1" thickBot="1">
      <c r="A3" s="209" t="s">
        <v>85</v>
      </c>
      <c r="B3" s="210">
        <f ca="1">ROUND(B2*10000/'数据-汇总表'!E3,0)</f>
        <v>173384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13</v>
      </c>
      <c r="D10" s="954">
        <f>'数据-汇总表'!E6</f>
        <v>1604.01</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v>
      </c>
      <c r="D19" s="958">
        <f>'数据-汇总表'!E3</f>
        <v>1604.01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2106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2106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26977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703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642</v>
      </c>
      <c r="D34" s="223"/>
      <c r="E34" s="226"/>
      <c r="F34" s="263">
        <f>IF('数据-取费表'!B24=0,1,'数据-取费表'!N16)</f>
        <v>1</v>
      </c>
      <c r="G34" s="225" t="s">
        <v>116</v>
      </c>
    </row>
    <row r="35" spans="1:7" ht="13.5" customHeight="1">
      <c r="A35" s="888" t="s">
        <v>796</v>
      </c>
      <c r="B35" s="221" t="s">
        <v>60</v>
      </c>
      <c r="C35" s="226">
        <f>ROUND(C34*F35,0)</f>
        <v>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v>
      </c>
      <c r="D37" s="223">
        <f>'数据-汇总表'!E3</f>
        <v>1604.01</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30</v>
      </c>
      <c r="D42" s="244"/>
      <c r="E42" s="244"/>
      <c r="F42" s="245"/>
      <c r="G42" s="3413" t="s">
        <v>121</v>
      </c>
    </row>
    <row r="43" spans="1:7" ht="13.5" customHeight="1">
      <c r="A43" s="888" t="s">
        <v>792</v>
      </c>
      <c r="B43" s="221" t="s">
        <v>1032</v>
      </c>
      <c r="C43" s="244">
        <f ca="1">ROUND(IF('数据-取费表'!B22&lt;=1,C39*F22*'数据-取费表'!B21/2,C39*(POWER((1+F22),'数据-取费表'!B21/2)-1)),0)</f>
        <v>1</v>
      </c>
      <c r="D43" s="244"/>
      <c r="E43" s="244"/>
      <c r="F43" s="245"/>
      <c r="G43" s="3414"/>
    </row>
    <row r="44" spans="1:7" ht="13.5" customHeight="1">
      <c r="A44" s="888" t="s">
        <v>793</v>
      </c>
      <c r="B44" s="221" t="s">
        <v>1034</v>
      </c>
      <c r="C44" s="244">
        <f ca="1">ROUND(IF('数据-取费表'!B22&lt;=1,C40*F22*'数据-取费表'!B21/2,C40*(POWER((1+F22),'数据-取费表'!B21/2)-1)),4)</f>
        <v>8.0000000000000004E-4</v>
      </c>
      <c r="D44" s="244"/>
      <c r="E44" s="244"/>
      <c r="F44" s="245"/>
      <c r="G44" s="3415"/>
    </row>
    <row r="45" spans="1:7" s="220" customFormat="1" ht="13.5" customHeight="1">
      <c r="A45" s="885" t="s">
        <v>786</v>
      </c>
      <c r="B45" s="250" t="s">
        <v>112</v>
      </c>
      <c r="C45" s="251">
        <f>C46</f>
        <v>72</v>
      </c>
      <c r="D45" s="241">
        <f>C47</f>
        <v>2E-3</v>
      </c>
      <c r="E45" s="242" t="s">
        <v>129</v>
      </c>
      <c r="F45" s="252"/>
      <c r="G45" s="253" t="s">
        <v>1040</v>
      </c>
    </row>
    <row r="46" spans="1:7" s="220" customFormat="1" ht="13.5" customHeight="1">
      <c r="A46" s="888" t="s">
        <v>794</v>
      </c>
      <c r="B46" s="254" t="s">
        <v>1033</v>
      </c>
      <c r="C46" s="255">
        <f>ROUND((C33+C39)*F27,0)</f>
        <v>72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887</v>
      </c>
      <c r="D49" s="238"/>
      <c r="E49" s="238"/>
      <c r="F49" s="270"/>
      <c r="G49" s="240" t="s">
        <v>1041</v>
      </c>
    </row>
    <row r="50" spans="1:7" s="264" customFormat="1" ht="24">
      <c r="A50" s="885" t="s">
        <v>789</v>
      </c>
      <c r="B50" s="216" t="s">
        <v>124</v>
      </c>
      <c r="C50" s="238"/>
      <c r="D50" s="238"/>
      <c r="E50" s="238"/>
      <c r="F50" s="270">
        <f>IF('数据-取费表'!B24=0,'数据-取费表'!N16,1)</f>
        <v>0.94</v>
      </c>
      <c r="G50" s="253" t="s">
        <v>125</v>
      </c>
    </row>
    <row r="51" spans="1:7" ht="16.5" customHeight="1">
      <c r="A51" s="885" t="s">
        <v>790</v>
      </c>
      <c r="B51" s="216" t="s">
        <v>132</v>
      </c>
      <c r="C51" s="238">
        <f ca="1">ROUND(C49*F50,0)</f>
        <v>834</v>
      </c>
      <c r="D51" s="238"/>
      <c r="E51" s="238"/>
      <c r="F51" s="270"/>
      <c r="G51" s="240" t="s">
        <v>64</v>
      </c>
    </row>
    <row r="52" spans="1:7" s="214" customFormat="1" ht="16.5" thickBot="1">
      <c r="A52" s="271" t="s">
        <v>65</v>
      </c>
      <c r="B52" s="272"/>
      <c r="C52" s="273">
        <f ca="1">C31+C51</f>
        <v>27811</v>
      </c>
      <c r="D52" s="272"/>
      <c r="E52" s="272"/>
      <c r="F52" s="272"/>
      <c r="G52" s="274"/>
    </row>
    <row r="55" spans="1:7" ht="15">
      <c r="B55" s="276" t="s">
        <v>66</v>
      </c>
      <c r="C55" s="277"/>
    </row>
    <row r="56" spans="1:7">
      <c r="B56" s="279" t="s">
        <v>67</v>
      </c>
      <c r="C56" s="280">
        <f ca="1">ROUND(C51/C52,3)</f>
        <v>0.03</v>
      </c>
    </row>
    <row r="57" spans="1:7">
      <c r="B57" s="279" t="s">
        <v>68</v>
      </c>
      <c r="C57" s="281">
        <f ca="1">1-C56</f>
        <v>0.97</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E11" sqref="E11"/>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44672</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2988</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北京市房地产</v>
      </c>
      <c r="B4" s="963">
        <f>项目基本情况!C17</f>
        <v>1604.01</v>
      </c>
      <c r="C4" s="963">
        <f>项目基本情况!C18</f>
        <v>0</v>
      </c>
      <c r="D4" s="963">
        <f ca="1">结果表!D118</f>
        <v>313</v>
      </c>
      <c r="E4" s="963">
        <f ca="1">结果表!E118</f>
        <v>1952</v>
      </c>
      <c r="F4" s="963">
        <f ca="1">结果表!F118</f>
        <v>774</v>
      </c>
      <c r="G4" s="963">
        <f ca="1">结果表!G118</f>
        <v>4825</v>
      </c>
      <c r="H4" s="963">
        <f ca="1">结果表!H118</f>
        <v>1087</v>
      </c>
      <c r="I4" s="963">
        <f ca="1">结果表!I118</f>
        <v>6777</v>
      </c>
    </row>
    <row r="5" spans="1:9" ht="30" customHeight="1">
      <c r="A5" s="3239" t="s">
        <v>1545</v>
      </c>
      <c r="B5" s="3239"/>
      <c r="C5" s="3239"/>
      <c r="D5" s="3240" t="str">
        <f ca="1">结果表!D119</f>
        <v>叁佰壹拾叁万元整</v>
      </c>
      <c r="E5" s="3240"/>
      <c r="F5" s="3240" t="str">
        <f ca="1">结果表!F119</f>
        <v>柒佰柒拾肆万元整</v>
      </c>
      <c r="G5" s="3240"/>
      <c r="H5" s="3240" t="str">
        <f ca="1">结果表!H119</f>
        <v>壹仟零捌拾柒万元整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1087</v>
      </c>
      <c r="E8" s="3238"/>
      <c r="F8" s="3238"/>
      <c r="G8" s="3238"/>
      <c r="H8" s="3238"/>
      <c r="I8" s="3238"/>
    </row>
    <row r="9" spans="1:9" ht="15">
      <c r="A9" s="3239" t="s">
        <v>1545</v>
      </c>
      <c r="B9" s="3239"/>
      <c r="C9" s="3239"/>
      <c r="D9" s="3240" t="str">
        <f ca="1">结果表!D123</f>
        <v>壹仟零捌拾柒万元整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
      </c>
      <c r="B12" s="3238"/>
      <c r="C12" s="3238"/>
      <c r="D12" s="3238" t="str">
        <f>结果表!D126</f>
        <v>——</v>
      </c>
      <c r="E12" s="3238"/>
      <c r="F12" s="3238"/>
      <c r="G12" s="3238"/>
      <c r="H12" s="3238"/>
      <c r="I12" s="3238"/>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44672</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2842</v>
      </c>
      <c r="B17" s="3263"/>
      <c r="C17" s="3263"/>
      <c r="D17" s="3263"/>
      <c r="E17" s="3263"/>
      <c r="F17" s="3263"/>
      <c r="G17" s="3263"/>
      <c r="H17" s="3263"/>
    </row>
    <row r="18" spans="1:8" ht="24" customHeight="1">
      <c r="A18" s="3264" t="s">
        <v>2843</v>
      </c>
      <c r="B18" s="3264"/>
      <c r="C18" s="3264"/>
      <c r="D18" s="2536"/>
      <c r="E18" s="3265" t="s">
        <v>2844</v>
      </c>
      <c r="F18" s="3264"/>
      <c r="G18" s="3264"/>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土地比较法-住宅、综合</vt:lpstr>
      <vt:lpstr>收益法</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2022-04-21T07:38:58Z</dcterms:modified>
</cp:coreProperties>
</file>