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0890" windowHeight="12000" tabRatio="899" firstSheet="14"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 (元)" sheetId="67" r:id="rId42"/>
    <sheet name="比较法-办公" sheetId="34" r:id="rId43"/>
    <sheet name="Sheet1" sheetId="84"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4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4" i="43" l="1"/>
  <c r="G85" i="43"/>
  <c r="G86" i="43"/>
  <c r="G87" i="43"/>
  <c r="G88" i="43"/>
  <c r="G89" i="43"/>
  <c r="G90" i="43"/>
  <c r="G83" i="43"/>
  <c r="G105" i="34" l="1"/>
  <c r="E105" i="34"/>
  <c r="F105" i="34" s="1"/>
  <c r="D105" i="34"/>
  <c r="D33" i="43"/>
  <c r="N6" i="1"/>
  <c r="I5" i="34" l="1"/>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3" i="82" s="1"/>
  <c r="D120" i="82" s="1"/>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C74" i="83" l="1"/>
  <c r="C74" i="82"/>
  <c r="C18" i="82"/>
  <c r="D18" i="82" s="1"/>
  <c r="C92" i="83"/>
  <c r="C94" i="83"/>
  <c r="D121" i="83"/>
  <c r="K120" i="83"/>
  <c r="G118" i="83"/>
  <c r="A126" i="83"/>
  <c r="H109" i="83"/>
  <c r="C92" i="82"/>
  <c r="C94" i="82"/>
  <c r="D121" i="82"/>
  <c r="K120" i="82"/>
  <c r="G118" i="82"/>
  <c r="A126" i="82"/>
  <c r="H109" i="82"/>
  <c r="N19" i="1"/>
  <c r="N21" i="1" s="1"/>
  <c r="D124" i="83" l="1"/>
  <c r="D125" i="83" s="1"/>
  <c r="H110" i="83"/>
  <c r="D124" i="82"/>
  <c r="D125" i="82" s="1"/>
  <c r="H110" i="82"/>
  <c r="B21" i="1"/>
  <c r="B25" i="31"/>
  <c r="B26" i="31"/>
  <c r="B24" i="31"/>
  <c r="J49" i="67"/>
  <c r="F19" i="6"/>
  <c r="Y6" i="1" l="1"/>
  <c r="C37" i="34"/>
  <c r="C34" i="34"/>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N33" i="71"/>
  <c r="X26" i="71" s="1"/>
  <c r="D33" i="71"/>
  <c r="Q32" i="71"/>
  <c r="AB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E39" i="71" s="1"/>
  <c r="N68" i="71"/>
  <c r="E34" i="71"/>
  <c r="C30" i="71"/>
  <c r="C38" i="71"/>
  <c r="D38" i="71" s="1"/>
  <c r="X38" i="71"/>
  <c r="B28" i="71"/>
  <c r="B27" i="71" s="1"/>
  <c r="B26" i="71" s="1"/>
  <c r="D30" i="71"/>
  <c r="C51" i="71"/>
  <c r="P28" i="71"/>
  <c r="E28" i="71" s="1"/>
  <c r="U68" i="71"/>
  <c r="E67" i="71"/>
  <c r="Q28" i="71"/>
  <c r="D58" i="71"/>
  <c r="D62" i="71"/>
  <c r="Q68" i="71"/>
  <c r="D72" i="71"/>
  <c r="E75" i="71"/>
  <c r="E74" i="71" s="1"/>
  <c r="D80" i="71"/>
  <c r="C87" i="71"/>
  <c r="F28" i="71"/>
  <c r="F27" i="71" s="1"/>
  <c r="F26" i="71" s="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S57" i="31" s="1"/>
  <c r="R58" i="31"/>
  <c r="R59" i="31"/>
  <c r="R60" i="31"/>
  <c r="S60" i="31" s="1"/>
  <c r="R61" i="31"/>
  <c r="S61" i="31" s="1"/>
  <c r="R62" i="31"/>
  <c r="S62" i="31" s="1"/>
  <c r="R63" i="31"/>
  <c r="R64" i="31"/>
  <c r="S64" i="31" s="1"/>
  <c r="R65" i="31"/>
  <c r="S65" i="31" s="1"/>
  <c r="R66" i="31"/>
  <c r="S66" i="31" s="1"/>
  <c r="R67" i="31"/>
  <c r="R68" i="31"/>
  <c r="S68" i="31" s="1"/>
  <c r="R69" i="31"/>
  <c r="R70" i="31"/>
  <c r="S70" i="31" s="1"/>
  <c r="R71" i="31"/>
  <c r="R72" i="31"/>
  <c r="S72" i="31" s="1"/>
  <c r="R73" i="31"/>
  <c r="S73" i="31" s="1"/>
  <c r="R74" i="3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R103" i="31"/>
  <c r="R104" i="3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R175" i="31"/>
  <c r="R176" i="31"/>
  <c r="S176" i="31" s="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R456" i="31"/>
  <c r="S456" i="31" s="1"/>
  <c r="R457" i="31"/>
  <c r="S457" i="31" s="1"/>
  <c r="R458" i="31"/>
  <c r="S458" i="31" s="1"/>
  <c r="R459" i="31"/>
  <c r="R460" i="31"/>
  <c r="S460" i="31" s="1"/>
  <c r="R461" i="31"/>
  <c r="S461" i="31" s="1"/>
  <c r="R462" i="31"/>
  <c r="R463" i="31"/>
  <c r="R464" i="31"/>
  <c r="S464" i="31" s="1"/>
  <c r="R465" i="31"/>
  <c r="S465" i="31" s="1"/>
  <c r="R466" i="31"/>
  <c r="S466" i="31" s="1"/>
  <c r="R467" i="31"/>
  <c r="R468" i="31"/>
  <c r="S468" i="31" s="1"/>
  <c r="R469" i="31"/>
  <c r="S469" i="31" s="1"/>
  <c r="R470" i="31"/>
  <c r="S470" i="31" s="1"/>
  <c r="R471" i="31"/>
  <c r="S471" i="31" s="1"/>
  <c r="R472" i="31"/>
  <c r="S472" i="31" s="1"/>
  <c r="R473" i="3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0" i="31"/>
  <c r="S362" i="31"/>
  <c r="S346" i="31"/>
  <c r="S330" i="31"/>
  <c r="S316" i="31"/>
  <c r="S302" i="31"/>
  <c r="S286" i="31"/>
  <c r="S270" i="31"/>
  <c r="S254" i="31"/>
  <c r="S251" i="31"/>
  <c r="S247" i="31"/>
  <c r="S246" i="31"/>
  <c r="S243" i="31"/>
  <c r="S239" i="31"/>
  <c r="S238" i="31"/>
  <c r="S235" i="31"/>
  <c r="S231" i="31"/>
  <c r="S230" i="31"/>
  <c r="S227" i="31"/>
  <c r="S223" i="31"/>
  <c r="S427" i="31"/>
  <c r="S222" i="31"/>
  <c r="S219" i="31"/>
  <c r="S215" i="31"/>
  <c r="S214" i="31"/>
  <c r="S211" i="31"/>
  <c r="S207" i="31"/>
  <c r="S206" i="31"/>
  <c r="S203" i="31"/>
  <c r="S199" i="31"/>
  <c r="S198" i="31"/>
  <c r="S195" i="31"/>
  <c r="S191" i="31"/>
  <c r="S190" i="31"/>
  <c r="S187" i="31"/>
  <c r="S183" i="31"/>
  <c r="S182" i="31"/>
  <c r="S179" i="31"/>
  <c r="S175" i="31"/>
  <c r="S174" i="31"/>
  <c r="S172" i="31"/>
  <c r="S171" i="31"/>
  <c r="S167" i="31"/>
  <c r="S163" i="31"/>
  <c r="S159" i="31"/>
  <c r="S155" i="31"/>
  <c r="S151" i="31"/>
  <c r="S147" i="31"/>
  <c r="S143" i="31"/>
  <c r="S139" i="31"/>
  <c r="S135" i="31"/>
  <c r="S131" i="31"/>
  <c r="S127" i="31"/>
  <c r="S123" i="31"/>
  <c r="S495" i="31"/>
  <c r="S491" i="31"/>
  <c r="S483" i="31"/>
  <c r="S479" i="31"/>
  <c r="S475" i="31"/>
  <c r="S473" i="31"/>
  <c r="S443" i="31"/>
  <c r="S439" i="31"/>
  <c r="S435" i="31"/>
  <c r="S431" i="31"/>
  <c r="S119" i="31"/>
  <c r="S115" i="31"/>
  <c r="S467" i="31"/>
  <c r="S463" i="31"/>
  <c r="S462" i="31"/>
  <c r="S459" i="31"/>
  <c r="S455" i="31"/>
  <c r="S452" i="31"/>
  <c r="S451" i="31"/>
  <c r="S52" i="31"/>
  <c r="S51" i="31"/>
  <c r="S47" i="31"/>
  <c r="S43" i="31"/>
  <c r="S39" i="31"/>
  <c r="S35" i="31"/>
  <c r="S75" i="31"/>
  <c r="S74" i="31"/>
  <c r="S71" i="31"/>
  <c r="S69" i="31"/>
  <c r="S67" i="31"/>
  <c r="S63" i="31"/>
  <c r="S59" i="31"/>
  <c r="S58" i="31"/>
  <c r="S55" i="31"/>
  <c r="S95" i="31"/>
  <c r="S91" i="31"/>
  <c r="S90" i="31"/>
  <c r="S87" i="31"/>
  <c r="S83" i="31"/>
  <c r="S79" i="31"/>
  <c r="S99" i="31"/>
  <c r="S102" i="31"/>
  <c r="S103" i="31"/>
  <c r="S104" i="31"/>
  <c r="S107" i="31"/>
  <c r="S111" i="31"/>
  <c r="S447" i="31"/>
  <c r="S507"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E113" i="33" s="1"/>
  <c r="F37" i="33"/>
  <c r="D111" i="33"/>
  <c r="E111" i="33"/>
  <c r="F111" i="33"/>
  <c r="S515" i="31"/>
  <c r="S519"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H35" i="35" s="1"/>
  <c r="B97" i="35"/>
  <c r="H34" i="35" s="1"/>
  <c r="B77" i="35"/>
  <c r="B75" i="35"/>
  <c r="J24" i="35" s="1"/>
  <c r="AC24" i="35"/>
  <c r="B73" i="35"/>
  <c r="J23" i="35" s="1"/>
  <c r="AC23" i="35" s="1"/>
  <c r="B57" i="35"/>
  <c r="B61" i="35"/>
  <c r="B59" i="35"/>
  <c r="B131" i="34"/>
  <c r="B129" i="34"/>
  <c r="B127" i="34"/>
  <c r="B99" i="34"/>
  <c r="J32" i="34" s="1"/>
  <c r="W32" i="34" s="1"/>
  <c r="B97" i="34"/>
  <c r="B95" i="34"/>
  <c r="B93" i="34"/>
  <c r="B75" i="34"/>
  <c r="J14" i="34" s="1"/>
  <c r="W14" i="34" s="1"/>
  <c r="B73" i="34"/>
  <c r="B71" i="34"/>
  <c r="J12" i="34" s="1"/>
  <c r="W12" i="34" s="1"/>
  <c r="B130" i="33"/>
  <c r="B128" i="33"/>
  <c r="H45" i="33" s="1"/>
  <c r="U45" i="33" s="1"/>
  <c r="B126" i="33"/>
  <c r="B98" i="33"/>
  <c r="B96" i="33"/>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J46" i="21" s="1"/>
  <c r="B128" i="21"/>
  <c r="J45" i="21" s="1"/>
  <c r="W45" i="21" s="1"/>
  <c r="B126" i="21"/>
  <c r="H44" i="21" s="1"/>
  <c r="U44" i="21" s="1"/>
  <c r="B98" i="21"/>
  <c r="H31" i="21" s="1"/>
  <c r="B96" i="21"/>
  <c r="F30" i="21" s="1"/>
  <c r="S30" i="21" s="1"/>
  <c r="B94" i="21"/>
  <c r="B92" i="21"/>
  <c r="F28" i="21" s="1"/>
  <c r="B90" i="2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35" i="39"/>
  <c r="AC35" i="39" s="1"/>
  <c r="F35" i="39"/>
  <c r="AA35" i="39" s="1"/>
  <c r="U9" i="39"/>
  <c r="W40" i="39"/>
  <c r="W25" i="37"/>
  <c r="E103" i="37"/>
  <c r="F103" i="37" s="1"/>
  <c r="G103" i="37" s="1"/>
  <c r="H103" i="37" s="1"/>
  <c r="I103" i="37" s="1"/>
  <c r="J103" i="37" s="1"/>
  <c r="K103" i="37" s="1"/>
  <c r="L103" i="37" s="1"/>
  <c r="M103" i="37" s="1"/>
  <c r="F29" i="36"/>
  <c r="AA29" i="36" s="1"/>
  <c r="F16" i="36"/>
  <c r="AA16" i="36" s="1"/>
  <c r="W28" i="36"/>
  <c r="H22" i="35"/>
  <c r="AB22" i="35"/>
  <c r="AC27" i="35"/>
  <c r="W28" i="35"/>
  <c r="W22" i="35"/>
  <c r="S31" i="35"/>
  <c r="F36" i="34"/>
  <c r="J35" i="34"/>
  <c r="AC35" i="34" s="1"/>
  <c r="H39" i="33"/>
  <c r="AB39" i="33" s="1"/>
  <c r="F26" i="33"/>
  <c r="AA26" i="33"/>
  <c r="U33" i="33"/>
  <c r="S40" i="33"/>
  <c r="W33" i="33"/>
  <c r="W39" i="33"/>
  <c r="F11" i="40"/>
  <c r="AA11" i="40" s="1"/>
  <c r="H11" i="40"/>
  <c r="AB11" i="40"/>
  <c r="W8" i="40"/>
  <c r="AB39" i="40"/>
  <c r="U9" i="40"/>
  <c r="S34" i="40"/>
  <c r="U38" i="40"/>
  <c r="W31" i="40"/>
  <c r="U34"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s="1"/>
  <c r="AB34" i="37"/>
  <c r="J33" i="37"/>
  <c r="AC33" i="37" s="1"/>
  <c r="H40" i="34"/>
  <c r="U40" i="34" s="1"/>
  <c r="E114" i="34"/>
  <c r="H36" i="34"/>
  <c r="U36" i="34" s="1"/>
  <c r="F37" i="34"/>
  <c r="AA37" i="34" s="1"/>
  <c r="F25" i="34"/>
  <c r="S25" i="34" s="1"/>
  <c r="H23" i="34"/>
  <c r="U23" i="34" s="1"/>
  <c r="J23" i="34"/>
  <c r="W23" i="34" s="1"/>
  <c r="F19" i="34"/>
  <c r="S19" i="34" s="1"/>
  <c r="H17" i="34"/>
  <c r="U17" i="34" s="1"/>
  <c r="F15" i="34"/>
  <c r="AA15" i="34" s="1"/>
  <c r="J15" i="34"/>
  <c r="W15" i="34" s="1"/>
  <c r="J28" i="34"/>
  <c r="F41" i="33"/>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C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I123" i="21"/>
  <c r="J123" i="21" s="1"/>
  <c r="K123" i="21" s="1"/>
  <c r="L123" i="21" s="1"/>
  <c r="M123" i="21" s="1"/>
  <c r="J42" i="21"/>
  <c r="AC42" i="21"/>
  <c r="H42" i="21"/>
  <c r="U42" i="21" s="1"/>
  <c r="F44" i="34"/>
  <c r="AA44" i="34" s="1"/>
  <c r="J10" i="35"/>
  <c r="AC10" i="35" s="1"/>
  <c r="J14" i="21"/>
  <c r="W14" i="21" s="1"/>
  <c r="F14" i="21"/>
  <c r="S14" i="21" s="1"/>
  <c r="H14" i="21"/>
  <c r="U14" i="21" s="1"/>
  <c r="H28" i="21"/>
  <c r="AB28" i="21" s="1"/>
  <c r="AA28" i="21"/>
  <c r="J28" i="21"/>
  <c r="W28" i="21" s="1"/>
  <c r="H30" i="21"/>
  <c r="U30" i="21" s="1"/>
  <c r="J30" i="21"/>
  <c r="AC30" i="21" s="1"/>
  <c r="J44" i="2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J31" i="21"/>
  <c r="AC31" i="21" s="1"/>
  <c r="F31" i="21"/>
  <c r="S31" i="21"/>
  <c r="F45" i="21"/>
  <c r="AA45" i="21" s="1"/>
  <c r="F27" i="33"/>
  <c r="AA27" i="33" s="1"/>
  <c r="J13" i="33"/>
  <c r="H13" i="33"/>
  <c r="U13" i="33" s="1"/>
  <c r="F13" i="33"/>
  <c r="S13" i="33" s="1"/>
  <c r="J29" i="33"/>
  <c r="H29" i="33"/>
  <c r="U29" i="33"/>
  <c r="J31" i="33"/>
  <c r="W31" i="33" s="1"/>
  <c r="H31" i="33"/>
  <c r="F31" i="33"/>
  <c r="J45" i="33"/>
  <c r="F45" i="33"/>
  <c r="AA45" i="33" s="1"/>
  <c r="F14" i="34"/>
  <c r="H14" i="34"/>
  <c r="H30" i="34"/>
  <c r="F30" i="34"/>
  <c r="S30" i="34" s="1"/>
  <c r="J30" i="34"/>
  <c r="H32" i="34"/>
  <c r="F32" i="34"/>
  <c r="S32" i="34" s="1"/>
  <c r="H46" i="34"/>
  <c r="F46" i="34"/>
  <c r="J46" i="34"/>
  <c r="H11" i="35"/>
  <c r="AB11" i="35" s="1"/>
  <c r="J11" i="35"/>
  <c r="W11" i="35" s="1"/>
  <c r="F11" i="35"/>
  <c r="S11" i="35" s="1"/>
  <c r="J26" i="36"/>
  <c r="W26" i="36" s="1"/>
  <c r="H28" i="36"/>
  <c r="U28" i="36" s="1"/>
  <c r="J11" i="36"/>
  <c r="AC11" i="36" s="1"/>
  <c r="H11" i="36"/>
  <c r="U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U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F12" i="40"/>
  <c r="S12" i="40" s="1"/>
  <c r="H12" i="40"/>
  <c r="H30" i="40"/>
  <c r="AB30" i="40" s="1"/>
  <c r="F33" i="40"/>
  <c r="AA33" i="40" s="1"/>
  <c r="H33" i="40"/>
  <c r="U33" i="40" s="1"/>
  <c r="J35" i="40"/>
  <c r="AC35" i="40" s="1"/>
  <c r="J37" i="40"/>
  <c r="AC37" i="40" s="1"/>
  <c r="J13" i="40"/>
  <c r="F13" i="40"/>
  <c r="AA13" i="40" s="1"/>
  <c r="F14" i="37"/>
  <c r="S14" i="37" s="1"/>
  <c r="F27" i="37"/>
  <c r="AA27" i="37" s="1"/>
  <c r="F13" i="39"/>
  <c r="J13" i="39"/>
  <c r="W13" i="39" s="1"/>
  <c r="H13" i="39"/>
  <c r="H14" i="40"/>
  <c r="AB14" i="40"/>
  <c r="J14" i="40"/>
  <c r="W14" i="40" s="1"/>
  <c r="F14" i="40"/>
  <c r="J14" i="37"/>
  <c r="J27" i="37"/>
  <c r="AC27" i="37" s="1"/>
  <c r="AA44" i="33"/>
  <c r="AA14" i="33"/>
  <c r="J36" i="37"/>
  <c r="AC36" i="37" s="1"/>
  <c r="J10" i="36"/>
  <c r="AC10" i="36" s="1"/>
  <c r="AB30" i="21"/>
  <c r="W31" i="34"/>
  <c r="S11" i="36"/>
  <c r="AC28" i="21"/>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72" i="3"/>
  <c r="G568" i="3"/>
  <c r="G564" i="3"/>
  <c r="G560" i="3"/>
  <c r="G554" i="3"/>
  <c r="G550" i="3"/>
  <c r="BL584" i="3"/>
  <c r="BL576" i="3"/>
  <c r="BL572" i="3"/>
  <c r="BL568" i="3"/>
  <c r="BL560"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BA580" i="3"/>
  <c r="BA578" i="3"/>
  <c r="BA576" i="3"/>
  <c r="BA572" i="3"/>
  <c r="AZ572" i="3" s="1"/>
  <c r="BA570" i="3"/>
  <c r="BA568" i="3"/>
  <c r="BA564" i="3"/>
  <c r="BA562" i="3"/>
  <c r="BA560" i="3"/>
  <c r="BA556" i="3"/>
  <c r="AZ556" i="3" s="1"/>
  <c r="BA552" i="3"/>
  <c r="AZ552" i="3" s="1"/>
  <c r="BA548" i="3"/>
  <c r="BA544" i="3"/>
  <c r="BA542" i="3"/>
  <c r="AZ542" i="3" s="1"/>
  <c r="BA540" i="3"/>
  <c r="BA536" i="3"/>
  <c r="AZ536" i="3"/>
  <c r="BA532" i="3"/>
  <c r="AZ532" i="3" s="1"/>
  <c r="BA528" i="3"/>
  <c r="BA526" i="3"/>
  <c r="BA524" i="3"/>
  <c r="AZ524" i="3" s="1"/>
  <c r="BA520" i="3"/>
  <c r="BA518" i="3"/>
  <c r="BA516" i="3"/>
  <c r="AZ516" i="3" s="1"/>
  <c r="BA512" i="3"/>
  <c r="BA510" i="3"/>
  <c r="BA508" i="3"/>
  <c r="BA504" i="3"/>
  <c r="AZ504" i="3" s="1"/>
  <c r="BA502" i="3"/>
  <c r="BA500" i="3"/>
  <c r="BA496" i="3"/>
  <c r="AZ496" i="3" s="1"/>
  <c r="BA494" i="3"/>
  <c r="BA587" i="3"/>
  <c r="BA581" i="3"/>
  <c r="BA579" i="3"/>
  <c r="AZ579" i="3" s="1"/>
  <c r="BA577" i="3"/>
  <c r="BA573" i="3"/>
  <c r="BA571" i="3"/>
  <c r="BA569" i="3"/>
  <c r="BA565" i="3"/>
  <c r="BA563" i="3"/>
  <c r="BA561" i="3"/>
  <c r="BA549" i="3"/>
  <c r="BA547" i="3"/>
  <c r="BA545" i="3"/>
  <c r="BA541" i="3"/>
  <c r="BA539" i="3"/>
  <c r="BA537" i="3"/>
  <c r="BA533" i="3"/>
  <c r="BA531" i="3"/>
  <c r="BA529" i="3"/>
  <c r="BA525" i="3"/>
  <c r="BA523" i="3"/>
  <c r="BA519" i="3"/>
  <c r="BA515" i="3"/>
  <c r="BA513" i="3"/>
  <c r="BA511" i="3"/>
  <c r="BA505" i="3"/>
  <c r="BA503" i="3"/>
  <c r="BA501" i="3"/>
  <c r="AZ501" i="3" s="1"/>
  <c r="BA497" i="3"/>
  <c r="BA495" i="3"/>
  <c r="BA493" i="3"/>
  <c r="G583" i="3"/>
  <c r="G581" i="3"/>
  <c r="G579" i="3"/>
  <c r="G577" i="3"/>
  <c r="G575" i="3"/>
  <c r="G573" i="3"/>
  <c r="G571" i="3"/>
  <c r="G569" i="3"/>
  <c r="G567" i="3"/>
  <c r="G565" i="3"/>
  <c r="G563" i="3"/>
  <c r="G561" i="3"/>
  <c r="BL558" i="3"/>
  <c r="BA557" i="3"/>
  <c r="AC557" i="3"/>
  <c r="G557" i="3" s="1"/>
  <c r="BQ557" i="3"/>
  <c r="BQ583" i="3"/>
  <c r="BL583" i="3" s="1"/>
  <c r="BQ581" i="3"/>
  <c r="BL581" i="3" s="1"/>
  <c r="BQ579" i="3"/>
  <c r="BL579" i="3" s="1"/>
  <c r="BQ577" i="3"/>
  <c r="BQ575" i="3"/>
  <c r="BL575" i="3"/>
  <c r="BQ573" i="3"/>
  <c r="BL573" i="3" s="1"/>
  <c r="BQ571" i="3"/>
  <c r="BQ569" i="3"/>
  <c r="BL569" i="3" s="1"/>
  <c r="AZ569" i="3" s="1"/>
  <c r="BQ567" i="3"/>
  <c r="BL567" i="3" s="1"/>
  <c r="BQ565" i="3"/>
  <c r="BQ563" i="3"/>
  <c r="BL563" i="3" s="1"/>
  <c r="BQ561" i="3"/>
  <c r="BL561" i="3"/>
  <c r="AZ561" i="3" s="1"/>
  <c r="BQ559" i="3"/>
  <c r="BL559" i="3" s="1"/>
  <c r="G555" i="3"/>
  <c r="G553" i="3"/>
  <c r="G549" i="3"/>
  <c r="G547" i="3"/>
  <c r="G545" i="3"/>
  <c r="G543" i="3"/>
  <c r="G541" i="3"/>
  <c r="G539" i="3"/>
  <c r="G537" i="3"/>
  <c r="BQ555" i="3"/>
  <c r="BQ553" i="3"/>
  <c r="BQ551" i="3"/>
  <c r="BL551" i="3"/>
  <c r="BQ549" i="3"/>
  <c r="BQ547" i="3"/>
  <c r="BL547" i="3" s="1"/>
  <c r="AZ547" i="3" s="1"/>
  <c r="BQ545" i="3"/>
  <c r="BL545" i="3"/>
  <c r="BQ543" i="3"/>
  <c r="BL543" i="3" s="1"/>
  <c r="BQ541" i="3"/>
  <c r="BL541" i="3"/>
  <c r="AZ541" i="3" s="1"/>
  <c r="BQ539" i="3"/>
  <c r="BL539" i="3" s="1"/>
  <c r="BQ537" i="3"/>
  <c r="BL537" i="3" s="1"/>
  <c r="BQ535" i="3"/>
  <c r="BQ533" i="3"/>
  <c r="BL533" i="3"/>
  <c r="BQ531" i="3"/>
  <c r="BL531" i="3" s="1"/>
  <c r="BQ529" i="3"/>
  <c r="BQ527" i="3"/>
  <c r="BL527" i="3" s="1"/>
  <c r="BQ525" i="3"/>
  <c r="BL525" i="3" s="1"/>
  <c r="AZ525" i="3" s="1"/>
  <c r="BQ523" i="3"/>
  <c r="BL523" i="3" s="1"/>
  <c r="AZ523" i="3" s="1"/>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Q501" i="3"/>
  <c r="BL501" i="3" s="1"/>
  <c r="BQ499" i="3"/>
  <c r="BL499" i="3" s="1"/>
  <c r="BQ497" i="3"/>
  <c r="BL497" i="3" s="1"/>
  <c r="BQ495" i="3"/>
  <c r="BQ493" i="3"/>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c r="J15" i="37"/>
  <c r="W15" i="37" s="1"/>
  <c r="AT6" i="3"/>
  <c r="H19" i="40"/>
  <c r="U19" i="40" s="1"/>
  <c r="F88" i="40"/>
  <c r="G88" i="40" s="1"/>
  <c r="F19" i="40"/>
  <c r="S19" i="40" s="1"/>
  <c r="W23" i="39"/>
  <c r="AC43" i="39"/>
  <c r="W4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97"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AZ311" i="3" s="1"/>
  <c r="G312" i="3"/>
  <c r="BA314" i="3"/>
  <c r="BL315" i="3"/>
  <c r="AZ315" i="3"/>
  <c r="G316" i="3"/>
  <c r="BA318" i="3"/>
  <c r="AZ318" i="3" s="1"/>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AZ23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AZ509" i="3"/>
  <c r="G509" i="3"/>
  <c r="BL493" i="3"/>
  <c r="AZ493" i="3" s="1"/>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33" i="3"/>
  <c r="F23" i="39"/>
  <c r="AA23" i="39" s="1"/>
  <c r="H27" i="36"/>
  <c r="U27" i="36" s="1"/>
  <c r="F27" i="36"/>
  <c r="AA27" i="36" s="1"/>
  <c r="F32" i="37"/>
  <c r="AA32" i="37" s="1"/>
  <c r="F20" i="36"/>
  <c r="AA20" i="36" s="1"/>
  <c r="H23" i="39"/>
  <c r="U23" i="39" s="1"/>
  <c r="K9" i="1"/>
  <c r="M9" i="1" s="1"/>
  <c r="D93" i="9"/>
  <c r="AC26" i="33"/>
  <c r="W26" i="33"/>
  <c r="AB34" i="36"/>
  <c r="U34" i="36"/>
  <c r="AC12" i="39"/>
  <c r="AC39" i="40"/>
  <c r="W39" i="40"/>
  <c r="AZ412" i="3"/>
  <c r="W12" i="33"/>
  <c r="AC12" i="33"/>
  <c r="U30" i="33"/>
  <c r="AC13" i="34"/>
  <c r="AA47" i="34"/>
  <c r="W28" i="37"/>
  <c r="S19" i="39"/>
  <c r="F12" i="33"/>
  <c r="S12" i="33" s="1"/>
  <c r="H12" i="39"/>
  <c r="AB12" i="39" s="1"/>
  <c r="F39" i="40"/>
  <c r="B12" i="1"/>
  <c r="E12" i="1" s="1"/>
  <c r="B10" i="1"/>
  <c r="E10" i="1" s="1"/>
  <c r="K12" i="1"/>
  <c r="M12" i="1" s="1"/>
  <c r="S13" i="1"/>
  <c r="AR13" i="1" s="1"/>
  <c r="R13" i="1"/>
  <c r="B41" i="1"/>
  <c r="AB37" i="40"/>
  <c r="S35" i="40"/>
  <c r="U35" i="40"/>
  <c r="AC36" i="40"/>
  <c r="AA32"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C26" i="36"/>
  <c r="AA22" i="36"/>
  <c r="W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U39"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S37" i="34"/>
  <c r="W4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AC9" i="21" s="1"/>
  <c r="J32" i="21"/>
  <c r="W32" i="21" s="1"/>
  <c r="F32" i="21"/>
  <c r="S32" i="21" s="1"/>
  <c r="AA31" i="21"/>
  <c r="U17" i="21"/>
  <c r="S19" i="21"/>
  <c r="S9" i="21"/>
  <c r="AA9" i="21"/>
  <c r="K141" i="21"/>
  <c r="K144" i="21"/>
  <c r="K143" i="21"/>
  <c r="U27" i="21"/>
  <c r="AB25" i="21"/>
  <c r="AB44" i="21"/>
  <c r="W13"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AA12" i="33"/>
  <c r="J32" i="39"/>
  <c r="H32" i="39"/>
  <c r="AB32" i="39" s="1"/>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J25" i="33"/>
  <c r="AC25" i="33" s="1"/>
  <c r="AB23" i="33"/>
  <c r="U23" i="33"/>
  <c r="F23" i="33"/>
  <c r="AA19" i="33"/>
  <c r="H19" i="33"/>
  <c r="AB19" i="33" s="1"/>
  <c r="H17" i="33"/>
  <c r="U17" i="33" s="1"/>
  <c r="F17" i="33"/>
  <c r="S17" i="33" s="1"/>
  <c r="W17" i="33"/>
  <c r="S37" i="21"/>
  <c r="AA23" i="21"/>
  <c r="AB15" i="21"/>
  <c r="J23" i="21"/>
  <c r="AC23" i="21" s="1"/>
  <c r="F85" i="21"/>
  <c r="G85" i="21" s="1"/>
  <c r="H23" i="21"/>
  <c r="AB23" i="21" s="1"/>
  <c r="S13" i="21"/>
  <c r="AP7" i="1"/>
  <c r="U9" i="21"/>
  <c r="W9" i="21"/>
  <c r="AC32" i="39"/>
  <c r="W32" i="39"/>
  <c r="J11" i="37"/>
  <c r="AC11" i="37" s="1"/>
  <c r="H70" i="34"/>
  <c r="I70" i="34" s="1"/>
  <c r="J70" i="34" s="1"/>
  <c r="K70" i="34"/>
  <c r="L70" i="34" s="1"/>
  <c r="M70" i="34" s="1"/>
  <c r="J11" i="34"/>
  <c r="W11" i="34" s="1"/>
  <c r="AC27" i="33"/>
  <c r="W25"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D6" i="73"/>
  <c r="F40" i="15"/>
  <c r="E8" i="76"/>
  <c r="M6" i="15"/>
  <c r="F8" i="15"/>
  <c r="B12" i="76"/>
  <c r="B9" i="76"/>
  <c r="F26" i="15"/>
  <c r="F5" i="73"/>
  <c r="L48" i="15"/>
  <c r="F20" i="31"/>
  <c r="E2" i="68"/>
  <c r="E10" i="76"/>
  <c r="F7" i="73"/>
  <c r="F4" i="73"/>
  <c r="F7" i="15"/>
  <c r="E13" i="76"/>
  <c r="E11" i="76"/>
  <c r="F16" i="15"/>
  <c r="B8" i="76"/>
  <c r="B10" i="76"/>
  <c r="E2" i="69"/>
  <c r="F42" i="15"/>
  <c r="B13" i="76"/>
  <c r="AO13" i="1"/>
  <c r="B11" i="76"/>
  <c r="M28" i="15"/>
  <c r="F6" i="73"/>
  <c r="F3" i="73"/>
  <c r="F9" i="15"/>
  <c r="B7" i="76"/>
  <c r="E7" i="76"/>
  <c r="M29" i="15"/>
  <c r="E12" i="76"/>
  <c r="F6" i="15"/>
  <c r="E9" i="76"/>
  <c r="AB42" i="34" l="1"/>
  <c r="C7" i="33"/>
  <c r="C7" i="34"/>
  <c r="M47" i="9"/>
  <c r="C7" i="35"/>
  <c r="C48" i="35" s="1"/>
  <c r="D48" i="35" s="1"/>
  <c r="C42" i="1"/>
  <c r="C24" i="12" s="1"/>
  <c r="C7" i="37"/>
  <c r="C52" i="37" s="1"/>
  <c r="D52" i="37" s="1"/>
  <c r="C7" i="40"/>
  <c r="C63" i="40" s="1"/>
  <c r="C7" i="39"/>
  <c r="C67" i="39" s="1"/>
  <c r="J51" i="67"/>
  <c r="C7" i="21"/>
  <c r="AZ497" i="3"/>
  <c r="AZ533" i="3"/>
  <c r="AZ526" i="3"/>
  <c r="AZ584" i="3"/>
  <c r="AB12" i="40"/>
  <c r="U12" i="40"/>
  <c r="W45" i="33"/>
  <c r="AC45" i="33"/>
  <c r="AB35" i="33"/>
  <c r="U35" i="33"/>
  <c r="E78" i="34"/>
  <c r="F78" i="34" s="1"/>
  <c r="G78" i="34" s="1"/>
  <c r="H15" i="34"/>
  <c r="AB15" i="34" s="1"/>
  <c r="AC31" i="37"/>
  <c r="W31" i="37"/>
  <c r="AA34" i="39"/>
  <c r="S34" i="39"/>
  <c r="BA583" i="3"/>
  <c r="BA582" i="3"/>
  <c r="AZ582" i="3" s="1"/>
  <c r="BL580" i="3"/>
  <c r="BL578" i="3"/>
  <c r="BA575" i="3"/>
  <c r="BA574" i="3"/>
  <c r="AZ574" i="3" s="1"/>
  <c r="BA567" i="3"/>
  <c r="BA566" i="3"/>
  <c r="AZ566" i="3" s="1"/>
  <c r="BL564" i="3"/>
  <c r="AZ564" i="3" s="1"/>
  <c r="BL562" i="3"/>
  <c r="BA559" i="3"/>
  <c r="AZ559" i="3" s="1"/>
  <c r="BA558" i="3"/>
  <c r="AZ558" i="3" s="1"/>
  <c r="BA546" i="3"/>
  <c r="BA543" i="3"/>
  <c r="AZ543" i="3" s="1"/>
  <c r="BL540" i="3"/>
  <c r="BL538" i="3"/>
  <c r="BA538" i="3"/>
  <c r="BA535" i="3"/>
  <c r="BA534" i="3"/>
  <c r="AZ534" i="3" s="1"/>
  <c r="BA530" i="3"/>
  <c r="AZ530" i="3" s="1"/>
  <c r="BA527" i="3"/>
  <c r="BL522" i="3"/>
  <c r="BA522" i="3"/>
  <c r="BA521" i="3"/>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71" i="3"/>
  <c r="AZ510" i="3"/>
  <c r="AZ520" i="3"/>
  <c r="AZ544" i="3"/>
  <c r="AZ560" i="3"/>
  <c r="AZ570" i="3"/>
  <c r="AZ58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BL503" i="3"/>
  <c r="BL529" i="3"/>
  <c r="BL535" i="3"/>
  <c r="BL565" i="3"/>
  <c r="AZ565" i="3" s="1"/>
  <c r="BL571" i="3"/>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G429" i="3"/>
  <c r="BA437" i="3"/>
  <c r="AZ437" i="3" s="1"/>
  <c r="BL437" i="3"/>
  <c r="G439" i="3"/>
  <c r="BL443" i="3"/>
  <c r="G448" i="3"/>
  <c r="BL455" i="3"/>
  <c r="BA459" i="3"/>
  <c r="BA466" i="3"/>
  <c r="BL466" i="3"/>
  <c r="G468" i="3"/>
  <c r="BA473" i="3"/>
  <c r="BA476" i="3"/>
  <c r="BL476" i="3"/>
  <c r="BL477" i="3"/>
  <c r="BL478" i="3"/>
  <c r="BA486" i="3"/>
  <c r="BL488" i="3"/>
  <c r="BA319" i="3"/>
  <c r="AZ319" i="3" s="1"/>
  <c r="G364" i="3"/>
  <c r="BL381" i="3"/>
  <c r="AZ381" i="3" s="1"/>
  <c r="BA385" i="3"/>
  <c r="G392" i="3"/>
  <c r="BA395" i="3"/>
  <c r="AZ395" i="3" s="1"/>
  <c r="BL213" i="3"/>
  <c r="BA220" i="3"/>
  <c r="BA222" i="3"/>
  <c r="AZ222" i="3" s="1"/>
  <c r="BA224" i="3"/>
  <c r="AZ224" i="3" s="1"/>
  <c r="G228" i="3"/>
  <c r="BA231" i="3"/>
  <c r="BA242" i="3"/>
  <c r="AZ242" i="3" s="1"/>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AZ433" i="3" s="1"/>
  <c r="BA435" i="3"/>
  <c r="BA443" i="3"/>
  <c r="AZ443" i="3" s="1"/>
  <c r="BL447" i="3"/>
  <c r="BA452" i="3"/>
  <c r="BA454" i="3"/>
  <c r="BA458" i="3"/>
  <c r="AZ458" i="3" s="1"/>
  <c r="BL458" i="3"/>
  <c r="G461" i="3"/>
  <c r="BA462" i="3"/>
  <c r="AZ462" i="3" s="1"/>
  <c r="BL462" i="3"/>
  <c r="G466" i="3"/>
  <c r="BL484" i="3"/>
  <c r="BL487" i="3"/>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G28" i="6" s="1"/>
  <c r="BS5" i="3"/>
  <c r="BO5" i="3"/>
  <c r="K6" i="1"/>
  <c r="AP6" i="1" s="1"/>
  <c r="C36" i="69" s="1"/>
  <c r="G18" i="3"/>
  <c r="F6" i="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U19" i="34"/>
  <c r="W19" i="34"/>
  <c r="AC15" i="34"/>
  <c r="AC17" i="34"/>
  <c r="U15" i="34"/>
  <c r="B65" i="43"/>
  <c r="C29" i="39"/>
  <c r="B57" i="43"/>
  <c r="S8" i="34"/>
  <c r="AB8" i="34"/>
  <c r="F28" i="15"/>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398" i="3"/>
  <c r="AZ451" i="3"/>
  <c r="AZ459"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AZ404" i="3" s="1"/>
  <c r="BA405" i="3"/>
  <c r="AZ405" i="3" s="1"/>
  <c r="G409" i="3"/>
  <c r="BL410" i="3"/>
  <c r="AZ410" i="3" s="1"/>
  <c r="G419" i="3"/>
  <c r="BA422" i="3"/>
  <c r="G430" i="3"/>
  <c r="BL431" i="3"/>
  <c r="AZ431" i="3" s="1"/>
  <c r="BL434" i="3"/>
  <c r="G437" i="3"/>
  <c r="BL438" i="3"/>
  <c r="BL439" i="3"/>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G216" i="3"/>
  <c r="BL225" i="3"/>
  <c r="AZ225" i="3" s="1"/>
  <c r="BL226" i="3"/>
  <c r="BA239" i="3"/>
  <c r="BL239" i="3"/>
  <c r="BA241" i="3"/>
  <c r="BL241" i="3"/>
  <c r="BA244" i="3"/>
  <c r="BL244" i="3"/>
  <c r="BA246" i="3"/>
  <c r="BA252" i="3"/>
  <c r="AZ252" i="3" s="1"/>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F42" i="67"/>
  <c r="C16" i="15"/>
  <c r="M26" i="67"/>
  <c r="L47" i="15"/>
  <c r="M26" i="15"/>
  <c r="F36" i="67"/>
  <c r="F38" i="67"/>
  <c r="C76" i="15"/>
  <c r="F16" i="67"/>
  <c r="D7" i="73"/>
  <c r="D5" i="73"/>
  <c r="M8" i="15"/>
  <c r="F37" i="15"/>
  <c r="J15" i="67"/>
  <c r="M9" i="67"/>
  <c r="M28" i="67"/>
  <c r="F38" i="15"/>
  <c r="M23" i="15"/>
  <c r="F43" i="15"/>
  <c r="M29" i="67"/>
  <c r="F26" i="67"/>
  <c r="M24" i="67"/>
  <c r="F40" i="67"/>
  <c r="M22" i="15"/>
  <c r="F43" i="67"/>
  <c r="F37" i="67"/>
  <c r="M8" i="67"/>
  <c r="M22" i="67"/>
  <c r="F6" i="67"/>
  <c r="F13" i="15"/>
  <c r="M23" i="67"/>
  <c r="M9" i="15"/>
  <c r="L47" i="67"/>
  <c r="F7" i="67"/>
  <c r="M6" i="67"/>
  <c r="F8" i="67"/>
  <c r="C76" i="67"/>
  <c r="F13" i="67"/>
  <c r="M24" i="15"/>
  <c r="F9" i="67"/>
  <c r="D3" i="73"/>
  <c r="L48" i="67"/>
  <c r="J15" i="15"/>
  <c r="D4" i="73"/>
  <c r="E14" i="6" l="1"/>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8" i="12"/>
  <c r="C29" i="12" s="1"/>
  <c r="D28" i="12"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F27" i="68"/>
  <c r="AE7" i="1"/>
  <c r="AE8" i="1"/>
  <c r="AE12" i="1"/>
  <c r="AE10" i="1"/>
  <c r="AE6" i="1"/>
  <c r="G1" i="73"/>
  <c r="C16" i="67"/>
  <c r="J5" i="15" l="1"/>
  <c r="J24" i="15" s="1"/>
  <c r="F27" i="11"/>
  <c r="C29" i="11" s="1"/>
  <c r="D27" i="11" s="1"/>
  <c r="E61" i="39"/>
  <c r="AC7" i="36"/>
  <c r="V36" i="36" s="1"/>
  <c r="I36" i="36"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G40" i="36" s="1"/>
  <c r="H40"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D3" i="34"/>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C53" i="15"/>
  <c r="C48" i="15" s="1"/>
  <c r="C66" i="15" s="1"/>
  <c r="C10" i="15"/>
  <c r="C5" i="15" s="1"/>
  <c r="C38" i="15" s="1"/>
  <c r="F41" i="67"/>
  <c r="M27" i="67"/>
  <c r="F41" i="15"/>
  <c r="M27" i="15"/>
  <c r="AY352" i="3" l="1"/>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15" i="6"/>
  <c r="D22" i="6"/>
  <c r="D20" i="6"/>
  <c r="D26" i="6"/>
  <c r="D6" i="6"/>
  <c r="D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D10" i="68"/>
  <c r="C17" i="67"/>
  <c r="C17" i="15"/>
  <c r="C14" i="67"/>
  <c r="M19" i="83" l="1"/>
  <c r="C118" i="83" s="1"/>
  <c r="M19" i="82"/>
  <c r="C118" i="82" s="1"/>
  <c r="I54" i="34"/>
  <c r="J54" i="34" s="1"/>
  <c r="D28" i="6"/>
  <c r="D30" i="6" s="1"/>
  <c r="D5" i="6"/>
  <c r="D29" i="6"/>
  <c r="D14" i="6"/>
  <c r="D24" i="6"/>
  <c r="D25" i="6"/>
  <c r="D13" i="6"/>
  <c r="D23" i="6"/>
  <c r="D10" i="6"/>
  <c r="D8" i="6"/>
  <c r="H21" i="6"/>
  <c r="R21" i="6" s="1"/>
  <c r="R8" i="1" s="1"/>
  <c r="M19" i="9"/>
  <c r="C118" i="9" s="1"/>
  <c r="B2" i="74" s="1"/>
  <c r="C60" i="67"/>
  <c r="C50" i="34"/>
  <c r="E53" i="34"/>
  <c r="F53" i="34" s="1"/>
  <c r="C26" i="68"/>
  <c r="D22" i="68" s="1"/>
  <c r="F41" i="68"/>
  <c r="H22" i="6"/>
  <c r="R22" i="6" s="1"/>
  <c r="R9" i="1" s="1"/>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9" l="1"/>
  <c r="C23" i="69" s="1"/>
  <c r="B29" i="1"/>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 i="6"/>
  <c r="E2" i="76"/>
  <c r="B2" i="76"/>
  <c r="I69" i="39"/>
  <c r="J67" i="39"/>
  <c r="I63" i="40"/>
  <c r="H65" i="40"/>
  <c r="I58" i="21"/>
  <c r="J58" i="21" s="1"/>
  <c r="K58" i="21" s="1"/>
  <c r="L58" i="21" s="1"/>
  <c r="M58" i="21" s="1"/>
  <c r="N58" i="21" s="1"/>
  <c r="O58" i="21" s="1"/>
  <c r="H7" i="21" s="1"/>
  <c r="J48" i="35"/>
  <c r="C8" i="68" l="1"/>
  <c r="C5" i="68" s="1"/>
  <c r="C23" i="68" s="1"/>
  <c r="C18" i="12"/>
  <c r="C21" i="12" s="1"/>
  <c r="L19" i="9"/>
  <c r="L19" i="83"/>
  <c r="L19" i="82"/>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F35" i="15"/>
  <c r="M21" i="67"/>
  <c r="C25" i="68" l="1"/>
  <c r="C22" i="68" s="1"/>
  <c r="C31" i="68" s="1"/>
  <c r="C30" i="12"/>
  <c r="C28" i="12" s="1"/>
  <c r="C32" i="12" s="1"/>
  <c r="B2" i="12" s="1"/>
  <c r="B3" i="12" s="1"/>
  <c r="E48" i="2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C52" i="68" l="1"/>
  <c r="B2" i="68" s="1"/>
  <c r="B3" i="68" s="1"/>
  <c r="I42" i="35"/>
  <c r="J42" i="35" s="1"/>
  <c r="C14" i="71"/>
  <c r="D15" i="7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D19" i="9"/>
  <c r="D19" i="83"/>
  <c r="D19" i="82"/>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83"/>
  <c r="AO8" i="1"/>
  <c r="C19" i="9"/>
  <c r="AO9" i="1"/>
  <c r="D20" i="83"/>
  <c r="AO6" i="1"/>
  <c r="AO7" i="1"/>
  <c r="AO10" i="1"/>
  <c r="AO12" i="1"/>
  <c r="D20" i="9"/>
  <c r="C19" i="82"/>
  <c r="D20" i="82"/>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20" i="82"/>
  <c r="C20" i="9"/>
  <c r="C103" i="83" l="1"/>
  <c r="G20" i="83"/>
  <c r="C32" i="83" s="1"/>
  <c r="I118" i="83" s="1"/>
  <c r="C103" i="82"/>
  <c r="G20" i="82"/>
  <c r="C32" i="82" s="1"/>
  <c r="D35"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14" i="74" s="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E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P57" i="83" l="1"/>
  <c r="P59" i="83" s="1"/>
  <c r="P57" i="82"/>
  <c r="P59" i="82" s="1"/>
  <c r="C97" i="83"/>
  <c r="M69" i="83"/>
  <c r="N69" i="83" s="1"/>
  <c r="C81" i="83"/>
  <c r="D58" i="83" s="1"/>
  <c r="D56" i="83" s="1"/>
  <c r="M54" i="83" s="1"/>
  <c r="N57" i="83" s="1"/>
  <c r="M69" i="82"/>
  <c r="N69" i="82" s="1"/>
  <c r="C80" i="82"/>
  <c r="E80" i="82" s="1"/>
  <c r="E81" i="82" s="1"/>
  <c r="C96" i="82"/>
  <c r="E96" i="82" s="1"/>
  <c r="E97" i="82" s="1"/>
  <c r="H118" i="9"/>
  <c r="I118" i="9" s="1"/>
  <c r="I4" i="52" s="1"/>
  <c r="H102" i="9" l="1"/>
  <c r="D7" i="53" s="1"/>
  <c r="B21" i="72" s="1"/>
  <c r="C105" i="9"/>
  <c r="N58" i="83"/>
  <c r="N59" i="83"/>
  <c r="C97" i="82"/>
  <c r="C81" i="82"/>
  <c r="D58" i="82" s="1"/>
  <c r="D56" i="82" s="1"/>
  <c r="M54" i="82" s="1"/>
  <c r="N57" i="82" s="1"/>
  <c r="C104" i="9"/>
  <c r="H119" i="9"/>
  <c r="H5" i="52" s="1"/>
  <c r="H101" i="9"/>
  <c r="H4" i="52"/>
  <c r="D118" i="9"/>
  <c r="E118" i="9" s="1"/>
  <c r="E4" i="52" s="1"/>
  <c r="B48" i="72" s="1"/>
  <c r="C5" i="74" l="1"/>
  <c r="U26" i="3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I14" i="74" s="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J14" i="74"/>
  <c r="D8" i="74" l="1"/>
  <c r="F118" i="9"/>
  <c r="G118" i="9"/>
  <c r="G4" i="52" s="1"/>
  <c r="B52" i="72" s="1"/>
  <c r="F4" i="52"/>
  <c r="B51" i="72"/>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<sst xmlns="http://schemas.openxmlformats.org/spreadsheetml/2006/main" count="8595" uniqueCount="3491">
  <si>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</si>
  <si>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</si>
  <si>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</si>
  <si>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</si>
  <si>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</si>
  <si>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</si>
  <si>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</si>
  <si>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</si>
  <si>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</si>
  <si>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</si>
  <si>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</si>
  <si>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</si>
  <si>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</si>
  <si>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</si>
  <si>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</si>
  <si>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</si>
  <si>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</si>
  <si>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</si>
  <si>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</si>
  <si>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</si>
  <si>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</si>
  <si>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</si>
  <si>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</si>
  <si>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</si>
  <si>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</si>
  <si>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</si>
  <si>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</si>
  <si>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</si>
  <si>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</si>
  <si>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</si>
  <si>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</si>
  <si>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</si>
  <si>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</si>
  <si>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</si>
  <si>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</si>
  <si>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</si>
  <si>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</si>
  <si>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</si>
  <si>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</si>
  <si>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</si>
  <si>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</si>
  <si>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</si>
  <si>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</si>
  <si>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</si>
  <si>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</si>
  <si>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</si>
  <si>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</si>
  <si>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</si>
  <si>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</si>
  <si>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</si>
  <si>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</si>
  <si>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</si>
  <si>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</si>
  <si>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</si>
  <si>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</si>
  <si>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</si>
  <si>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</si>
  <si>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</si>
  <si>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</si>
  <si>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</si>
  <si>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</si>
  <si>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</si>
  <si>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</si>
  <si>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</si>
  <si>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</si>
  <si>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</si>
  <si>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</si>
  <si>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</si>
  <si>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</si>
  <si>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</si>
  <si>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</si>
  <si>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</si>
  <si>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</si>
  <si>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</si>
  <si>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</si>
  <si>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</si>
  <si>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</si>
  <si>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</si>
  <si>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</si>
  <si>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</si>
  <si>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</si>
  <si>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</si>
  <si>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</si>
  <si>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</si>
  <si>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</si>
  <si>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</si>
  <si>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</si>
  <si>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</si>
  <si>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</si>
  <si>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</si>
  <si>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</si>
  <si>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</si>
  <si>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</si>
  <si>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</si>
  <si>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</si>
  <si>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</si>
  <si>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</si>
  <si>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</si>
  <si>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</si>
  <si>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</si>
  <si>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</si>
  <si>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</si>
  <si>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</si>
  <si>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</si>
  <si>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</si>
  <si>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</si>
  <si>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</si>
  <si>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</si>
  <si>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</si>
  <si>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</si>
  <si>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</si>
  <si>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</si>
  <si>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</si>
  <si>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</si>
  <si>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</si>
  <si>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</si>
  <si>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</si>
  <si>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</si>
  <si>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</si>
  <si>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</si>
  <si>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</si>
  <si>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</si>
  <si>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</si>
  <si>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</si>
  <si>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</si>
  <si>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</si>
  <si>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</si>
  <si>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</si>
  <si>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</si>
  <si>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</si>
  <si>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</si>
  <si>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</si>
  <si>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</si>
  <si>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</si>
  <si>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</si>
  <si>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</si>
  <si>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</si>
  <si>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</si>
  <si>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</si>
  <si>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</si>
  <si>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</si>
  <si>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</si>
  <si>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</si>
  <si>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</si>
  <si>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</si>
  <si>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</si>
  <si>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</si>
  <si>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</si>
  <si>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</si>
  <si>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</si>
  <si>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</si>
  <si>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</si>
  <si>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</si>
  <si>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</si>
  <si>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</si>
  <si>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</si>
  <si>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</si>
  <si>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</si>
  <si>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</si>
  <si>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</si>
  <si>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</si>
  <si>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</si>
  <si>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</si>
  <si>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</si>
  <si>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</si>
  <si>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</si>
  <si>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</si>
  <si>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</si>
  <si>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</si>
  <si>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</si>
  <si>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</si>
  <si>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</si>
  <si>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</si>
  <si>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</si>
  <si>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</si>
  <si>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</si>
  <si>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</si>
  <si>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</si>
  <si>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</si>
  <si>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</si>
  <si>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</si>
  <si>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</si>
  <si>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</si>
  <si>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</si>
  <si>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</si>
  <si>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</si>
  <si>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</si>
  <si>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</si>
  <si>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</si>
  <si>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</si>
  <si>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</si>
  <si>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</si>
  <si>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</si>
  <si>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</si>
  <si>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</si>
  <si>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</si>
  <si>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</si>
  <si>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</si>
  <si>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</si>
  <si>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</si>
  <si>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</si>
  <si>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</si>
  <si>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</si>
  <si>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</si>
  <si>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</si>
  <si>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</si>
  <si>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</si>
  <si>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</si>
  <si>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</si>
  <si>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</si>
  <si>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</si>
  <si>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</si>
  <si>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</si>
  <si>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</si>
  <si>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</si>
  <si>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</si>
  <si>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</si>
  <si>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</si>
  <si>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</si>
  <si>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</si>
  <si>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</si>
  <si>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</si>
  <si>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</si>
  <si>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</si>
  <si>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</si>
  <si>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</si>
  <si>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</si>
  <si>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</si>
  <si>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</si>
  <si>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</si>
  <si>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</si>
  <si>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</si>
  <si>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</si>
  <si>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</si>
  <si>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</si>
  <si>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</si>
  <si>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</si>
  <si>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</si>
  <si>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</si>
  <si>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</si>
  <si>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</si>
  <si>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</si>
  <si>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</si>
  <si>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</si>
  <si>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</si>
  <si>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</si>
  <si>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</si>
  <si>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</si>
  <si>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</si>
  <si>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</si>
  <si>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</si>
  <si>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</si>
  <si>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</si>
  <si>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</si>
  <si>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</si>
  <si>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</si>
  <si>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</si>
  <si>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</si>
  <si>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</si>
  <si>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</si>
  <si>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</si>
  <si>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</si>
  <si>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</si>
  <si>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</si>
  <si>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</si>
  <si>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</si>
  <si>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</si>
  <si>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</si>
  <si>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</si>
  <si>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</si>
  <si>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</si>
  <si>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</si>
  <si>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</si>
  <si>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</si>
  <si>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</si>
  <si>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</si>
  <si>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</si>
  <si>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</si>
  <si>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</si>
  <si>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</si>
  <si>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</si>
  <si>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</si>
  <si>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</si>
  <si>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</si>
  <si>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</si>
  <si>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</si>
  <si>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</si>
  <si>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</si>
  <si>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</si>
  <si>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</si>
  <si>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</si>
  <si>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</si>
  <si>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</si>
  <si>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</si>
  <si>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</si>
  <si>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</si>
  <si>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</si>
  <si>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</si>
  <si>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</si>
  <si>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</si>
  <si>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</si>
  <si>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</si>
  <si>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</si>
  <si>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</si>
  <si>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</si>
  <si>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</si>
  <si>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</si>
  <si>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</si>
  <si>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</si>
  <si>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</si>
  <si>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</si>
  <si>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</si>
  <si>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</si>
  <si>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</si>
  <si>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</si>
  <si>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</si>
  <si>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</si>
  <si>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</si>
  <si>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</si>
  <si>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</si>
  <si>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</si>
  <si>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</si>
  <si>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</si>
  <si>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</si>
  <si>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</si>
  <si>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</si>
  <si>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</si>
  <si>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</si>
  <si>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</si>
  <si>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</si>
  <si>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</si>
  <si>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</si>
  <si>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</si>
  <si>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</si>
  <si>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</si>
  <si>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</si>
  <si>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</si>
  <si>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</si>
  <si>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</si>
  <si>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</si>
  <si>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</si>
  <si>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</si>
  <si>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</si>
  <si>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</si>
  <si>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</si>
  <si>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</si>
  <si>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</si>
  <si>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</si>
  <si>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</si>
  <si>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</si>
  <si>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</si>
  <si>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</si>
  <si>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</si>
  <si>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</si>
  <si>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</si>
  <si>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</si>
  <si>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</si>
  <si>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</si>
  <si>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</si>
  <si>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</si>
  <si>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</si>
  <si>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</si>
  <si>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</si>
  <si>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</si>
  <si>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</si>
  <si>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</si>
  <si>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</si>
  <si>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</si>
  <si>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</si>
  <si>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</si>
  <si>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</si>
  <si>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</si>
  <si>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</si>
  <si>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</si>
  <si>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</si>
  <si>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</si>
  <si>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</si>
  <si>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</si>
  <si>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</si>
  <si>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</si>
  <si>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</si>
  <si>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</si>
  <si>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</si>
  <si>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</si>
  <si>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</si>
  <si>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</si>
  <si>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</si>
  <si>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</si>
  <si>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</si>
  <si>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</si>
  <si>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</si>
  <si>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</si>
  <si>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</si>
  <si>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</si>
  <si>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</si>
  <si>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</si>
  <si>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</si>
  <si>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</si>
  <si>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</si>
  <si>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</si>
  <si>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</si>
  <si>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</si>
  <si>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</si>
  <si>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</si>
  <si>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</si>
  <si>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</si>
  <si>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</si>
  <si>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</si>
  <si>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</si>
  <si>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</si>
  <si>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</si>
  <si>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</si>
  <si>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</si>
  <si>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</si>
  <si>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</si>
  <si>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</si>
  <si>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</si>
  <si>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</si>
  <si>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</si>
  <si>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</si>
  <si>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</si>
  <si>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</si>
  <si>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</si>
  <si>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</si>
  <si>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</si>
  <si>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</si>
  <si>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</si>
  <si>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</si>
  <si>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</si>
  <si>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</si>
  <si>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</si>
  <si>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</si>
  <si>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</si>
  <si>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</si>
  <si>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</si>
  <si>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</si>
  <si>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</si>
  <si>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</si>
  <si>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</si>
  <si>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</si>
  <si>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</si>
  <si>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</si>
  <si>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</si>
  <si>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</si>
  <si>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</si>
  <si>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</si>
  <si>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</si>
  <si>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</si>
  <si>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</si>
  <si>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</si>
  <si>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</si>
  <si>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</si>
  <si>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</si>
  <si>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</si>
  <si>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</si>
  <si>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</si>
  <si>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</si>
  <si>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</si>
  <si>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</si>
  <si>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</si>
  <si>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</si>
  <si>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</si>
  <si>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</si>
  <si>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</si>
  <si>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</si>
  <si>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</si>
  <si>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</si>
  <si>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</si>
  <si>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</si>
  <si>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</si>
  <si>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</si>
  <si>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</si>
  <si>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</si>
  <si>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</si>
  <si>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</si>
  <si>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</si>
  <si>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</si>
  <si>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</si>
  <si>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</si>
  <si>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</si>
  <si>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</si>
  <si>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</si>
  <si>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</si>
  <si>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</si>
  <si>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</si>
  <si>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</si>
  <si>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</si>
  <si>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</si>
  <si>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</si>
  <si>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</si>
  <si>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</si>
  <si>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</si>
  <si>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</si>
  <si>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</si>
  <si>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</si>
  <si>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</si>
  <si>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</si>
  <si>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</si>
  <si>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</si>
  <si>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</si>
  <si>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</si>
  <si>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</si>
  <si>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</si>
  <si>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</si>
  <si>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</si>
  <si>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</si>
  <si>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</si>
  <si>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</si>
  <si>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</si>
  <si>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</si>
  <si>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</si>
  <si>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</si>
  <si>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</si>
  <si>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</si>
  <si>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</si>
  <si>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</si>
  <si>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</si>
  <si>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</si>
  <si>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</si>
  <si>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</si>
  <si>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</si>
  <si>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</si>
  <si>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</si>
  <si>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</si>
  <si>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</si>
  <si>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</si>
  <si>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</si>
  <si>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</si>
  <si>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</si>
  <si>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</si>
  <si>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</si>
  <si>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</si>
  <si>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</si>
  <si>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</si>
  <si>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</si>
  <si>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</si>
  <si>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</si>
  <si>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</si>
  <si>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</si>
  <si>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</si>
  <si>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</si>
  <si>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</si>
  <si>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</si>
  <si>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</si>
  <si>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</si>
  <si>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</si>
  <si>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</si>
  <si>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</si>
  <si>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</si>
  <si>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</si>
  <si>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</si>
  <si>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</si>
  <si>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</si>
  <si>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</si>
  <si>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</si>
  <si>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</si>
  <si>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</si>
  <si>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</si>
  <si>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</si>
  <si>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</si>
  <si>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</si>
  <si>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</si>
  <si>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</si>
  <si>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</si>
  <si>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</si>
  <si>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</si>
  <si>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</si>
  <si>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</si>
  <si>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</si>
  <si>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</si>
  <si>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</si>
  <si>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</si>
  <si>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</si>
  <si>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</si>
  <si>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</si>
  <si>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</si>
  <si>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</si>
  <si>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</si>
  <si>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</si>
  <si>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</si>
  <si>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</si>
  <si>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</si>
  <si>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</si>
  <si>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</si>
  <si>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</si>
  <si>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</si>
  <si>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</si>
  <si>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</si>
  <si>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</si>
  <si>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</si>
  <si>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</si>
  <si>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</si>
  <si>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</si>
  <si>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</si>
  <si>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</si>
  <si>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</si>
  <si>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</si>
  <si>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</si>
  <si>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</si>
  <si>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</si>
  <si>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</si>
  <si>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</si>
  <si>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</si>
  <si>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</si>
  <si>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</si>
  <si>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</si>
  <si>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</si>
  <si>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</si>
  <si>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</si>
  <si>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</si>
  <si>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</si>
  <si>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</si>
  <si>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</si>
  <si>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</si>
  <si>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</si>
  <si>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</si>
  <si>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</si>
  <si>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</si>
  <si>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</si>
  <si>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</si>
  <si>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</si>
  <si>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</si>
  <si>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</si>
  <si>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</si>
  <si>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</si>
  <si>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</si>
  <si>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</si>
  <si>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</si>
  <si>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</si>
  <si>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</si>
  <si>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</si>
  <si>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</si>
  <si>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</si>
  <si>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</si>
  <si>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</si>
  <si>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</si>
  <si>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</si>
  <si>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</si>
  <si>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</si>
  <si>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</si>
  <si>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</si>
  <si>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</si>
  <si>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</si>
  <si>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</si>
  <si>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</si>
  <si>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</si>
  <si>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</si>
  <si>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</si>
  <si>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</si>
  <si>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</si>
  <si>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</si>
  <si>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</si>
  <si>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</si>
  <si>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</si>
  <si>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</si>
  <si>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</si>
  <si>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</si>
  <si>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</si>
  <si>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</si>
  <si>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</si>
  <si>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</si>
  <si>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</si>
  <si>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</si>
  <si>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</si>
  <si>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</si>
  <si>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</si>
  <si>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</si>
  <si>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</si>
  <si>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</si>
  <si>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</si>
  <si>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</si>
  <si>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</si>
  <si>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</si>
  <si>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</si>
  <si>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</si>
  <si>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</si>
  <si>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</si>
  <si>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</si>
  <si>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</si>
  <si>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</si>
  <si>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</si>
  <si>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</si>
  <si>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</si>
  <si>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</si>
  <si>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</si>
  <si>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</si>
  <si>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</si>
  <si>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</si>
  <si>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</si>
  <si>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</si>
  <si>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</si>
  <si>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</si>
  <si>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</si>
  <si>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</si>
  <si>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</si>
  <si>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</si>
  <si>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</si>
  <si>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</si>
  <si>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</si>
  <si>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</si>
  <si>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</si>
  <si>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</si>
  <si>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</si>
  <si>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</si>
  <si>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</si>
  <si>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</si>
  <si>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</si>
  <si>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</si>
  <si>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</si>
  <si>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</si>
  <si>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</si>
  <si>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</si>
  <si>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</si>
  <si>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</si>
  <si>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</si>
  <si>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</si>
  <si>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</si>
  <si>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</si>
  <si>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</si>
  <si>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</si>
  <si>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</si>
  <si>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</si>
  <si>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</si>
  <si>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</si>
  <si>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</si>
  <si>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</si>
  <si>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</si>
  <si>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</si>
  <si>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</si>
  <si>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</si>
  <si>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</si>
  <si>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</si>
  <si>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</si>
  <si>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</si>
  <si>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</si>
  <si>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</si>
  <si>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</si>
  <si>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</si>
  <si>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</si>
  <si>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</si>
  <si>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</si>
  <si>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</si>
  <si>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</si>
  <si>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</si>
  <si>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</si>
  <si>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</si>
  <si>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</si>
  <si>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</si>
  <si>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</si>
  <si>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</si>
  <si>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</si>
  <si>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</si>
  <si>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</si>
  <si>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</si>
  <si>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</si>
  <si>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</si>
  <si>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</si>
  <si>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</si>
  <si>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</si>
  <si>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</si>
  <si>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</si>
  <si>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</si>
  <si>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</si>
  <si>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</si>
  <si>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</si>
  <si>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</si>
  <si>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</si>
  <si>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</si>
  <si>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</si>
  <si>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</si>
  <si>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</si>
  <si>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</si>
  <si>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</si>
  <si>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</si>
  <si>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</si>
  <si>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</si>
  <si>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</si>
  <si>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</si>
  <si>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</si>
  <si>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</si>
  <si>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</si>
  <si>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</si>
  <si>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</si>
  <si>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</si>
  <si>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</si>
  <si>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</si>
  <si>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</si>
  <si>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</si>
  <si>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</si>
  <si>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</si>
  <si>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</si>
  <si>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</si>
  <si>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</si>
  <si>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</si>
  <si>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</si>
  <si>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</si>
  <si>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</si>
  <si>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</si>
  <si>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</si>
  <si>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</si>
  <si>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</si>
  <si>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</si>
  <si>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</si>
  <si>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</si>
  <si>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</si>
  <si>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</si>
  <si>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</si>
  <si>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</si>
  <si>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</si>
  <si>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</si>
  <si>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</si>
  <si>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</si>
  <si>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</si>
  <si>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</si>
  <si>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</si>
  <si>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</si>
  <si>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</si>
  <si>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</si>
  <si>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</si>
  <si>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</si>
  <si>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</si>
  <si>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</si>
  <si>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</si>
  <si>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</si>
  <si>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</si>
  <si>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</si>
  <si>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</si>
  <si>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</si>
  <si>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</si>
  <si>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</si>
  <si>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</si>
  <si>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</si>
  <si>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</si>
  <si>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</si>
  <si>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</si>
  <si>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</si>
  <si>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</si>
  <si>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</si>
  <si>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</si>
  <si>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</si>
  <si>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</si>
  <si>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</si>
  <si>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</si>
  <si>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</si>
  <si>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</si>
  <si>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</si>
  <si>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</si>
  <si>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</si>
  <si>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</si>
  <si>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</si>
  <si>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</si>
  <si>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</si>
  <si>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</si>
  <si>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</si>
  <si>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</si>
  <si>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</si>
  <si>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</si>
  <si>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</si>
  <si>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</si>
  <si>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</si>
  <si>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</si>
  <si>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</si>
  <si>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</si>
  <si>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</si>
  <si>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</si>
  <si>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</si>
  <si>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</si>
  <si>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</si>
  <si>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</si>
  <si>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</si>
  <si>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</si>
  <si>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</si>
  <si>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</si>
  <si>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</si>
  <si>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</si>
  <si>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</si>
  <si>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</si>
  <si>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</si>
  <si>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</si>
  <si>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</si>
  <si>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</si>
  <si>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</si>
  <si>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</si>
  <si>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</si>
  <si>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</si>
  <si>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</si>
  <si>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</si>
  <si>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</si>
  <si>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</si>
  <si>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</si>
  <si>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</si>
  <si>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</si>
  <si>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</si>
  <si>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</si>
  <si>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</si>
  <si>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</si>
  <si>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</si>
  <si>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</si>
  <si>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</si>
  <si>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</si>
  <si>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</si>
  <si>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</si>
  <si>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</si>
  <si>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</si>
  <si>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</si>
  <si>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</si>
  <si>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</si>
  <si>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</si>
  <si>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</si>
  <si>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</si>
  <si>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</si>
  <si>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</si>
  <si>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</si>
  <si>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</si>
  <si>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</si>
  <si>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</si>
  <si>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</si>
  <si>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</si>
  <si>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</si>
  <si>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</si>
  <si>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</si>
  <si>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</si>
  <si>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</si>
  <si>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</si>
  <si>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</si>
  <si>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</si>
  <si>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</si>
  <si>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</si>
  <si>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</si>
  <si>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</si>
  <si>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</si>
  <si>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</si>
  <si>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</si>
  <si>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</si>
  <si>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</si>
  <si>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</si>
  <si>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</si>
  <si>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</si>
  <si>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</si>
  <si>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</si>
  <si>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</si>
  <si>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</si>
  <si>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</si>
  <si>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</si>
  <si>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</si>
  <si>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</si>
  <si>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</si>
  <si>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</si>
  <si>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</si>
  <si>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</si>
  <si>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</si>
  <si>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</si>
  <si>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</si>
  <si>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</si>
  <si>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</si>
  <si>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</si>
  <si>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</si>
  <si>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</si>
  <si>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</si>
  <si>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</si>
  <si>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</si>
  <si>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</si>
  <si>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</si>
  <si>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</si>
  <si>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</si>
  <si>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</si>
  <si>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</si>
  <si>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</si>
  <si>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</si>
  <si>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</si>
  <si>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</si>
  <si>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</si>
  <si>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</si>
  <si>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</si>
  <si>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</si>
  <si>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</si>
  <si>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</si>
  <si>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</si>
  <si>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</si>
  <si>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</si>
  <si>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</si>
  <si>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</si>
  <si>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</si>
  <si>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</si>
  <si>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</si>
  <si>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</si>
  <si>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</si>
  <si>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</si>
  <si>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</si>
  <si>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</si>
  <si>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</si>
  <si>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</si>
  <si>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</si>
  <si>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</si>
  <si>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</si>
  <si>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</si>
  <si>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</si>
  <si>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</si>
  <si>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</si>
  <si>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</si>
  <si>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</si>
  <si>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</si>
  <si>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</si>
  <si>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</si>
  <si>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</si>
  <si>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</si>
  <si>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</si>
  <si>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</si>
  <si>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</si>
  <si>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</si>
  <si>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</si>
  <si>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</si>
  <si>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</si>
  <si>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</si>
  <si>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</si>
  <si>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</si>
  <si>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</si>
  <si>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</si>
  <si>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</si>
  <si>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</si>
  <si>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</si>
  <si>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</si>
  <si>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</si>
  <si>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</si>
  <si>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</si>
  <si>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</si>
  <si>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</si>
  <si>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</si>
  <si>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</si>
  <si>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</si>
  <si>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</si>
  <si>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</si>
  <si>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</si>
  <si>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</si>
  <si>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</si>
  <si>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</si>
  <si>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</si>
  <si>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</si>
  <si>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</si>
  <si>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</si>
  <si>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</si>
  <si>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</si>
  <si>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</si>
  <si>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</si>
  <si>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</si>
  <si>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</si>
  <si>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</si>
  <si>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</si>
  <si>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</si>
  <si>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</si>
  <si>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</si>
  <si>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</si>
  <si>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</si>
  <si>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</si>
  <si>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</si>
  <si>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</si>
  <si>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</si>
  <si>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</si>
  <si>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</si>
  <si>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</si>
  <si>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</si>
  <si>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</si>
  <si>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</si>
  <si>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</si>
  <si>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</si>
  <si>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</si>
  <si>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</si>
  <si>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</si>
  <si>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</si>
  <si>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</si>
  <si>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</si>
  <si>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</si>
  <si>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</si>
  <si>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</si>
  <si>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</si>
  <si>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</si>
  <si>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</si>
  <si>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</si>
  <si>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</si>
  <si>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</si>
  <si>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</si>
  <si>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</si>
  <si>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</si>
  <si>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</si>
  <si>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</si>
  <si>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</si>
  <si>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</si>
  <si>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</si>
  <si>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</si>
  <si>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</si>
  <si>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</si>
  <si>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</si>
  <si>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</si>
  <si>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</si>
  <si>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</si>
  <si>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</si>
  <si>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</si>
  <si>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</si>
  <si>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</si>
  <si>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</si>
  <si>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</si>
  <si>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</si>
  <si>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</si>
  <si>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</si>
  <si>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</si>
  <si>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</si>
  <si>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</si>
  <si>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</si>
  <si>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</si>
  <si>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</si>
  <si>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</si>
  <si>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</si>
  <si>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</si>
  <si>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</si>
  <si>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</si>
  <si>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</si>
  <si>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</si>
  <si>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</si>
  <si>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</si>
  <si>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</si>
  <si>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</si>
  <si>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</si>
  <si>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</si>
  <si>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</si>
  <si>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</si>
  <si>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</si>
  <si>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</si>
  <si>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</si>
  <si>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</si>
  <si>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</si>
  <si>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</si>
  <si>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</si>
  <si>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</si>
  <si>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</si>
  <si>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</si>
  <si>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</si>
  <si>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</si>
  <si>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</si>
  <si>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</si>
  <si>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</si>
  <si>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</si>
  <si>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</si>
  <si>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</si>
  <si>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</si>
  <si>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</si>
  <si>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</si>
  <si>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</si>
  <si>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</si>
  <si>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</si>
  <si>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</si>
  <si>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</si>
  <si>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</si>
  <si>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</si>
  <si>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</si>
  <si>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</si>
  <si>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</si>
  <si>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</si>
  <si>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</si>
  <si>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</si>
  <si>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</si>
  <si>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</si>
  <si>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</si>
  <si>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</si>
  <si>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</si>
  <si>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</si>
  <si>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</si>
  <si>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</si>
  <si>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</si>
  <si>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</si>
  <si>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</si>
  <si>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</si>
  <si>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</si>
  <si>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</si>
  <si>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</si>
  <si>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</si>
  <si>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</si>
  <si>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</si>
  <si>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</si>
  <si>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</si>
  <si>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</si>
  <si>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</si>
  <si>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</si>
  <si>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</si>
  <si>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</si>
  <si>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</si>
  <si>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</si>
  <si>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</si>
  <si>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</si>
  <si>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</si>
  <si>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</si>
  <si>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</si>
  <si>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</si>
  <si>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</si>
  <si>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</si>
  <si>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</si>
  <si>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</si>
  <si>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</si>
  <si>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</si>
  <si>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</si>
  <si>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</si>
  <si>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</si>
  <si>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</si>
  <si>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</si>
  <si>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</si>
  <si>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</si>
  <si>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</si>
  <si>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</si>
  <si>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</si>
  <si>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</si>
  <si>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</si>
  <si>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</si>
  <si>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</si>
  <si>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</si>
  <si>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</si>
  <si>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</si>
  <si>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</si>
  <si>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</si>
  <si>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</si>
  <si>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</si>
  <si>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</si>
  <si>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</si>
  <si>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</si>
  <si>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</si>
  <si>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</si>
  <si>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</si>
  <si>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</si>
  <si>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</si>
  <si>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</si>
  <si>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</si>
  <si>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</si>
  <si>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</si>
  <si>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</si>
  <si>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</si>
  <si>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</si>
  <si>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</si>
  <si>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</si>
  <si>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</si>
  <si>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</si>
  <si>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</si>
  <si>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</si>
  <si>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</si>
  <si>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</si>
  <si>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</si>
  <si>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</si>
  <si>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</si>
  <si>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</si>
  <si>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</si>
  <si>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</si>
  <si>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</si>
  <si>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</si>
  <si>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</si>
  <si>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</si>
  <si>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</si>
  <si>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</si>
  <si>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</si>
  <si>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</si>
  <si>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</si>
  <si>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</si>
  <si>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</si>
  <si>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</si>
  <si>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</si>
  <si>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</si>
  <si>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</si>
  <si>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</si>
  <si>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</si>
  <si>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</si>
  <si>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</si>
  <si>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</si>
  <si>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</si>
  <si>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</si>
  <si>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</si>
  <si>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</si>
  <si>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</si>
  <si>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</si>
  <si>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</si>
  <si>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</si>
  <si>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</si>
  <si>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</si>
  <si>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</si>
  <si>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</si>
  <si>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</si>
  <si>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</si>
  <si>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</si>
  <si>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</si>
  <si>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</si>
  <si>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</si>
  <si>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</si>
  <si>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</si>
  <si>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</si>
  <si>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</si>
  <si>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</si>
  <si>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</si>
  <si>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</si>
  <si>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</si>
  <si>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</si>
  <si>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</si>
  <si>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</si>
  <si>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</si>
  <si>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</si>
  <si>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</si>
  <si>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</si>
  <si>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</si>
  <si>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</si>
  <si>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</si>
  <si>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</si>
  <si>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</si>
  <si>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</si>
  <si>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</si>
  <si>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</si>
  <si>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</si>
  <si>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</si>
  <si>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</si>
  <si>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</si>
  <si>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</si>
  <si>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</si>
  <si>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</si>
  <si>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</si>
  <si>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</si>
  <si>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</si>
  <si>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</si>
  <si>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</si>
  <si>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</si>
  <si>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</si>
  <si>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</si>
  <si>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</si>
  <si>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</si>
  <si>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</si>
  <si>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</si>
  <si>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</si>
  <si>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</si>
  <si>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</si>
  <si>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</si>
  <si>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</si>
  <si>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</si>
  <si>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</si>
  <si>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</si>
  <si>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</si>
  <si>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</si>
  <si>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</si>
  <si>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</si>
  <si>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</si>
  <si>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</si>
  <si>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</si>
  <si>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</si>
  <si>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</si>
  <si>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</si>
  <si>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</si>
  <si>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</si>
  <si>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</si>
  <si>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</si>
  <si>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</si>
  <si>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</si>
  <si>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</si>
  <si>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</si>
  <si>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</si>
  <si>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</si>
  <si>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</si>
  <si>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</si>
  <si>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</si>
  <si>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</si>
  <si>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</si>
  <si>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</si>
  <si>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</si>
  <si>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</si>
  <si>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</si>
  <si>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</si>
  <si>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</si>
  <si>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</si>
  <si>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</si>
  <si>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</si>
  <si>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</si>
  <si>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</si>
  <si>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</si>
  <si>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</si>
  <si>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</si>
  <si>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</si>
  <si>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</si>
  <si>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</si>
  <si>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</si>
  <si>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</si>
  <si>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</si>
  <si>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</si>
  <si>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</si>
  <si>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</si>
  <si>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</si>
  <si>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</si>
  <si>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</si>
  <si>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</si>
  <si>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</si>
  <si>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</si>
  <si>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</si>
  <si>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</si>
  <si>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</si>
  <si>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</si>
  <si>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</si>
  <si>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</si>
  <si>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</si>
  <si>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</si>
  <si>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</si>
  <si>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</si>
  <si>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</si>
  <si>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</si>
  <si>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</si>
  <si>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</si>
  <si>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</si>
  <si>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</si>
  <si>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</si>
  <si>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</si>
  <si>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</si>
  <si>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</si>
  <si>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</si>
  <si>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</si>
  <si>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</si>
  <si>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</si>
  <si>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</si>
  <si>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</si>
  <si>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</si>
  <si>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</si>
  <si>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</si>
  <si>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</si>
  <si>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</si>
  <si>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</si>
  <si>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</si>
  <si>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</si>
  <si>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</si>
  <si>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</si>
  <si>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</si>
  <si>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</si>
  <si>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</si>
  <si>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</si>
  <si>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</si>
  <si>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</si>
  <si>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</si>
  <si>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</si>
  <si>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</si>
  <si>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</si>
  <si>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</si>
  <si>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</si>
  <si>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</si>
  <si>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</si>
  <si>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</si>
  <si>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</si>
  <si>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</si>
  <si>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</si>
  <si>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</si>
  <si>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</si>
  <si>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</si>
  <si>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</si>
  <si>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</si>
  <si>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</si>
  <si>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</si>
  <si>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</si>
  <si>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</si>
  <si>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</si>
  <si>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</si>
  <si>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</si>
  <si>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</si>
  <si>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</si>
  <si>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</si>
  <si>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</si>
  <si>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</si>
  <si>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</si>
  <si>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</si>
  <si>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</si>
  <si>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</si>
  <si>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</si>
  <si>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</si>
  <si>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</si>
  <si>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</si>
  <si>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</si>
  <si>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</si>
  <si>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</si>
  <si>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</si>
  <si>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</si>
  <si>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</si>
  <si>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</si>
  <si>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</si>
  <si>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</si>
  <si>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</si>
  <si>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</si>
  <si>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</si>
  <si>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</si>
  <si>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</si>
  <si>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</si>
  <si>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</si>
  <si>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</si>
  <si>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</si>
  <si>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</si>
  <si>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</si>
  <si>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</si>
  <si>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</si>
  <si>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</si>
  <si>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</si>
  <si>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</si>
  <si>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</si>
  <si>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</si>
  <si>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</si>
  <si>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</si>
  <si>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</si>
  <si>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</si>
  <si>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</si>
  <si>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</si>
  <si>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</si>
  <si>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</si>
  <si>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</si>
  <si>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</si>
  <si>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</si>
  <si>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</si>
  <si>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</si>
  <si>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</si>
  <si>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</si>
  <si>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</si>
  <si>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</si>
  <si>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</si>
  <si>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</si>
  <si>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</si>
  <si>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</si>
  <si>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</si>
  <si>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</si>
  <si>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</si>
  <si>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</si>
  <si>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</si>
  <si>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</si>
  <si>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</si>
  <si>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</si>
  <si>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</si>
  <si>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</si>
  <si>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</si>
  <si>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</si>
  <si>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</si>
  <si>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</si>
  <si>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</si>
  <si>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</si>
  <si>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</si>
  <si>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</si>
  <si>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</si>
  <si>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</si>
  <si>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</si>
  <si>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</si>
  <si>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</si>
  <si>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</si>
  <si>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</si>
  <si>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</si>
  <si>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</si>
  <si>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</si>
  <si>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</si>
  <si>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</si>
  <si>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</si>
  <si>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</si>
  <si>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</si>
  <si>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</si>
  <si>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</si>
  <si>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</si>
  <si>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</si>
  <si>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</si>
  <si>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</si>
  <si>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</si>
  <si>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</si>
  <si>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</si>
  <si>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</si>
  <si>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</si>
  <si>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</si>
  <si>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</si>
  <si>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</si>
  <si>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</si>
  <si>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</si>
  <si>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</si>
  <si>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</si>
  <si>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</si>
  <si>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</si>
  <si>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</si>
  <si>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</si>
  <si>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</si>
  <si>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</si>
  <si>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</si>
  <si>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</si>
  <si>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</si>
  <si>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</si>
  <si>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</si>
  <si>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</si>
  <si>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</si>
  <si>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</si>
  <si>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</si>
  <si>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</si>
  <si>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</si>
  <si>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</si>
  <si>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</si>
  <si>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</si>
  <si>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</si>
  <si>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</si>
  <si>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</si>
  <si>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</si>
  <si>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</si>
  <si>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</si>
  <si>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</si>
  <si>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</si>
  <si>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</si>
  <si>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</si>
  <si>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</si>
  <si>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</si>
  <si>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</si>
  <si>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</si>
  <si>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</si>
  <si>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</si>
  <si>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</si>
  <si>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</si>
  <si>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</si>
  <si>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</si>
  <si>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</si>
  <si>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</si>
  <si>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</si>
  <si>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</si>
  <si>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</si>
  <si>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</si>
  <si>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</si>
  <si>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</si>
  <si>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</si>
  <si>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</si>
  <si>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</si>
  <si>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</si>
  <si>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</si>
  <si>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</si>
  <si>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</si>
  <si>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</si>
  <si>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</si>
  <si>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</si>
  <si>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</si>
  <si>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</si>
  <si>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</si>
  <si>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</si>
  <si>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</si>
  <si>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</si>
  <si>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</si>
  <si>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</si>
  <si>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</si>
  <si>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</si>
  <si>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</si>
  <si>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</si>
  <si>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</si>
  <si>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</si>
  <si>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</si>
  <si>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</si>
  <si>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</si>
  <si>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</si>
  <si>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</si>
  <si>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</si>
  <si>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</si>
  <si>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</si>
  <si>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</si>
  <si>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</si>
  <si>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</si>
  <si>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</si>
  <si>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</si>
  <si>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</si>
  <si>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</si>
  <si>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</si>
  <si>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</si>
  <si>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</si>
  <si>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</si>
  <si>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</si>
  <si>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</si>
  <si>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</si>
  <si>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</si>
  <si>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</si>
  <si>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</si>
  <si>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</si>
  <si>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</si>
  <si>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</si>
  <si>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</si>
  <si>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</si>
  <si>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</si>
  <si>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</si>
  <si>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</si>
  <si>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</si>
  <si>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</si>
  <si>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</si>
  <si>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</si>
  <si>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</si>
  <si>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</si>
  <si>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</si>
  <si>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</si>
  <si>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</si>
  <si>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</si>
  <si>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</si>
  <si>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</si>
  <si>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</si>
  <si>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</si>
  <si>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</si>
  <si>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</si>
  <si>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</si>
  <si>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</si>
  <si>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</si>
  <si>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</si>
  <si>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</si>
  <si>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</si>
  <si>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</si>
  <si>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</si>
  <si>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</si>
  <si>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</si>
  <si>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</si>
  <si>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</si>
  <si>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</si>
  <si>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</si>
  <si>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</si>
  <si>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</si>
  <si>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</si>
  <si>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</si>
  <si>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</si>
  <si>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</si>
  <si>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</si>
  <si>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</si>
  <si>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</si>
  <si>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</si>
  <si>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</si>
  <si>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</si>
  <si>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</si>
  <si>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</si>
  <si>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</si>
  <si>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</si>
  <si>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</si>
  <si>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</si>
  <si>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</si>
  <si>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</si>
  <si>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</si>
  <si>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</si>
  <si>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</si>
  <si>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</si>
  <si>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</si>
  <si>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</si>
  <si>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</si>
  <si>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</si>
  <si>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</si>
  <si>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</si>
  <si>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</si>
  <si>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</si>
  <si>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</si>
  <si>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</si>
  <si>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</si>
  <si>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</si>
  <si>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</si>
  <si>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</si>
  <si>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</si>
  <si>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</si>
  <si>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</si>
  <si>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</si>
  <si>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</si>
  <si>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</si>
  <si>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</si>
  <si>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</si>
  <si>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</si>
  <si>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</si>
  <si>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</si>
  <si>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</si>
  <si>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</si>
  <si>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</si>
  <si>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</si>
  <si>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</si>
  <si>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</si>
  <si>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</si>
  <si>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</si>
  <si>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</si>
  <si>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</si>
  <si>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</si>
  <si>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</si>
  <si>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</si>
  <si>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</si>
  <si>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</si>
  <si>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</si>
  <si>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</si>
  <si>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</si>
  <si>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</si>
  <si>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</si>
  <si>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</si>
  <si>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</si>
  <si>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</si>
  <si>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</si>
  <si>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</si>
  <si>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</si>
  <si>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</si>
  <si>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</si>
  <si>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</si>
  <si>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</si>
  <si>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</si>
  <si>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</si>
  <si>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</si>
  <si>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</si>
  <si>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</si>
  <si>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</si>
  <si>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</si>
  <si>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</si>
  <si>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</si>
  <si>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</si>
  <si>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</si>
  <si>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</si>
  <si>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</si>
  <si>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</si>
  <si>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</si>
  <si>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</si>
  <si>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</si>
  <si>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</si>
  <si>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</si>
  <si>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</si>
  <si>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</si>
  <si>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</si>
  <si>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</si>
  <si>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</si>
  <si>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</si>
  <si>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</si>
  <si>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</si>
  <si>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</si>
  <si>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</si>
  <si>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</si>
  <si>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</si>
  <si>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</si>
  <si>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</si>
  <si>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</si>
  <si>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</si>
  <si>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</si>
  <si>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</si>
  <si>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</si>
  <si>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</si>
  <si>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</si>
  <si>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</si>
  <si>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</si>
  <si>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</si>
  <si>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</si>
  <si>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</si>
  <si>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</si>
  <si>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</si>
  <si>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</si>
  <si>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</si>
  <si>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</si>
  <si>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</si>
  <si>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</si>
  <si>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</si>
  <si>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</si>
  <si>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</si>
  <si>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</si>
  <si>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</si>
  <si>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</si>
  <si>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</si>
  <si>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</si>
  <si>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</si>
  <si>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</si>
  <si>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</si>
  <si>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</si>
  <si>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</si>
  <si>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</si>
  <si>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</si>
  <si>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</si>
  <si>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</si>
  <si>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</si>
  <si>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</si>
  <si>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</si>
  <si>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</si>
  <si>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</si>
  <si>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</si>
  <si>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</si>
  <si>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</si>
  <si>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</si>
  <si>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</si>
  <si>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</si>
  <si>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</si>
  <si>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</si>
  <si>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</si>
  <si>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</si>
  <si>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</si>
  <si>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</si>
  <si>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</si>
  <si>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</si>
  <si>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</si>
  <si>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</si>
  <si>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</si>
  <si>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</si>
  <si>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</si>
  <si>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</si>
  <si>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</si>
  <si>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</si>
  <si>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</si>
  <si>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</si>
  <si>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</si>
  <si>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</si>
  <si>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</si>
  <si>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</si>
  <si>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</si>
  <si>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</si>
  <si>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</si>
  <si>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</si>
  <si>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</si>
  <si>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</si>
  <si>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</si>
  <si>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</si>
  <si>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</si>
  <si>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</si>
  <si>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</si>
  <si>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</si>
  <si>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</si>
  <si>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</si>
  <si>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</si>
  <si>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</si>
  <si>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</si>
  <si>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</si>
  <si>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</si>
  <si>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</si>
  <si>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</si>
  <si>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</si>
  <si>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</si>
  <si>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</si>
  <si>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</si>
  <si>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</si>
  <si>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</si>
  <si>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</si>
  <si>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</si>
  <si>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</si>
  <si>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</si>
  <si>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</si>
  <si>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</si>
  <si>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</si>
  <si>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</si>
  <si>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</si>
  <si>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</si>
  <si>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</si>
  <si>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</si>
  <si>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</si>
  <si>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</si>
  <si>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</si>
  <si>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</si>
  <si>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</si>
  <si>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</si>
  <si>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</si>
  <si>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</si>
  <si>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</si>
  <si>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</si>
  <si>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</si>
  <si>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</si>
  <si>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</si>
  <si>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</si>
  <si>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</si>
  <si>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</si>
  <si>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</si>
  <si>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</si>
  <si>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</si>
  <si>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</si>
  <si>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</si>
  <si>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</si>
  <si>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</si>
  <si>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</si>
  <si>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</si>
  <si>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</si>
  <si>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</si>
  <si>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</si>
  <si>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</si>
  <si>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</si>
  <si>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</si>
  <si>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</si>
  <si>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</si>
  <si>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</si>
  <si>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</si>
  <si>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</si>
  <si>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</si>
  <si>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</si>
  <si>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</si>
  <si>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</si>
  <si>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</si>
  <si>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</si>
  <si>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</si>
  <si>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</si>
  <si>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</si>
  <si>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</si>
  <si>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</si>
  <si>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</si>
  <si>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</si>
  <si>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</si>
  <si>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</si>
  <si>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</si>
  <si>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</si>
  <si>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</si>
  <si>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</si>
  <si>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</si>
  <si>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</si>
  <si>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</si>
  <si>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</si>
  <si>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</si>
  <si>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</si>
  <si>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</si>
  <si>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</si>
  <si>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</si>
  <si>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</si>
  <si>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</si>
  <si>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</si>
  <si>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</si>
  <si>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</si>
  <si>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</si>
  <si>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</si>
  <si>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</si>
  <si>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</si>
  <si>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</si>
  <si>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</si>
  <si>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</si>
  <si>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</si>
  <si>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</si>
  <si>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</si>
  <si>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</si>
  <si>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</si>
  <si>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</si>
  <si>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</si>
  <si>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</si>
  <si>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</si>
  <si>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</si>
  <si>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</si>
  <si>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</si>
  <si>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</si>
  <si>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</si>
  <si>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</si>
  <si>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</si>
  <si>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</si>
  <si>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</si>
  <si>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</si>
  <si>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</si>
  <si>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</si>
  <si>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</si>
  <si>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</si>
  <si>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</si>
  <si>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</si>
  <si>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</si>
  <si>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</si>
  <si>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</si>
  <si>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</si>
  <si>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</si>
  <si>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</si>
  <si>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</si>
  <si>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</si>
  <si>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</si>
  <si>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</si>
  <si>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</si>
  <si>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</si>
  <si>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</si>
  <si>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</si>
  <si>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</si>
  <si>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</si>
  <si>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</si>
  <si>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</si>
  <si>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</si>
  <si>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</si>
  <si>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</si>
  <si>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</si>
  <si>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</si>
  <si>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</si>
  <si>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</si>
  <si>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</si>
  <si>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</si>
  <si>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</si>
  <si>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</si>
  <si>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</si>
  <si>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</si>
  <si>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</si>
  <si>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</si>
  <si>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</si>
  <si>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</si>
  <si>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</si>
  <si>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</si>
  <si>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</si>
  <si>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</si>
  <si>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</si>
  <si>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</si>
  <si>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</si>
  <si>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</si>
  <si>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</si>
  <si>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</si>
  <si>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</si>
  <si>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</si>
  <si>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</si>
  <si>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</si>
  <si>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</si>
  <si>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</si>
  <si>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</si>
  <si>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</si>
  <si>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</si>
  <si>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</si>
  <si>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</si>
  <si>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</si>
  <si>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</si>
  <si>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</si>
  <si>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</si>
  <si>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</si>
  <si>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</si>
  <si>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</si>
  <si>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</si>
  <si>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</si>
  <si>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</si>
  <si>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</si>
  <si>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</si>
  <si>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</si>
  <si>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</si>
  <si>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</si>
  <si>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</si>
  <si>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</si>
  <si>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</si>
  <si>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</si>
  <si>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</si>
  <si>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</si>
  <si>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</si>
  <si>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</si>
  <si>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</si>
  <si>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</si>
  <si>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</si>
  <si>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</si>
  <si>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</si>
  <si>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</si>
  <si>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</si>
  <si>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</si>
  <si>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</si>
  <si>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</si>
  <si>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</si>
  <si>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</si>
  <si>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</si>
  <si>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</si>
  <si>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</si>
  <si>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</si>
  <si>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</si>
  <si>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</si>
  <si>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</si>
  <si>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</si>
  <si>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</si>
  <si>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</si>
  <si>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</si>
  <si>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</si>
  <si>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</si>
  <si>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</si>
  <si>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</si>
  <si>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</si>
  <si>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</si>
  <si>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</si>
  <si>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</si>
  <si>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</si>
  <si>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</si>
  <si>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</si>
  <si>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</si>
  <si>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</si>
  <si>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</si>
  <si>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</si>
  <si>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</si>
  <si>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</si>
  <si>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</si>
  <si>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</si>
  <si>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</si>
  <si>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</si>
  <si>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</si>
  <si>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</si>
  <si>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</si>
  <si>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</si>
  <si>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</si>
  <si>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</si>
  <si>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</si>
  <si>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</si>
  <si>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</si>
  <si>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</si>
  <si>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</si>
  <si>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</si>
  <si>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</si>
  <si>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</si>
  <si>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</si>
  <si>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</si>
  <si>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</si>
  <si>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</si>
  <si>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</si>
  <si>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</si>
  <si>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</si>
  <si>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</si>
  <si>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</si>
  <si>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</si>
  <si>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</si>
  <si>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</si>
  <si>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</si>
  <si>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</si>
  <si>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</si>
  <si>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</si>
  <si>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</si>
  <si>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</si>
  <si>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</si>
  <si>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</si>
  <si>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</si>
  <si>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</si>
  <si>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</si>
  <si>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</si>
  <si>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</si>
  <si>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</si>
  <si>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</si>
  <si>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</si>
  <si>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</si>
  <si>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</si>
  <si>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</si>
  <si>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</si>
  <si>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</si>
  <si>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</si>
  <si>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</si>
  <si>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</si>
  <si>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</si>
  <si>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</si>
  <si>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</si>
  <si>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</si>
  <si>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</si>
  <si>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</si>
  <si>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</si>
  <si>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</si>
  <si>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</si>
  <si>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</si>
  <si>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</si>
  <si>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</si>
  <si>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</si>
  <si>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</si>
  <si>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</si>
  <si>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</si>
  <si>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</si>
  <si>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</si>
  <si>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</si>
  <si>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</si>
  <si>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</si>
  <si>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</si>
  <si>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</si>
  <si>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</si>
  <si>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</si>
  <si>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</si>
  <si>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</si>
  <si>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</si>
  <si>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</si>
  <si>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</si>
  <si>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</si>
  <si>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</si>
  <si>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</si>
  <si>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</si>
  <si>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</si>
  <si>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</si>
  <si>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</si>
  <si>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</si>
  <si>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</si>
  <si>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</si>
  <si>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</si>
  <si>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</si>
  <si>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</si>
  <si>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</si>
  <si>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</si>
  <si>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</si>
  <si>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</si>
  <si>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</si>
  <si>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</si>
  <si>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</si>
  <si>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</si>
  <si>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</si>
  <si>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</si>
  <si>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</si>
  <si>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</si>
  <si>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</si>
  <si>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</si>
  <si>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</si>
  <si>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</si>
  <si>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</si>
  <si>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</si>
  <si>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</si>
  <si>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</si>
  <si>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</si>
  <si>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</si>
  <si>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</si>
  <si>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</si>
  <si>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</si>
  <si>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</si>
  <si>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</si>
  <si>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</si>
  <si>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</si>
  <si>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</si>
  <si>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</si>
  <si>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</si>
  <si>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</si>
  <si>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</si>
  <si>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</si>
  <si>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</si>
  <si>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</si>
  <si>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</si>
  <si>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</si>
  <si>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</si>
  <si>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</si>
  <si>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</si>
  <si>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</si>
  <si>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</si>
  <si>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</si>
  <si>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</si>
  <si>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</si>
  <si>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</si>
  <si>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</si>
  <si>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</si>
  <si>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</si>
  <si>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</si>
  <si>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</si>
  <si>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</si>
  <si>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</si>
  <si>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</si>
  <si>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</si>
  <si>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</si>
  <si>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</si>
  <si>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</si>
  <si>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</si>
  <si>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</si>
  <si>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</si>
  <si>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</si>
  <si>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</si>
  <si>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</si>
  <si>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</si>
  <si>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</si>
  <si>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</si>
  <si>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</si>
  <si>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</si>
  <si>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</si>
  <si>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</si>
  <si>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</si>
  <si>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</si>
  <si>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</si>
  <si>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</si>
  <si>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</si>
  <si>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</si>
  <si>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</si>
  <si>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</si>
  <si>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</si>
  <si>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</si>
  <si>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</si>
  <si>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</si>
  <si>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</si>
  <si>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</si>
  <si>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</si>
  <si>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</si>
  <si>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</si>
  <si>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</si>
  <si>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</si>
  <si>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</si>
  <si>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</si>
  <si>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</si>
  <si>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</si>
  <si>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</si>
  <si>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</si>
  <si>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</si>
  <si>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</si>
  <si>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</si>
  <si>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</si>
  <si>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</si>
  <si>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</si>
  <si>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</si>
  <si>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</si>
  <si>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</si>
  <si>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</si>
  <si>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</si>
  <si>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</si>
  <si>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</si>
  <si>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</si>
  <si>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</si>
  <si>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</si>
  <si>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</si>
  <si>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</si>
  <si>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</si>
  <si>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</si>
  <si>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</si>
  <si>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</si>
  <si>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</si>
  <si>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</si>
  <si>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</si>
  <si>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</si>
  <si>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</si>
  <si>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</si>
  <si>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</si>
  <si>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</si>
  <si>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</si>
  <si>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</si>
  <si>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</si>
  <si>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</si>
  <si>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</si>
  <si>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</si>
  <si>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</si>
  <si>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</si>
  <si>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</si>
  <si>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</si>
  <si>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</si>
  <si>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</si>
  <si>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</si>
  <si>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</si>
  <si>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</si>
  <si>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</si>
  <si>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</si>
  <si>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</si>
  <si>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</si>
  <si>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</si>
  <si>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</si>
  <si>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</si>
  <si>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</si>
  <si>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</si>
  <si>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</si>
  <si>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</si>
  <si>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</si>
  <si>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</si>
  <si>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</si>
  <si>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</si>
  <si>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</si>
  <si>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</si>
  <si>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</si>
  <si>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</si>
  <si>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</si>
  <si>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</si>
  <si>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</si>
  <si>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</si>
  <si>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</si>
  <si>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</si>
  <si>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</si>
  <si>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</si>
  <si>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</si>
  <si>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</si>
  <si>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</si>
  <si>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</si>
  <si>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</si>
  <si>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</si>
  <si>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</si>
  <si>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</si>
  <si>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</si>
  <si>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</si>
  <si>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</si>
  <si>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</si>
  <si>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</si>
  <si>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</si>
  <si>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</si>
  <si>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</si>
  <si>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</si>
  <si>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</si>
  <si>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</si>
  <si>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</si>
  <si>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</si>
  <si>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</si>
  <si>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</si>
  <si>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</si>
  <si>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</si>
  <si>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</si>
  <si>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</si>
  <si>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</si>
  <si>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</si>
  <si>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</si>
  <si>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</si>
  <si>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</si>
  <si>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</si>
  <si>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</si>
  <si>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</si>
  <si>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</si>
  <si>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</si>
  <si>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</si>
  <si>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</si>
  <si>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</si>
  <si>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</si>
  <si>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</si>
  <si>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</si>
  <si>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</si>
  <si>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</si>
  <si>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</si>
  <si>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</si>
  <si>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</si>
  <si>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</si>
  <si>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</si>
  <si>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</si>
  <si>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</si>
  <si>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</si>
  <si>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</si>
  <si>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</si>
  <si>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</si>
  <si>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</si>
  <si>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</si>
  <si>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</si>
  <si>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</si>
  <si>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</si>
  <si>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</si>
  <si>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</si>
  <si>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</si>
  <si>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</si>
  <si>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</si>
  <si>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</si>
  <si>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</si>
  <si>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</si>
  <si>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</si>
  <si>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</si>
  <si>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</si>
  <si>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</si>
  <si>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</si>
  <si>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</si>
  <si>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</si>
  <si>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</si>
  <si>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</si>
  <si>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</si>
  <si>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</si>
  <si>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</si>
  <si>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</si>
  <si>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</si>
  <si>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</si>
  <si>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</si>
  <si>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</si>
  <si>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</si>
  <si>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</si>
  <si>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</si>
  <si>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</si>
  <si>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</si>
  <si>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</si>
  <si>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</si>
  <si>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</si>
  <si>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</si>
  <si>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</si>
  <si>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</si>
  <si>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</si>
  <si>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</si>
  <si>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</si>
  <si>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</si>
  <si>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</si>
  <si>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</si>
  <si>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</si>
  <si>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</si>
  <si>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</si>
  <si>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</si>
  <si>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</si>
  <si>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</si>
  <si>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</si>
  <si>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</si>
  <si>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</si>
  <si>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</si>
  <si>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</si>
  <si>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</si>
  <si>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</si>
  <si>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</si>
  <si>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</si>
  <si>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</si>
  <si>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</si>
  <si>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</si>
  <si>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</si>
  <si>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</si>
  <si>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</si>
  <si>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</si>
  <si>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</si>
  <si>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</si>
  <si>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</si>
  <si>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</si>
  <si>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</si>
  <si>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</si>
  <si>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</si>
  <si>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</si>
  <si>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</si>
  <si>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</si>
  <si>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</si>
  <si>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</si>
  <si>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</si>
  <si>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</si>
  <si>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</si>
  <si>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</si>
  <si>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</si>
  <si>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</si>
  <si>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</si>
  <si>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</si>
  <si>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</si>
  <si>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</si>
  <si>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</si>
  <si>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</si>
  <si>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</si>
  <si>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</si>
  <si>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</si>
  <si>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</si>
  <si>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</si>
  <si>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</si>
  <si>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</si>
  <si>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</si>
  <si>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</si>
  <si>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</si>
  <si>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</si>
  <si>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</si>
  <si>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</si>
  <si>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</si>
  <si>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</si>
  <si>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</si>
  <si>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</si>
  <si>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</si>
  <si>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</si>
  <si>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</si>
  <si>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</si>
  <si>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</si>
  <si>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</si>
  <si>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</si>
  <si>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</si>
  <si>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</si>
  <si>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</si>
  <si>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</si>
  <si>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</si>
  <si>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</si>
  <si>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</si>
  <si>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</si>
  <si>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</si>
  <si>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</si>
  <si>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</si>
  <si>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</si>
  <si>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</si>
  <si>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</si>
  <si>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</si>
  <si>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</si>
  <si>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</si>
  <si>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</si>
  <si>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</si>
  <si>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</si>
  <si>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</si>
  <si>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</si>
  <si>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</si>
  <si>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</si>
  <si>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</si>
  <si>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</si>
  <si>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</si>
  <si>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</si>
  <si>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</si>
  <si>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</si>
  <si>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</si>
  <si>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</si>
  <si>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</si>
  <si>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</si>
  <si>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</si>
  <si>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</si>
  <si>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</si>
  <si>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</si>
  <si>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</si>
  <si>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</si>
  <si>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</si>
  <si>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</si>
  <si>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</si>
  <si>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</si>
  <si>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</si>
  <si>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</si>
  <si>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</si>
  <si>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</si>
  <si>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</si>
  <si>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</si>
  <si>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</si>
  <si>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</si>
  <si>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</si>
  <si>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</si>
  <si>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</si>
  <si>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</si>
  <si>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</si>
  <si>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</si>
  <si>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</si>
  <si>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</si>
  <si>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</si>
  <si>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</si>
  <si>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</si>
  <si>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</si>
  <si>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</si>
  <si>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</si>
  <si>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</si>
  <si>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</si>
  <si>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</si>
  <si>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</si>
  <si>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</si>
  <si>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</si>
  <si>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</si>
  <si>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</si>
  <si>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</si>
  <si>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</si>
  <si>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</si>
  <si>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</si>
  <si>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</si>
  <si>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</si>
  <si>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</si>
  <si>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</si>
  <si>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</si>
  <si>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</si>
  <si>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</si>
  <si>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</si>
  <si>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</si>
  <si>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</si>
  <si>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</si>
  <si>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</si>
  <si>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</si>
  <si>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</si>
  <si>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</si>
  <si>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</si>
  <si>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</si>
  <si>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</si>
  <si>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</si>
  <si>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</si>
  <si>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</si>
  <si>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</si>
  <si>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</si>
  <si>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</si>
  <si>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</si>
  <si>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</si>
  <si>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</si>
  <si>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</si>
  <si>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</si>
  <si>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</si>
  <si>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</si>
  <si>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</si>
  <si>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</si>
  <si>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</si>
  <si>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</si>
  <si>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</si>
  <si>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</si>
  <si>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</si>
  <si>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</si>
  <si>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</si>
  <si>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</si>
  <si>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</si>
  <si>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</si>
  <si>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</si>
  <si>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</si>
  <si>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</si>
  <si>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</si>
  <si>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</si>
  <si>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</si>
  <si>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</si>
  <si>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</si>
  <si>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</si>
  <si>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</si>
  <si>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</si>
  <si>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</si>
  <si>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</si>
  <si>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</si>
  <si>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</si>
  <si>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</si>
  <si>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</si>
  <si>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</si>
  <si>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</si>
  <si>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</si>
  <si>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</si>
  <si>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</si>
  <si>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</si>
  <si>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</si>
  <si>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</si>
  <si>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</si>
  <si>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</si>
  <si>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</si>
  <si>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</si>
  <si>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</si>
  <si>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</si>
  <si>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</si>
  <si>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</si>
  <si>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</si>
  <si>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</si>
  <si>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</si>
  <si>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</si>
  <si>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</si>
  <si>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</si>
  <si>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</si>
  <si>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</si>
  <si>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</si>
  <si>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</si>
  <si>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</si>
  <si>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</si>
  <si>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</si>
  <si>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</si>
  <si>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</si>
  <si>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</si>
  <si>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</si>
  <si>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</si>
  <si>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</si>
  <si>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</si>
  <si>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</si>
  <si>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</si>
  <si>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</si>
  <si>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</si>
  <si>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</si>
  <si>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</si>
  <si>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</si>
  <si>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</si>
  <si>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</si>
  <si>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</si>
  <si>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</si>
  <si>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</si>
  <si>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</si>
  <si>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</si>
  <si>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</si>
  <si>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</si>
  <si>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</si>
  <si>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</si>
  <si>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</si>
  <si>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</si>
  <si>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</si>
  <si>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</si>
  <si>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</si>
  <si>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</si>
  <si>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</si>
  <si>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</si>
  <si>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</si>
  <si>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</si>
  <si>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</si>
  <si>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</si>
  <si>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</si>
  <si>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</si>
  <si>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</si>
  <si>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</si>
  <si>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</si>
  <si>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</si>
  <si>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</si>
  <si>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</si>
  <si>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</si>
  <si>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</si>
  <si>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</si>
  <si>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</si>
  <si>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</si>
  <si>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</si>
  <si>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</si>
  <si>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</si>
  <si>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</si>
  <si>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</si>
  <si>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</si>
  <si>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</si>
  <si>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</si>
  <si>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</si>
  <si>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</si>
  <si>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</si>
  <si>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</si>
  <si>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</si>
  <si>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</si>
  <si>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</si>
  <si>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</si>
  <si>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</si>
  <si>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</si>
  <si>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</si>
  <si>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</si>
  <si>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</si>
  <si>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</si>
  <si>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</si>
  <si>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</si>
  <si>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</si>
  <si>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</si>
  <si>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</si>
  <si>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</si>
  <si>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</si>
  <si>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</si>
  <si>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</si>
  <si>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</si>
  <si>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</si>
  <si>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</si>
  <si>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</si>
  <si>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</si>
  <si>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</si>
  <si>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</si>
  <si>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</si>
  <si>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</si>
  <si>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</si>
  <si>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</si>
  <si>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</si>
  <si>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</si>
  <si>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</si>
  <si>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</si>
  <si>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</si>
  <si>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</si>
  <si>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</si>
  <si>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</si>
  <si>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</si>
  <si>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</si>
  <si>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</si>
  <si>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</si>
  <si>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</si>
  <si>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</si>
  <si>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</si>
  <si>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</si>
  <si>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</si>
  <si>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</si>
  <si>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</si>
  <si>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</si>
  <si>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</si>
  <si>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</si>
  <si>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</si>
  <si>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</si>
  <si>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</si>
  <si>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</si>
  <si>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</si>
  <si>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</si>
  <si>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</si>
  <si>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</si>
  <si>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</si>
  <si>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</si>
  <si>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</si>
  <si>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</si>
  <si>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</si>
  <si>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</si>
  <si>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</si>
  <si>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</si>
  <si>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</si>
  <si>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</si>
  <si>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</si>
  <si>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</si>
  <si>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</si>
  <si>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</si>
  <si>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</si>
  <si>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</si>
  <si>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</si>
  <si>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</si>
  <si>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</si>
  <si>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</si>
  <si>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</si>
  <si>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</si>
  <si>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</si>
  <si>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</si>
  <si>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</si>
  <si>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</si>
  <si>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</si>
  <si>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</si>
  <si>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</si>
  <si>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</si>
  <si>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</si>
  <si>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</si>
  <si>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</si>
  <si>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</si>
  <si>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</si>
  <si>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</si>
  <si>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</si>
  <si>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</si>
  <si>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</si>
  <si>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</si>
  <si>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</si>
  <si>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</si>
  <si>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</si>
  <si>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</si>
  <si>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</si>
  <si>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</si>
  <si>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</si>
  <si>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</si>
  <si>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</si>
  <si>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</si>
  <si>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</si>
  <si>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</si>
  <si>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</si>
  <si>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</si>
  <si>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</si>
  <si>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</si>
  <si>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</si>
  <si>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</si>
  <si>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</si>
  <si>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</si>
  <si>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</si>
  <si>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</si>
  <si>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</si>
  <si>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</si>
  <si>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</si>
  <si>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</si>
  <si>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</si>
  <si>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</si>
  <si>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</si>
  <si>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</si>
  <si>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</si>
  <si>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</si>
  <si>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</si>
  <si>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</si>
  <si>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</si>
  <si>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</si>
  <si>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</si>
  <si>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</si>
  <si>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</si>
  <si>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</si>
  <si>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</si>
  <si>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</si>
  <si>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</si>
  <si>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</si>
  <si>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</si>
  <si>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</si>
  <si>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</si>
  <si>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</si>
  <si>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</si>
  <si>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</si>
  <si>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</si>
  <si>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</si>
  <si>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</si>
  <si>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</si>
  <si>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</si>
  <si>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</si>
  <si>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</si>
  <si>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</si>
  <si>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</si>
  <si>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</si>
  <si>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</si>
  <si>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</si>
  <si>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</si>
  <si>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</si>
  <si>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</si>
  <si>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</si>
  <si>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</si>
  <si>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</si>
  <si>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</si>
  <si>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</si>
  <si>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</si>
  <si>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</si>
  <si>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</si>
  <si>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</si>
  <si>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</si>
  <si>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</si>
  <si>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</si>
  <si>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</si>
  <si>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</si>
  <si>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</si>
  <si>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</si>
  <si>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</si>
  <si>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</si>
  <si>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</si>
  <si>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</si>
  <si>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</si>
  <si>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</si>
  <si>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</si>
  <si>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</si>
  <si>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</si>
  <si>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</si>
  <si>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</si>
  <si>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</si>
  <si>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</si>
  <si>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</si>
  <si>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</si>
  <si>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</si>
  <si>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</si>
  <si>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</si>
  <si>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</si>
  <si>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</si>
  <si>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</si>
  <si>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</si>
  <si>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</si>
  <si>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</si>
  <si>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</si>
  <si>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</si>
  <si>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</si>
  <si>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</si>
  <si>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</si>
  <si>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</si>
  <si>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</si>
  <si>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</si>
  <si>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</si>
  <si>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</si>
  <si>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</si>
  <si>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</si>
  <si>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</si>
  <si>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</si>
  <si>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</si>
  <si>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</si>
  <si>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</si>
  <si>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</si>
  <si>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</si>
  <si>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</si>
  <si>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</si>
  <si>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</si>
  <si>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</si>
  <si>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</si>
  <si>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</si>
  <si>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</si>
  <si>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</si>
  <si>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</si>
  <si>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</si>
  <si>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</si>
  <si>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</si>
  <si>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</si>
  <si>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</si>
  <si>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</si>
  <si>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</si>
  <si>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</si>
  <si>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</si>
  <si>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</si>
  <si>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</si>
  <si>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</si>
  <si>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</si>
  <si>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</si>
  <si>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</si>
  <si>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</si>
  <si>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</si>
  <si>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</si>
  <si>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</si>
  <si>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</si>
  <si>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</si>
  <si>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</si>
  <si>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</si>
  <si>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</si>
  <si>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</si>
  <si>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</si>
  <si>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</si>
  <si>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</si>
  <si>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</si>
  <si>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</si>
  <si>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</si>
  <si>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</si>
  <si>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</si>
  <si>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</si>
  <si>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</si>
  <si>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</si>
  <si>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</si>
  <si>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</si>
  <si>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</si>
  <si>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</si>
  <si>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</si>
  <si>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</si>
  <si>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</si>
  <si>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</si>
  <si>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</si>
  <si>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</si>
  <si>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</si>
  <si>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</si>
  <si>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</si>
  <si>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</si>
  <si>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</si>
  <si>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</si>
  <si>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</si>
  <si>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</si>
  <si>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</si>
  <si>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</si>
  <si>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</si>
  <si>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</si>
  <si>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</si>
  <si>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</si>
  <si>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</si>
  <si>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</si>
  <si>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</si>
  <si>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</si>
  <si>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</si>
  <si>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</si>
  <si>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</si>
  <si>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</si>
  <si>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</si>
  <si>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</si>
  <si>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</si>
  <si>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</si>
  <si>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</si>
  <si>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</si>
  <si>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</si>
  <si>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</si>
  <si>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</si>
  <si>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</si>
  <si>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</si>
  <si>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</si>
  <si>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</si>
  <si>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</si>
  <si>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</si>
  <si>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</si>
  <si>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</si>
  <si>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</si>
  <si>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</si>
  <si>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</si>
  <si>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</si>
  <si>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</si>
  <si>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</si>
  <si>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</si>
  <si>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</si>
  <si>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</si>
  <si>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</si>
  <si>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</si>
  <si>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</si>
  <si>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</si>
  <si>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</si>
  <si>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</si>
  <si>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</si>
  <si>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</si>
  <si>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</si>
  <si>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</si>
  <si>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</si>
  <si>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</si>
  <si>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</si>
  <si>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</si>
  <si>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</si>
  <si>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</si>
  <si>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</si>
  <si>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</si>
  <si>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</si>
  <si>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</si>
  <si>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</si>
  <si>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</si>
  <si>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</si>
  <si>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</si>
  <si>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</si>
  <si>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</si>
  <si>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</si>
  <si>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</si>
  <si>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</si>
  <si>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</si>
  <si>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</si>
  <si>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</si>
  <si>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</si>
  <si>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</si>
  <si>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</si>
  <si>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</si>
  <si>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</si>
  <si>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</si>
  <si>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</si>
  <si>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</si>
  <si>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</si>
  <si>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</si>
  <si>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</si>
  <si>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</si>
  <si>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</si>
  <si>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</si>
  <si>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</si>
  <si>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</si>
  <si>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</si>
  <si>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</si>
  <si>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</si>
  <si>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</si>
  <si>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</si>
  <si>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</si>
  <si>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</si>
  <si>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</si>
  <si>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</si>
  <si>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</si>
  <si>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</si>
  <si>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</si>
  <si>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</si>
  <si>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</si>
  <si>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</si>
  <si>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</si>
  <si>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</si>
  <si>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</si>
  <si>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</si>
  <si>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</si>
  <si>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</si>
  <si>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</si>
  <si>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</si>
  <si>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</si>
  <si>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</si>
  <si>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</si>
  <si>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</si>
  <si>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</si>
  <si>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</si>
  <si>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</si>
  <si>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</si>
  <si>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</si>
  <si>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</si>
  <si>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</si>
  <si>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</si>
  <si>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</si>
  <si>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</si>
  <si>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</si>
  <si>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</si>
  <si>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</si>
  <si>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</si>
  <si>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</si>
  <si>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</si>
  <si>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</si>
  <si>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</si>
  <si>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</si>
  <si>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</si>
  <si>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</si>
  <si>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</si>
  <si>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</si>
  <si>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</si>
  <si>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</si>
  <si>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</si>
  <si>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</si>
  <si>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</si>
  <si>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</si>
  <si>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</si>
  <si>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</si>
  <si>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</si>
  <si>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</si>
  <si>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</si>
  <si>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</si>
  <si>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</si>
  <si>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</si>
  <si>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</si>
  <si>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</si>
  <si>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</si>
  <si>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</si>
  <si>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</si>
  <si>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</si>
  <si>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</si>
  <si>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</si>
  <si>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</si>
  <si>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</si>
  <si>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</si>
  <si>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</si>
  <si>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</si>
  <si>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</si>
  <si>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</si>
  <si>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</si>
  <si>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</si>
  <si>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</si>
  <si>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</si>
  <si>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</si>
  <si>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</si>
  <si>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</si>
  <si>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</si>
  <si>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</si>
  <si>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</si>
  <si>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</si>
  <si>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</si>
  <si>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</si>
  <si>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</si>
  <si>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</si>
  <si>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</si>
  <si>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</si>
  <si>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</si>
  <si>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</si>
  <si>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</si>
  <si>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</si>
  <si>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</si>
  <si>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</si>
  <si>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</si>
  <si>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</si>
  <si>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</si>
  <si>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</si>
  <si>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</si>
  <si>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</si>
  <si>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</si>
  <si>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</si>
  <si>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</si>
  <si>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</si>
  <si>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</si>
  <si>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</si>
  <si>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</si>
  <si>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</si>
  <si>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</si>
  <si>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</si>
  <si>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</si>
  <si>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</si>
  <si>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</si>
  <si>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</si>
  <si>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</si>
  <si>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</si>
  <si>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</si>
  <si>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</si>
  <si>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</si>
  <si>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</si>
  <si>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</si>
  <si>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</si>
  <si>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</si>
  <si>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</si>
  <si>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</si>
  <si>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</si>
  <si>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</si>
  <si>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</si>
  <si>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</si>
  <si>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</si>
  <si>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</si>
  <si>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</si>
  <si>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</si>
  <si>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</si>
  <si>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</si>
  <si>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</si>
  <si>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</si>
  <si>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</si>
  <si>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</si>
  <si>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</si>
  <si>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</si>
  <si>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</si>
  <si>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</si>
  <si>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</si>
  <si>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</si>
  <si>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</si>
  <si>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</si>
  <si>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</si>
  <si>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</si>
  <si>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</si>
  <si>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</si>
  <si>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</si>
  <si>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</si>
  <si>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</si>
  <si>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</si>
  <si>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</si>
  <si>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</si>
  <si>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</si>
  <si>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</si>
  <si>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</si>
  <si>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</si>
  <si>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</si>
  <si>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</si>
  <si>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</si>
  <si>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</si>
  <si>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</si>
  <si>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</si>
  <si>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</si>
  <si>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</si>
  <si>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</si>
  <si>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</si>
  <si>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</si>
  <si>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</si>
  <si>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</si>
  <si>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</si>
  <si>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</si>
  <si>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</si>
  <si>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</si>
  <si>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</si>
  <si>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</si>
  <si>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</si>
  <si>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</si>
  <si>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</si>
  <si>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</si>
  <si>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</si>
  <si>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</si>
  <si>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</si>
  <si>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</si>
  <si>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</si>
  <si>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</si>
  <si>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</si>
  <si>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</si>
  <si>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</si>
  <si>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</si>
  <si>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</si>
  <si>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</si>
  <si>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</si>
  <si>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</si>
  <si>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</si>
  <si>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</si>
  <si>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</si>
  <si>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</si>
  <si>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</si>
  <si>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</si>
  <si>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</si>
  <si>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</si>
  <si>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</si>
  <si>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</si>
  <si>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</si>
  <si>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</si>
  <si>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</si>
  <si>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</si>
  <si>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</si>
  <si>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</si>
  <si>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</si>
  <si>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</si>
  <si>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</si>
  <si>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</si>
  <si>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</si>
  <si>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</si>
  <si>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</si>
  <si>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</si>
  <si>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</si>
  <si>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</si>
  <si>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</si>
  <si>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</si>
  <si>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</si>
  <si>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</si>
  <si>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</si>
  <si>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</si>
  <si>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</si>
  <si>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</si>
  <si>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</si>
  <si>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</si>
  <si>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</si>
  <si>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</si>
  <si>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</si>
  <si>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</si>
  <si>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</si>
  <si>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</si>
  <si>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</si>
  <si>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</si>
  <si>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</si>
  <si>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</si>
  <si>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</si>
  <si>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</si>
  <si>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</si>
  <si>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</si>
  <si>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</si>
  <si>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</si>
  <si>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</si>
  <si>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</si>
  <si>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phoneticPr fontId="3" type="noConversion"/>
  </si>
  <si>
    <t>专业</t>
  </si>
  <si>
    <t>标准层高</t>
  </si>
  <si>
    <t>标准层高</t>
    <phoneticPr fontId="31" type="noConversion"/>
  </si>
  <si>
    <t>中区</t>
  </si>
  <si>
    <t>现房</t>
  </si>
  <si>
    <t>项目局部</t>
  </si>
  <si>
    <t>写字楼</t>
  </si>
  <si>
    <t>写字楼</t>
    <phoneticPr fontId="31" type="noConversion"/>
  </si>
  <si>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</si>
  <si>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</si>
  <si>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</si>
  <si>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</si>
  <si>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</si>
  <si>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</si>
  <si>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</si>
  <si>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</si>
  <si>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</si>
  <si>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</si>
  <si>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</si>
  <si>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</si>
  <si>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</si>
  <si>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</si>
  <si>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</si>
  <si>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精装</t>
  </si>
  <si>
    <t>非个人房产</t>
  </si>
  <si>
    <t>天元港</t>
    <phoneticPr fontId="31" type="noConversion"/>
  </si>
  <si>
    <t>凤凰置地</t>
    <phoneticPr fontId="31" type="noConversion"/>
  </si>
  <si>
    <t>Ⅶ-顺1</t>
  </si>
  <si>
    <t>工业</t>
    <phoneticPr fontId="7" type="noConversion"/>
  </si>
  <si>
    <t>估价对象容积率</t>
  </si>
  <si>
    <t>与级别开发程度不一致</t>
  </si>
  <si>
    <t>平整</t>
  </si>
  <si>
    <t>未包含在土地购买价格中</t>
  </si>
  <si>
    <t>已包含在土地取得成本中</t>
  </si>
  <si>
    <t>企业</t>
  </si>
  <si>
    <t>总价</t>
  </si>
  <si>
    <t>单层</t>
    <phoneticPr fontId="31" type="noConversion"/>
  </si>
  <si>
    <t>独栋</t>
  </si>
  <si>
    <t>独栋</t>
    <phoneticPr fontId="31" type="noConversion"/>
  </si>
  <si>
    <t>一般</t>
  </si>
  <si>
    <t>较差</t>
  </si>
  <si>
    <t>成本法 (元)</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</si>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</sst>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104775</xdr:colOff>
      <xdr:row>34</xdr:row>
      <xdr:rowOff>95250</xdr:rowOff>
    </xdr:from>
    <xdr:to>
      <xdr:col>29</xdr:col>
      <xdr:colOff>284870</xdr:colOff>
      <xdr:row>53</xdr:row>
      <xdr:rowOff>142462</xdr:rowOff>
    </xdr:to>
    <xdr:pic>
      <xdr:nvPicPr>
        <xdr:cNvPr id="8" name="图片 7"/>
        <xdr:cNvPicPr>
          <a:picLocks noChangeAspect="1"/>
        </xdr:cNvPicPr>
      </xdr:nvPicPr>
      <xdr:blipFill>
        <a:blip xmlns:r="http://schemas.openxmlformats.org/officeDocument/2006/relationships" r:embed="rId1"/>
        <a:stretch>
          <a:fillRect/>
        </a:stretch>
      </xdr:blipFill>
      <xdr:spPr>
        <a:xfrm>
          <a:off x="13134975" y="5924550"/>
          <a:ext cx="7038095" cy="3304762"/>
        </a:xfrm>
        <a:prstGeom prst="rect">
          <a:avLst/>
        </a:prstGeom>
      </xdr:spPr>
    </xdr:pic>
    <xdr:clientData/>
  </xdr:twoCellAnchor>
  <xdr:twoCellAnchor editAs="oneCell">
    <xdr:from>
      <xdr:col>0</xdr:col>
      <xdr:colOff>0</xdr:colOff>
      <xdr:row>0</xdr:row>
      <xdr:rowOff>0</xdr:rowOff>
    </xdr:from>
    <xdr:to>
      <xdr:col>5</xdr:col>
      <xdr:colOff>313857</xdr:colOff>
      <xdr:row>33</xdr:row>
      <xdr:rowOff>123102</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0"/>
          <a:ext cx="3742857" cy="5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估价对象为北京市房地产，为所有。根据《国有土地使用证》[]，估价对象（分摊）出让国有建设用地使用权面积为1942.76平方米，建筑面积为3919.71平方米。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估价对象为北京市房地产,属开发建设的办公项目，该项目尚在开发建设中。根据《国有土地使用证》[]，估价对象（分摊）出让国有建设用地使用权面积为1942.76平方米，规划建筑面积为3919.71平方米。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2025年4月29日（评估专业人员实地查勘之日）</v>
      </c>
    </row>
    <row r="13" spans="1:2">
      <c r="A13" s="1119" t="s">
        <v>529</v>
      </c>
      <c r="B13" s="1120" t="str">
        <f>'预评函-1'!A18</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2430</v>
      </c>
    </row>
    <row r="21" spans="1:2">
      <c r="A21" s="1119" t="s">
        <v>537</v>
      </c>
      <c r="B21" s="1120">
        <f ca="1">'预评函-2'!D7</f>
        <v>6199</v>
      </c>
    </row>
    <row r="22" spans="1:2">
      <c r="A22" s="1119" t="s">
        <v>538</v>
      </c>
      <c r="B22" s="1120" t="str">
        <f ca="1">'预评函-2'!D6</f>
        <v>贰仟肆佰叁拾万元整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2430</v>
      </c>
    </row>
    <row r="31" spans="1:2">
      <c r="A31" s="1119" t="s">
        <v>576</v>
      </c>
      <c r="B31" s="1120">
        <f ca="1">'预评函-2'!D15</f>
        <v>6199</v>
      </c>
    </row>
    <row r="32" spans="1:2">
      <c r="A32" s="1119" t="s">
        <v>543</v>
      </c>
      <c r="B32" s="1120" t="str">
        <f ca="1">'预评函-2'!D14</f>
        <v>贰仟肆佰叁拾万元整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3919.71</v>
      </c>
    </row>
    <row r="44" spans="1:2">
      <c r="A44" s="1119" t="s">
        <v>575</v>
      </c>
      <c r="B44" s="1120" t="str">
        <f>'预评函-3'!C2</f>
        <v>(分摊)土地面积</v>
      </c>
    </row>
    <row r="45" spans="1:2">
      <c r="A45" s="1119" t="s">
        <v>547</v>
      </c>
      <c r="B45" s="1120">
        <f>'预评函-3'!C4</f>
        <v>1942.76</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2495</v>
      </c>
      <c r="B1" s="2755"/>
      <c r="C1" s="2755"/>
      <c r="D1" s="2755"/>
      <c r="E1" s="2755"/>
      <c r="F1" s="2756"/>
      <c r="I1" s="3133" t="s">
        <v>2588</v>
      </c>
      <c r="J1" s="2781"/>
      <c r="K1" s="2781"/>
      <c r="L1" s="2781"/>
      <c r="M1" s="2781"/>
      <c r="N1" s="2966"/>
      <c r="O1" s="2966"/>
      <c r="P1" s="2966"/>
      <c r="Q1" s="2966"/>
      <c r="R1" s="2966"/>
    </row>
    <row r="2" spans="1:18">
      <c r="A2" s="2758"/>
      <c r="B2" s="2759"/>
      <c r="C2" s="2759"/>
      <c r="D2" s="2759"/>
      <c r="E2" s="2759"/>
      <c r="F2" s="2760"/>
      <c r="I2" s="3215" t="s">
        <v>2575</v>
      </c>
      <c r="J2" s="3215"/>
      <c r="K2" s="3215"/>
      <c r="L2" s="3215"/>
      <c r="M2" s="3215"/>
      <c r="N2" s="3215"/>
      <c r="O2" s="3215"/>
      <c r="P2" s="3215"/>
      <c r="Q2" s="3215"/>
      <c r="R2" s="3215"/>
    </row>
    <row r="3" spans="1:18">
      <c r="A3" s="2761" t="s">
        <v>2496</v>
      </c>
      <c r="B3" s="2762">
        <f>项目基本情况!D3</f>
        <v>45776</v>
      </c>
      <c r="C3" s="2764"/>
      <c r="D3" s="2764"/>
      <c r="E3" s="2764"/>
      <c r="F3" s="2760"/>
      <c r="I3" s="2776"/>
      <c r="J3" s="2776" t="s">
        <v>2579</v>
      </c>
      <c r="K3" s="2776" t="s">
        <v>2580</v>
      </c>
      <c r="L3" s="2776" t="s">
        <v>2581</v>
      </c>
      <c r="M3" s="2776" t="s">
        <v>2582</v>
      </c>
      <c r="N3" s="3134" t="s">
        <v>2583</v>
      </c>
      <c r="O3" s="3134" t="s">
        <v>2584</v>
      </c>
      <c r="P3" s="3134" t="s">
        <v>2585</v>
      </c>
      <c r="Q3" s="3134" t="s">
        <v>2586</v>
      </c>
      <c r="R3" s="3134" t="s">
        <v>2587</v>
      </c>
    </row>
    <row r="4" spans="1:18">
      <c r="A4" s="2761" t="s">
        <v>2497</v>
      </c>
      <c r="B4" s="2764" t="s">
        <v>2498</v>
      </c>
      <c r="C4" s="2764" t="s">
        <v>2499</v>
      </c>
      <c r="D4" s="2764" t="s">
        <v>2500</v>
      </c>
      <c r="E4" s="2764" t="s">
        <v>2501</v>
      </c>
      <c r="F4" s="2760"/>
      <c r="I4" s="2776" t="s">
        <v>2576</v>
      </c>
      <c r="J4" s="2776">
        <v>80</v>
      </c>
      <c r="K4" s="2776">
        <v>70</v>
      </c>
      <c r="L4" s="2776">
        <v>20</v>
      </c>
      <c r="M4" s="2776">
        <v>30</v>
      </c>
      <c r="N4" s="2764">
        <v>45</v>
      </c>
      <c r="O4" s="2764">
        <v>60</v>
      </c>
      <c r="P4" s="2764">
        <v>50</v>
      </c>
      <c r="Q4" s="2764">
        <v>20</v>
      </c>
      <c r="R4" s="2764">
        <v>375</v>
      </c>
    </row>
    <row r="5" spans="1:18">
      <c r="A5" s="2765">
        <v>40</v>
      </c>
      <c r="B5" s="2762">
        <v>46375</v>
      </c>
      <c r="C5" s="2764">
        <f>ROUNDDOWN(MIN((B5-B3)/365,A5),2)</f>
        <v>1.64</v>
      </c>
      <c r="D5" s="2766">
        <f>IF(ISERROR(ROUND(POWER(1+E5,A5-C5)*(POWER(1+E5,C5)-1)/(POWER(1+E5,A5)-1),3)),0,ROUND(POWER(1+E5,A5-C5)*(POWER(1+E5,C5)-1)/(POWER(1+E5,A5)-1),4))</f>
        <v>7.8700000000000006E-2</v>
      </c>
      <c r="E5" s="2767">
        <v>0.04</v>
      </c>
      <c r="F5" s="2760"/>
      <c r="I5" s="2776" t="s">
        <v>2577</v>
      </c>
      <c r="J5" s="2776">
        <v>70</v>
      </c>
      <c r="K5" s="2776">
        <v>60</v>
      </c>
      <c r="L5" s="2776">
        <v>15</v>
      </c>
      <c r="M5" s="2776">
        <v>25</v>
      </c>
      <c r="N5" s="2764">
        <v>40</v>
      </c>
      <c r="O5" s="2764">
        <v>50</v>
      </c>
      <c r="P5" s="2764">
        <v>40</v>
      </c>
      <c r="Q5" s="2764">
        <v>15</v>
      </c>
      <c r="R5" s="2764">
        <v>315</v>
      </c>
    </row>
    <row r="6" spans="1:18">
      <c r="A6" s="2765">
        <v>50</v>
      </c>
      <c r="B6" s="2762">
        <v>50028</v>
      </c>
      <c r="C6" s="2764">
        <f>ROUNDDOWN(MIN((B6-B3)/365,A6),2)</f>
        <v>11.64</v>
      </c>
      <c r="D6" s="2766">
        <f>IF(ISERROR(ROUND(POWER(1+E6,A6-C6)*(POWER(1+E6,C6)-1)/(POWER(1+E6,A6)-1),3)),0,ROUND(POWER(1+E6,A6-C6)*(POWER(1+E6,C6)-1)/(POWER(1+E6,A6)-1),4))</f>
        <v>0.42649999999999999</v>
      </c>
      <c r="E6" s="2767">
        <v>0.04</v>
      </c>
      <c r="F6" s="2760"/>
      <c r="I6" s="2776" t="s">
        <v>2578</v>
      </c>
      <c r="J6" s="2776">
        <v>60</v>
      </c>
      <c r="K6" s="2776">
        <v>50</v>
      </c>
      <c r="L6" s="2776">
        <v>10</v>
      </c>
      <c r="M6" s="2776">
        <v>20</v>
      </c>
      <c r="N6" s="2764">
        <v>35</v>
      </c>
      <c r="O6" s="2764">
        <v>40</v>
      </c>
      <c r="P6" s="2764">
        <v>30</v>
      </c>
      <c r="Q6" s="2764">
        <v>10</v>
      </c>
      <c r="R6" s="2764">
        <v>255</v>
      </c>
    </row>
    <row r="7" spans="1:18">
      <c r="A7" s="2765">
        <v>70</v>
      </c>
      <c r="B7" s="2762">
        <v>57333</v>
      </c>
      <c r="C7" s="2764">
        <f>ROUNDDOWN(MIN((B7-B3)/365,A7),2)</f>
        <v>31.66</v>
      </c>
      <c r="D7" s="2766">
        <f>IF(ISERROR(ROUND(POWER(1+E7,A7-C7)*(POWER(1+E7,C7)-1)/(POWER(1+E7,A7)-1),3)),0,ROUND(POWER(1+E7,A7-C7)*(POWER(1+E7,C7)-1)/(POWER(1+E7,A7)-1),4))</f>
        <v>0.75990000000000002</v>
      </c>
      <c r="E7" s="2767">
        <v>0.04</v>
      </c>
      <c r="F7" s="2760"/>
    </row>
    <row r="8" spans="1:18">
      <c r="A8" s="2758"/>
      <c r="B8" s="2759"/>
      <c r="C8" s="2759"/>
      <c r="D8" s="2759"/>
      <c r="E8" s="2759"/>
      <c r="F8" s="2760"/>
    </row>
    <row r="9" spans="1:18">
      <c r="A9" s="2761" t="s">
        <v>2502</v>
      </c>
      <c r="B9" s="2764"/>
      <c r="C9" s="2764"/>
      <c r="D9" s="2764"/>
      <c r="E9" s="2764"/>
      <c r="F9" s="2768"/>
    </row>
    <row r="10" spans="1:18">
      <c r="A10" s="2761" t="s">
        <v>2503</v>
      </c>
      <c r="B10" s="2764"/>
      <c r="C10" s="2764"/>
      <c r="D10" s="2764" t="s">
        <v>2501</v>
      </c>
      <c r="E10" s="2764"/>
      <c r="F10" s="2768" t="s">
        <v>2500</v>
      </c>
    </row>
    <row r="11" spans="1:18">
      <c r="A11" s="2761" t="s">
        <v>2504</v>
      </c>
      <c r="B11" s="2769">
        <v>70</v>
      </c>
      <c r="C11" s="2764" t="s">
        <v>2505</v>
      </c>
      <c r="D11" s="2769">
        <v>4.4999999999999998E-2</v>
      </c>
      <c r="E11" s="2764" t="s">
        <v>2506</v>
      </c>
      <c r="F11" s="2770">
        <f>ROUND(1-(1/(POWER(1+D11,B11))),4)</f>
        <v>0.95409999999999995</v>
      </c>
    </row>
    <row r="12" spans="1:18">
      <c r="A12" s="2761" t="s">
        <v>2507</v>
      </c>
      <c r="B12" s="2769">
        <v>40</v>
      </c>
      <c r="C12" s="2764" t="s">
        <v>2508</v>
      </c>
      <c r="D12" s="2769">
        <v>4.4999999999999998E-2</v>
      </c>
      <c r="E12" s="2764" t="s">
        <v>2509</v>
      </c>
      <c r="F12" s="2770">
        <f>ROUND(1-(1/(POWER(1+D12,B12))),4)</f>
        <v>0.82809999999999995</v>
      </c>
    </row>
    <row r="13" spans="1:18">
      <c r="A13" s="2761" t="s">
        <v>2510</v>
      </c>
      <c r="B13" s="2764"/>
      <c r="C13" s="2764"/>
      <c r="D13" s="2759"/>
      <c r="E13" s="2759"/>
      <c r="F13" s="2760"/>
    </row>
    <row r="14" spans="1:18">
      <c r="A14" s="2761" t="s">
        <v>2511</v>
      </c>
      <c r="B14" s="2769">
        <v>5000</v>
      </c>
      <c r="C14" s="2763"/>
      <c r="D14" s="2759"/>
      <c r="E14" s="2759"/>
      <c r="F14" s="2760"/>
    </row>
    <row r="15" spans="1:18">
      <c r="A15" s="2761" t="s">
        <v>2512</v>
      </c>
      <c r="B15" s="2764">
        <f>ROUND(B14*F12/F11,2)</f>
        <v>4339.6899999999996</v>
      </c>
      <c r="C15" s="2764">
        <f>ROUND(F12/F11,4)</f>
        <v>0.8679</v>
      </c>
      <c r="D15" s="2759"/>
      <c r="E15" s="2759"/>
      <c r="F15" s="2760"/>
    </row>
    <row r="16" spans="1:18">
      <c r="A16" s="2761" t="s">
        <v>2513</v>
      </c>
      <c r="B16" s="2764"/>
      <c r="C16" s="2764"/>
      <c r="D16" s="2759"/>
      <c r="E16" s="2759"/>
      <c r="F16" s="2760"/>
    </row>
    <row r="17" spans="1:14">
      <c r="A17" s="2761" t="s">
        <v>2512</v>
      </c>
      <c r="B17" s="2769">
        <v>4810</v>
      </c>
      <c r="C17" s="2763"/>
      <c r="D17" s="2759"/>
      <c r="E17" s="2759"/>
      <c r="F17" s="2760"/>
    </row>
    <row r="18" spans="1:14" ht="14.25" thickBot="1">
      <c r="A18" s="2771" t="s">
        <v>2511</v>
      </c>
      <c r="B18" s="2772">
        <f>ROUND(B17*F11/F12,2)</f>
        <v>5541.87</v>
      </c>
      <c r="C18" s="2772">
        <f>ROUND(F11/F12,4)</f>
        <v>1.1521999999999999</v>
      </c>
      <c r="D18" s="2773"/>
      <c r="E18" s="2773"/>
      <c r="F18" s="2774"/>
    </row>
    <row r="19" spans="1:14" ht="14.25" thickBot="1"/>
    <row r="20" spans="1:14" s="2807" customFormat="1" ht="14.25" thickTop="1">
      <c r="A20" s="2804" t="s">
        <v>2514</v>
      </c>
      <c r="B20" s="2805"/>
      <c r="C20" s="2805"/>
      <c r="D20" s="2805"/>
      <c r="E20" s="2805"/>
      <c r="F20" s="2805"/>
      <c r="G20" s="2806"/>
      <c r="I20" s="2808" t="s">
        <v>2559</v>
      </c>
      <c r="J20" s="2808" t="s">
        <v>2564</v>
      </c>
      <c r="K20" s="2808"/>
      <c r="L20" s="2808"/>
      <c r="M20" s="2808"/>
    </row>
    <row r="21" spans="1:14">
      <c r="A21" s="2775"/>
      <c r="B21" s="2776" t="s">
        <v>2515</v>
      </c>
      <c r="C21" s="2776" t="s">
        <v>2516</v>
      </c>
      <c r="D21" s="2776" t="s">
        <v>2517</v>
      </c>
      <c r="E21" s="2776" t="s">
        <v>2518</v>
      </c>
      <c r="F21" s="2776" t="s">
        <v>2519</v>
      </c>
      <c r="G21" s="2777" t="s">
        <v>2520</v>
      </c>
      <c r="I21" s="2798">
        <v>5</v>
      </c>
      <c r="J21" s="2798">
        <v>54.2</v>
      </c>
    </row>
    <row r="22" spans="1:14">
      <c r="A22" s="2775" t="s">
        <v>2521</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2522</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2562</v>
      </c>
      <c r="N23" s="3151" t="s">
        <v>2563</v>
      </c>
    </row>
    <row r="24" spans="1:14">
      <c r="A24" s="2775" t="s">
        <v>2523</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2561</v>
      </c>
      <c r="N24" s="3151">
        <v>10</v>
      </c>
    </row>
    <row r="25" spans="1:14">
      <c r="A25" s="2775" t="s">
        <v>2524</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2565</v>
      </c>
      <c r="N25" s="3151">
        <v>8</v>
      </c>
    </row>
    <row r="26" spans="1:14">
      <c r="A26" s="2780"/>
      <c r="B26" s="2781"/>
      <c r="C26" s="2781"/>
      <c r="D26" s="2781"/>
      <c r="E26" s="2781"/>
      <c r="F26" s="2781"/>
      <c r="G26" s="2782"/>
      <c r="I26" s="2798">
        <v>30</v>
      </c>
      <c r="J26" s="2798">
        <v>90.5</v>
      </c>
      <c r="K26" s="2798">
        <f t="shared" si="2"/>
        <v>4.2000000000000028</v>
      </c>
      <c r="L26" s="2798" t="s">
        <v>2566</v>
      </c>
      <c r="N26" s="3151">
        <v>5</v>
      </c>
    </row>
    <row r="27" spans="1:14">
      <c r="A27" s="2780" t="s">
        <v>2525</v>
      </c>
      <c r="B27" s="2781"/>
      <c r="C27" s="2781"/>
      <c r="D27" s="2781"/>
      <c r="E27" s="2781"/>
      <c r="F27" s="2781"/>
      <c r="G27" s="2782"/>
      <c r="I27" s="2798">
        <v>35</v>
      </c>
      <c r="J27" s="2798">
        <v>93.8</v>
      </c>
      <c r="K27" s="2798">
        <f t="shared" si="2"/>
        <v>3.2999999999999972</v>
      </c>
      <c r="L27" s="2798" t="s">
        <v>2567</v>
      </c>
      <c r="N27" s="3151">
        <v>3</v>
      </c>
    </row>
    <row r="28" spans="1:14">
      <c r="A28" s="2780" t="s">
        <v>2526</v>
      </c>
      <c r="B28" s="2781"/>
      <c r="C28" s="2781"/>
      <c r="D28" s="2781"/>
      <c r="E28" s="2781"/>
      <c r="F28" s="2781"/>
      <c r="G28" s="2782"/>
      <c r="I28" s="2798">
        <v>40</v>
      </c>
      <c r="J28" s="2798">
        <v>96.4</v>
      </c>
      <c r="K28" s="2798">
        <f t="shared" si="2"/>
        <v>2.6000000000000085</v>
      </c>
      <c r="L28" s="2798" t="s">
        <v>2568</v>
      </c>
      <c r="N28" s="3151">
        <v>2</v>
      </c>
    </row>
    <row r="29" spans="1:14">
      <c r="A29" s="2780" t="s">
        <v>2527</v>
      </c>
      <c r="B29" s="2781"/>
      <c r="C29" s="2781"/>
      <c r="D29" s="2781"/>
      <c r="E29" s="2781"/>
      <c r="F29" s="2781"/>
      <c r="G29" s="2782"/>
      <c r="I29" s="2798">
        <v>45</v>
      </c>
      <c r="J29" s="2798">
        <v>98.4</v>
      </c>
      <c r="K29" s="2798">
        <f t="shared" si="2"/>
        <v>2</v>
      </c>
    </row>
    <row r="30" spans="1:14">
      <c r="A30" s="2780" t="s">
        <v>2528</v>
      </c>
      <c r="B30" s="2781"/>
      <c r="C30" s="2781"/>
      <c r="D30" s="2781"/>
      <c r="E30" s="2781"/>
      <c r="F30" s="2781"/>
      <c r="G30" s="2782"/>
      <c r="I30" s="2798">
        <v>50</v>
      </c>
      <c r="J30" s="2798">
        <v>100</v>
      </c>
      <c r="K30" s="2798">
        <f t="shared" si="2"/>
        <v>1.5999999999999943</v>
      </c>
    </row>
    <row r="31" spans="1:14">
      <c r="A31" s="2780" t="s">
        <v>2529</v>
      </c>
      <c r="B31" s="2781"/>
      <c r="C31" s="2781"/>
      <c r="D31" s="2781"/>
      <c r="E31" s="2781"/>
      <c r="F31" s="2781"/>
      <c r="G31" s="2782"/>
      <c r="I31" s="2798" t="s">
        <v>2560</v>
      </c>
    </row>
    <row r="32" spans="1:14">
      <c r="A32" s="2780" t="s">
        <v>2530</v>
      </c>
      <c r="B32" s="2781"/>
      <c r="C32" s="2781"/>
      <c r="D32" s="2781"/>
      <c r="E32" s="2781"/>
      <c r="F32" s="2781"/>
      <c r="G32" s="2782"/>
    </row>
    <row r="33" spans="1:14">
      <c r="A33" s="2780" t="s">
        <v>2531</v>
      </c>
      <c r="B33" s="2781"/>
      <c r="C33" s="2781"/>
      <c r="D33" s="2781"/>
      <c r="E33" s="2781"/>
      <c r="F33" s="2781"/>
      <c r="G33" s="2782"/>
      <c r="I33" s="2798" t="s">
        <v>2559</v>
      </c>
      <c r="J33" s="2798" t="s">
        <v>2569</v>
      </c>
    </row>
    <row r="34" spans="1:14">
      <c r="A34" s="2780" t="s">
        <v>2532</v>
      </c>
      <c r="B34" s="2781"/>
      <c r="C34" s="2781"/>
      <c r="D34" s="2781"/>
      <c r="E34" s="2781"/>
      <c r="F34" s="2781"/>
      <c r="G34" s="2782"/>
      <c r="I34" s="2798">
        <v>5</v>
      </c>
      <c r="J34" s="2798">
        <v>55.1</v>
      </c>
    </row>
    <row r="35" spans="1:14">
      <c r="A35" s="2780" t="s">
        <v>2533</v>
      </c>
      <c r="B35" s="2781"/>
      <c r="C35" s="2781"/>
      <c r="D35" s="2781"/>
      <c r="E35" s="2781"/>
      <c r="F35" s="2781"/>
      <c r="G35" s="2782"/>
      <c r="I35" s="2798">
        <v>10</v>
      </c>
      <c r="J35" s="2798">
        <v>67</v>
      </c>
      <c r="K35" s="2798">
        <f>J35-J34</f>
        <v>11.899999999999999</v>
      </c>
    </row>
    <row r="36" spans="1:14">
      <c r="A36" s="2780" t="s">
        <v>2534</v>
      </c>
      <c r="B36" s="2781"/>
      <c r="C36" s="2781"/>
      <c r="D36" s="2781"/>
      <c r="E36" s="2781"/>
      <c r="F36" s="2781"/>
      <c r="G36" s="2782"/>
      <c r="I36" s="2798">
        <v>15</v>
      </c>
      <c r="J36" s="2798">
        <v>76.3</v>
      </c>
      <c r="K36" s="2798">
        <f t="shared" ref="K36:K41" si="3">J36-J35</f>
        <v>9.2999999999999972</v>
      </c>
      <c r="L36" s="2798" t="s">
        <v>2562</v>
      </c>
      <c r="N36" s="3151" t="s">
        <v>2563</v>
      </c>
    </row>
    <row r="37" spans="1:14">
      <c r="A37" s="2780" t="s">
        <v>2535</v>
      </c>
      <c r="B37" s="2781"/>
      <c r="C37" s="2781"/>
      <c r="D37" s="2781"/>
      <c r="E37" s="2781"/>
      <c r="F37" s="2781"/>
      <c r="G37" s="2782"/>
      <c r="I37" s="2798">
        <v>20</v>
      </c>
      <c r="J37" s="2798">
        <v>83.6</v>
      </c>
      <c r="K37" s="2798">
        <f t="shared" si="3"/>
        <v>7.2999999999999972</v>
      </c>
      <c r="L37" s="2798" t="s">
        <v>2561</v>
      </c>
      <c r="N37" s="3151">
        <v>10</v>
      </c>
    </row>
    <row r="38" spans="1:14">
      <c r="A38" s="2780" t="s">
        <v>2536</v>
      </c>
      <c r="B38" s="2781"/>
      <c r="C38" s="2781"/>
      <c r="D38" s="2781"/>
      <c r="E38" s="2781"/>
      <c r="F38" s="2781"/>
      <c r="G38" s="2782"/>
      <c r="I38" s="2798">
        <v>25</v>
      </c>
      <c r="J38" s="2798">
        <v>89.3</v>
      </c>
      <c r="K38" s="2798">
        <f t="shared" si="3"/>
        <v>5.7000000000000028</v>
      </c>
      <c r="L38" s="2798" t="s">
        <v>2565</v>
      </c>
      <c r="N38" s="3151">
        <v>8</v>
      </c>
    </row>
    <row r="39" spans="1:14">
      <c r="A39" s="2780"/>
      <c r="B39" s="2781"/>
      <c r="C39" s="2781"/>
      <c r="D39" s="2781"/>
      <c r="E39" s="2781"/>
      <c r="F39" s="2781"/>
      <c r="G39" s="2782"/>
      <c r="I39" s="2798">
        <v>30</v>
      </c>
      <c r="J39" s="2798">
        <v>93.8</v>
      </c>
      <c r="K39" s="2798">
        <f t="shared" si="3"/>
        <v>4.5</v>
      </c>
      <c r="L39" s="2798" t="s">
        <v>2566</v>
      </c>
      <c r="N39" s="3151">
        <v>6</v>
      </c>
    </row>
    <row r="40" spans="1:14">
      <c r="A40" s="2783" t="s">
        <v>2537</v>
      </c>
      <c r="B40" s="2784"/>
      <c r="C40" s="2784"/>
      <c r="D40" s="2784"/>
      <c r="E40" s="2784"/>
      <c r="F40" s="2784"/>
      <c r="G40" s="2785"/>
      <c r="I40" s="2798">
        <v>35</v>
      </c>
      <c r="J40" s="2798">
        <v>97.2</v>
      </c>
      <c r="K40" s="2798">
        <f t="shared" si="3"/>
        <v>3.4000000000000057</v>
      </c>
      <c r="L40" s="2798" t="s">
        <v>2567</v>
      </c>
      <c r="N40" s="3151">
        <v>3</v>
      </c>
    </row>
    <row r="41" spans="1:14">
      <c r="A41" s="2786" t="s">
        <v>2538</v>
      </c>
      <c r="B41" s="2787" t="s">
        <v>2539</v>
      </c>
      <c r="C41" s="2788" t="s">
        <v>2540</v>
      </c>
      <c r="D41" s="2788" t="s">
        <v>2541</v>
      </c>
      <c r="E41" s="2789"/>
      <c r="F41" s="2790"/>
      <c r="G41" s="2791"/>
      <c r="I41" s="2798">
        <v>40</v>
      </c>
      <c r="J41" s="2798">
        <v>100</v>
      </c>
      <c r="K41" s="2798">
        <f t="shared" si="3"/>
        <v>2.7999999999999972</v>
      </c>
    </row>
    <row r="42" spans="1:14">
      <c r="A42" s="2786" t="s">
        <v>2542</v>
      </c>
      <c r="B42" s="2787" t="s">
        <v>2543</v>
      </c>
      <c r="C42" s="2788" t="s">
        <v>2544</v>
      </c>
      <c r="D42" s="2792" t="s">
        <v>2545</v>
      </c>
      <c r="E42" s="2784" t="s">
        <v>2546</v>
      </c>
      <c r="F42" s="2784"/>
      <c r="G42" s="2785"/>
    </row>
    <row r="43" spans="1:14">
      <c r="A43" s="2786" t="s">
        <v>2547</v>
      </c>
      <c r="B43" s="2787" t="s">
        <v>2548</v>
      </c>
      <c r="C43" s="2788" t="s">
        <v>2549</v>
      </c>
      <c r="D43" s="2788" t="s">
        <v>2550</v>
      </c>
      <c r="E43" s="2789" t="s">
        <v>2551</v>
      </c>
      <c r="F43" s="2790"/>
      <c r="G43" s="2791"/>
      <c r="I43" s="2798" t="s">
        <v>2559</v>
      </c>
      <c r="J43" s="2798" t="s">
        <v>2570</v>
      </c>
    </row>
    <row r="44" spans="1:14">
      <c r="A44" s="2786" t="s">
        <v>2552</v>
      </c>
      <c r="B44" s="2787" t="s">
        <v>2553</v>
      </c>
      <c r="C44" s="2788" t="s">
        <v>2554</v>
      </c>
      <c r="D44" s="2792">
        <v>0.5</v>
      </c>
      <c r="E44" s="2789" t="s">
        <v>2555</v>
      </c>
      <c r="F44" s="2790"/>
      <c r="G44" s="2791"/>
      <c r="I44" s="2798">
        <v>30</v>
      </c>
      <c r="J44" s="2798">
        <v>81.7</v>
      </c>
    </row>
    <row r="45" spans="1:14" ht="14.25" thickBot="1">
      <c r="A45" s="2793" t="s">
        <v>2556</v>
      </c>
      <c r="B45" s="2794" t="s">
        <v>2543</v>
      </c>
      <c r="C45" s="2795" t="s">
        <v>2543</v>
      </c>
      <c r="D45" s="2795" t="s">
        <v>2557</v>
      </c>
      <c r="E45" s="2796" t="s">
        <v>2558</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9" sqref="G3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45776</v>
      </c>
      <c r="C3" s="2186" t="s">
        <v>2170</v>
      </c>
      <c r="D3" s="2185">
        <f>B3</f>
        <v>45776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9" t="s">
        <v>2176</v>
      </c>
      <c r="E8" s="2202" t="s">
        <v>3409</v>
      </c>
      <c r="F8" s="2203"/>
      <c r="G8" s="2441"/>
      <c r="H8" s="2441"/>
      <c r="I8" s="2441"/>
      <c r="J8" s="2245"/>
      <c r="K8" s="2399"/>
      <c r="L8" s="2398"/>
      <c r="M8" s="2398"/>
      <c r="N8" s="2245"/>
      <c r="O8" s="1670"/>
      <c r="P8" s="2245"/>
      <c r="Q8" s="2245"/>
      <c r="R8" s="2245"/>
    </row>
    <row r="9" spans="1:30" ht="13.5" thickBot="1">
      <c r="A9" s="2204" t="s">
        <v>2177</v>
      </c>
      <c r="B9" s="2205" t="s">
        <v>3409</v>
      </c>
      <c r="C9" s="2206"/>
      <c r="D9" s="3220"/>
      <c r="E9" s="2205" t="s">
        <v>43</v>
      </c>
      <c r="F9" s="2207"/>
      <c r="G9" s="2442"/>
      <c r="H9" s="2442"/>
      <c r="I9" s="2442"/>
      <c r="J9" s="2245"/>
      <c r="K9" s="2401"/>
      <c r="L9" s="2398"/>
      <c r="M9" s="2398"/>
      <c r="N9" s="2245"/>
      <c r="O9" s="1670"/>
      <c r="P9" s="2245"/>
      <c r="Q9" s="2245"/>
      <c r="R9" s="2245"/>
    </row>
    <row r="10" spans="1:30" ht="13.5" thickTop="1">
      <c r="A10" s="2208" t="s">
        <v>2178</v>
      </c>
      <c r="B10" s="2209" t="s">
        <v>3456</v>
      </c>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t="s">
        <v>3482</v>
      </c>
      <c r="C11" s="2214"/>
      <c r="D11" s="2215"/>
      <c r="E11" s="2182"/>
      <c r="F11" s="2182"/>
      <c r="G11" s="2182"/>
      <c r="H11" s="2182"/>
      <c r="I11" s="2182"/>
      <c r="J11" s="2800"/>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799" t="s">
        <v>2571</v>
      </c>
      <c r="J12" s="2801"/>
      <c r="K12" s="2398"/>
      <c r="L12" s="2398"/>
      <c r="M12" s="2245"/>
      <c r="N12" s="1670"/>
      <c r="O12" s="2245"/>
      <c r="P12" s="2245"/>
      <c r="Q12" s="2245"/>
      <c r="AD12" s="1618"/>
    </row>
    <row r="13" spans="1:30">
      <c r="A13" s="3120" t="s">
        <v>3327</v>
      </c>
      <c r="B13" s="2218" t="s">
        <v>2189</v>
      </c>
      <c r="C13" s="803"/>
      <c r="D13" s="803"/>
      <c r="E13" s="803"/>
      <c r="F13" s="803"/>
      <c r="G13" s="803"/>
      <c r="H13" s="803">
        <v>58145</v>
      </c>
      <c r="I13" s="803"/>
      <c r="J13" s="2801"/>
      <c r="K13" s="2398"/>
      <c r="L13" s="2398"/>
      <c r="M13" s="2245"/>
      <c r="N13" s="1670"/>
      <c r="O13" s="2245"/>
      <c r="P13" s="2245"/>
      <c r="Q13" s="2245"/>
      <c r="AD13" s="1618"/>
    </row>
    <row r="14" spans="1:30">
      <c r="A14" s="1018"/>
      <c r="B14" s="2218" t="s">
        <v>2190</v>
      </c>
      <c r="C14" s="2219"/>
      <c r="D14" s="2219"/>
      <c r="E14" s="2219"/>
      <c r="F14" s="2219"/>
      <c r="G14" s="2219"/>
      <c r="H14" s="2219">
        <v>50</v>
      </c>
      <c r="I14" s="2219"/>
      <c r="J14" s="2802"/>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33.880000000000003</v>
      </c>
      <c r="I15" s="2221" t="str">
        <f>IF(A13="出让",IF(I13="","",ROUNDDOWN(MIN((I13-$D$3)/365,I14),2)),I14)</f>
        <v/>
      </c>
      <c r="J15" s="2803"/>
      <c r="K15" s="1670"/>
      <c r="L15" s="1670"/>
      <c r="M15" s="2245"/>
      <c r="N15" s="1670"/>
      <c r="O15" s="2245"/>
      <c r="P15" s="2245"/>
      <c r="Q15" s="2245"/>
      <c r="AD15" s="1618"/>
    </row>
    <row r="16" spans="1:30">
      <c r="A16" s="2211" t="s">
        <v>2192</v>
      </c>
      <c r="B16" s="3226"/>
      <c r="C16" s="3227"/>
      <c r="D16" s="3228"/>
      <c r="E16" s="2222" t="s">
        <v>2193</v>
      </c>
      <c r="F16" s="3229"/>
      <c r="G16" s="3230"/>
      <c r="H16" s="3230"/>
      <c r="I16" s="3231"/>
      <c r="J16" s="2245"/>
      <c r="K16" s="2402"/>
      <c r="L16" s="1670"/>
      <c r="M16" s="1670"/>
      <c r="N16" s="2245"/>
      <c r="O16" s="1670"/>
      <c r="P16" s="2245"/>
      <c r="Q16" s="2245"/>
      <c r="R16" s="2245"/>
    </row>
    <row r="17" spans="1:28">
      <c r="A17" s="305" t="s">
        <v>2194</v>
      </c>
      <c r="B17" s="294" t="s">
        <v>2195</v>
      </c>
      <c r="C17" s="8">
        <f>'数据-汇总表'!E3</f>
        <v>3919.71</v>
      </c>
      <c r="D17" s="1256" t="s">
        <v>2196</v>
      </c>
      <c r="E17" s="3232" t="s">
        <v>2197</v>
      </c>
      <c r="F17" s="3233"/>
      <c r="G17" s="3233"/>
      <c r="H17" s="3233"/>
      <c r="I17" s="3234"/>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1942.76</v>
      </c>
      <c r="D18" s="1029" t="s">
        <v>2200</v>
      </c>
      <c r="E18" s="3235" t="s">
        <v>2201</v>
      </c>
      <c r="F18" s="3236"/>
      <c r="G18" s="3236"/>
      <c r="H18" s="3236"/>
      <c r="I18" s="3237"/>
      <c r="J18" s="2245"/>
      <c r="K18" s="2403"/>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2" t="s">
        <v>2205</v>
      </c>
      <c r="C20" s="3223"/>
      <c r="D20" s="3224" t="s">
        <v>2206</v>
      </c>
      <c r="E20" s="3225"/>
      <c r="F20" s="2429" t="s">
        <v>1056</v>
      </c>
      <c r="G20" s="2441"/>
      <c r="H20" s="2441"/>
      <c r="I20" s="2441"/>
      <c r="J20" s="2245"/>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v>2011</v>
      </c>
      <c r="H22" s="2441"/>
      <c r="I22" s="2441"/>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39" t="s">
        <v>2213</v>
      </c>
      <c r="B27" s="312" t="s">
        <v>2214</v>
      </c>
      <c r="C27" s="2225" t="s">
        <v>3469</v>
      </c>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9"/>
      <c r="B28" s="294" t="s">
        <v>2215</v>
      </c>
      <c r="C28" s="2227" t="s">
        <v>3470</v>
      </c>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9"/>
      <c r="B29" s="294" t="s">
        <v>2216</v>
      </c>
      <c r="C29" s="2229" t="s">
        <v>3411</v>
      </c>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0"/>
      <c r="B30" s="294" t="s">
        <v>2217</v>
      </c>
      <c r="C30" s="3241"/>
      <c r="D30" s="3242"/>
      <c r="E30" s="2441"/>
      <c r="F30" s="2441"/>
      <c r="G30" s="2441"/>
      <c r="H30" s="2441"/>
      <c r="I30" s="2441"/>
      <c r="J30" s="2245"/>
      <c r="K30" s="2401"/>
      <c r="L30" s="2398"/>
      <c r="M30" s="2398"/>
      <c r="N30" s="2245"/>
      <c r="O30" s="1670"/>
      <c r="P30" s="2245"/>
      <c r="Q30" s="2245"/>
      <c r="R30" s="2245"/>
      <c r="S30" s="2245"/>
      <c r="T30" s="2245"/>
      <c r="U30" s="2245"/>
      <c r="V30" s="2245"/>
    </row>
    <row r="31" spans="1:28">
      <c r="A31" s="3243" t="s">
        <v>2218</v>
      </c>
      <c r="B31" s="2231" t="s">
        <v>3452</v>
      </c>
      <c r="C31" s="12" t="str">
        <f>IF(B31="现房","成新及维护状况正常否",IF(B31="在建","工程状态是否正常",IF(B31="土地","是否闲置","-")))</f>
        <v>成新及维护状况正常否</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t="s">
        <v>3464</v>
      </c>
      <c r="C34" s="1870" t="s">
        <v>3465</v>
      </c>
      <c r="D34" s="1870" t="s">
        <v>3466</v>
      </c>
      <c r="E34" s="1870" t="s">
        <v>3467</v>
      </c>
      <c r="F34" s="1870" t="s">
        <v>3468</v>
      </c>
      <c r="G34" s="1870"/>
      <c r="H34" s="1870"/>
      <c r="I34" s="2441"/>
      <c r="J34" s="2245"/>
      <c r="K34" s="8">
        <f>COUNTIF(B34:H34,"——")</f>
        <v>0</v>
      </c>
      <c r="L34" s="315" t="s">
        <v>2220</v>
      </c>
      <c r="M34" s="315" t="s">
        <v>2221</v>
      </c>
      <c r="N34" s="315" t="s">
        <v>2222</v>
      </c>
      <c r="O34" s="315" t="s">
        <v>2223</v>
      </c>
      <c r="P34" s="315" t="s">
        <v>2224</v>
      </c>
      <c r="Q34" s="315" t="s">
        <v>2225</v>
      </c>
      <c r="R34" s="315" t="s">
        <v>2226</v>
      </c>
      <c r="S34" s="3238" t="s">
        <v>2227</v>
      </c>
      <c r="T34" s="315" t="str">
        <f>NUMBERSTRING(7-K34,1)&amp;"通"</f>
        <v>七通</v>
      </c>
      <c r="U34" s="2245"/>
      <c r="V34" s="2245"/>
    </row>
    <row r="35" spans="1:30">
      <c r="A35" s="2236"/>
      <c r="B35" s="3238" t="s">
        <v>2228</v>
      </c>
      <c r="C35" s="3238"/>
      <c r="D35" s="3238"/>
      <c r="E35" s="3238"/>
      <c r="F35" s="8">
        <f>C10</f>
        <v>0</v>
      </c>
      <c r="G35" s="2441"/>
      <c r="H35" s="2441"/>
      <c r="I35" s="2441"/>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38"/>
      <c r="T35" s="138" t="str">
        <f>IF(T34="一通",L35,IF(T34="二通",M35,IF(T34="三通",N35,IF(T34="四通",O35,IF(T34="五通",P35,IF(T34="六通",Q35,R35))))))</f>
        <v>通路、通电、通讯、通上水、通下水、、</v>
      </c>
      <c r="U35" s="2245"/>
      <c r="V35" s="2245"/>
    </row>
    <row r="36" spans="1:30">
      <c r="A36" s="2183"/>
      <c r="B36" s="8" t="s">
        <v>2184</v>
      </c>
      <c r="C36" s="8" t="s">
        <v>2185</v>
      </c>
      <c r="D36" s="8" t="s">
        <v>2183</v>
      </c>
      <c r="E36" s="8" t="s">
        <v>2188</v>
      </c>
      <c r="F36" s="2799"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t="s">
        <v>304</v>
      </c>
      <c r="F37" s="2237"/>
      <c r="G37" s="2441"/>
      <c r="H37" s="2441"/>
      <c r="I37" s="2441"/>
      <c r="J37" s="2245"/>
      <c r="K37" s="2401"/>
      <c r="L37" s="2398"/>
      <c r="M37" s="2398"/>
      <c r="N37" s="2245"/>
      <c r="O37" s="1670"/>
      <c r="P37" s="2245"/>
      <c r="Q37" s="2245"/>
      <c r="R37" s="2245"/>
      <c r="S37" s="2245"/>
      <c r="T37" s="2245"/>
      <c r="U37" s="2245"/>
      <c r="V37" s="2245"/>
    </row>
    <row r="38" spans="1:30" ht="13.5" thickBot="1">
      <c r="A38" s="2415" t="s">
        <v>2230</v>
      </c>
      <c r="B38" s="2238"/>
      <c r="C38" s="2238"/>
      <c r="D38" s="2238"/>
      <c r="E38" s="2238" t="s">
        <v>3475</v>
      </c>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1942.76</v>
      </c>
      <c r="B3" s="11">
        <f>IF(C3="否",G5-AT5,G5)</f>
        <v>3919.71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3919.71</v>
      </c>
      <c r="H5" s="13">
        <f t="shared" ref="H5:AT5" si="0">SUM(H13:H656)</f>
        <v>3919.71</v>
      </c>
      <c r="I5" s="13">
        <f t="shared" si="0"/>
        <v>3919.71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3919.71</v>
      </c>
      <c r="BA5" s="15">
        <f t="shared" si="1"/>
        <v>3919.71</v>
      </c>
      <c r="BB5" s="15">
        <f t="shared" si="1"/>
        <v>3919.71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1942.76</v>
      </c>
      <c r="F6" s="13" t="s">
        <v>0</v>
      </c>
      <c r="G6" s="13" t="s">
        <v>1</v>
      </c>
      <c r="H6" s="17">
        <f>SUMIF(I$12:AB$12,"总值",I6:AB6)</f>
        <v>1942.76</v>
      </c>
      <c r="I6" s="13">
        <f t="shared" ref="I6:AB6" si="2">ROUND($A$3*I5/$B$3,2)</f>
        <v>1942.76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1942.76</v>
      </c>
      <c r="AZ6" s="13" t="s">
        <v>2</v>
      </c>
      <c r="BA6" s="13">
        <f>ROUND($AY$6*BA5/$AZ$5,2)</f>
        <v>1942.76</v>
      </c>
      <c r="BB6" s="13">
        <f>ROUND($AY$6*BB5/$AZ$5,2)</f>
        <v>1942.76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2"/>
      <c r="B13" s="628"/>
      <c r="C13" s="628"/>
      <c r="D13" s="1513" t="s">
        <v>3410</v>
      </c>
      <c r="E13" s="13">
        <f>IF($C$3="是",ROUND($A$3*G13/$B$3,2),ROUND($A$3*(G13-AT13)/$B$3,2))</f>
        <v>1942.76</v>
      </c>
      <c r="F13" s="29"/>
      <c r="G13" s="30">
        <f>H13+AC13+AT13</f>
        <v>3919.71</v>
      </c>
      <c r="H13" s="17">
        <f>SUMIF(I$12:AB$12,"总值",I13:AB13)</f>
        <v>3919.71</v>
      </c>
      <c r="I13" s="1514">
        <v>3919.71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1942.76</v>
      </c>
      <c r="AZ13" s="13">
        <f>BA13+BL13</f>
        <v>3919.71</v>
      </c>
      <c r="BA13" s="13">
        <f>SUM(BB13:BK13)</f>
        <v>3919.71</v>
      </c>
      <c r="BB13" s="13">
        <f>IF($D13="是",I13-J13,0)</f>
        <v>3919.71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3"/>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8"/>
      <c r="G2" s="2431"/>
      <c r="H2" s="2432"/>
      <c r="I2" s="2146" t="s">
        <v>1132</v>
      </c>
      <c r="J2" s="2438"/>
      <c r="K2" s="2438"/>
      <c r="L2" s="2438"/>
      <c r="M2" s="2438"/>
      <c r="N2" s="2439"/>
      <c r="O2" s="2438"/>
      <c r="P2" s="2438"/>
    </row>
    <row r="3" spans="1:16" ht="15.75" thickBot="1">
      <c r="A3" s="3255" t="s">
        <v>1105</v>
      </c>
      <c r="B3" s="3255"/>
      <c r="C3" s="3255"/>
      <c r="D3" s="41">
        <f>'数据-基础表'!AY6</f>
        <v>1942.76</v>
      </c>
      <c r="E3" s="41">
        <f>'数据-基础表'!AZ5</f>
        <v>3919.71</v>
      </c>
      <c r="F3" s="2438"/>
      <c r="G3" s="42"/>
      <c r="H3" s="43" t="s">
        <v>1106</v>
      </c>
      <c r="I3" s="802">
        <f>ROUND('数据-基础表'!B3/'数据-基础表'!A3,2)</f>
        <v>2.02</v>
      </c>
      <c r="J3" s="2438"/>
      <c r="K3" s="2438"/>
      <c r="L3" s="2438"/>
      <c r="M3" s="2438"/>
      <c r="N3" s="2439"/>
      <c r="O3" s="2438"/>
      <c r="P3" s="2438"/>
    </row>
    <row r="4" spans="1:16" ht="15">
      <c r="A4" s="3256"/>
      <c r="B4" s="3257"/>
      <c r="C4" s="3258"/>
      <c r="D4" s="1524" t="s">
        <v>1107</v>
      </c>
      <c r="E4" s="1525" t="s">
        <v>1108</v>
      </c>
      <c r="F4" s="2438"/>
      <c r="G4" s="2433" t="s">
        <v>1133</v>
      </c>
      <c r="H4" s="43" t="s">
        <v>1113</v>
      </c>
      <c r="I4" s="802">
        <f>ROUND(SUMIF('数据-基础表'!I9:AS9,"地上",'数据-基础表'!I5:AS5)/'数据-基础表'!A3,2)</f>
        <v>2.02</v>
      </c>
      <c r="J4" s="2438"/>
      <c r="K4" s="2438"/>
      <c r="L4" s="2438"/>
      <c r="M4" s="2438"/>
      <c r="N4" s="2439"/>
      <c r="O4" s="2438"/>
      <c r="P4" s="2438"/>
    </row>
    <row r="5" spans="1:16">
      <c r="A5" s="42" t="s">
        <v>1109</v>
      </c>
      <c r="B5" s="3259" t="s">
        <v>1110</v>
      </c>
      <c r="C5" s="3259"/>
      <c r="D5" s="43">
        <f>ROUND($D$3*E5/$E$3,2)</f>
        <v>0</v>
      </c>
      <c r="E5" s="44">
        <f>SUMIF('数据-基础表'!$11:$11,"住宅",'数据-基础表'!$5:$5)</f>
        <v>0</v>
      </c>
      <c r="F5" s="2438"/>
      <c r="G5" s="42"/>
      <c r="H5" s="43" t="s">
        <v>1106</v>
      </c>
      <c r="I5" s="802">
        <f>ROUND(E31/D31,2)</f>
        <v>2.02</v>
      </c>
      <c r="J5" s="2438"/>
      <c r="K5" s="2438"/>
      <c r="L5" s="2438"/>
      <c r="M5" s="2438"/>
      <c r="N5" s="2438"/>
      <c r="O5" s="2438"/>
      <c r="P5" s="2438"/>
    </row>
    <row r="6" spans="1:16" ht="15" thickBot="1">
      <c r="A6" s="1527"/>
      <c r="B6" s="3259" t="s">
        <v>1111</v>
      </c>
      <c r="C6" s="3259"/>
      <c r="D6" s="43">
        <f>ROUND($D$3*E6/$E$3,2)</f>
        <v>1942.76</v>
      </c>
      <c r="E6" s="44">
        <f>E3-E5</f>
        <v>3919.71</v>
      </c>
      <c r="F6" s="2438"/>
      <c r="G6" s="1529" t="s">
        <v>1112</v>
      </c>
      <c r="H6" s="45" t="s">
        <v>1113</v>
      </c>
      <c r="I6" s="2434">
        <f>ROUND(F31/D31,2)</f>
        <v>2.02</v>
      </c>
      <c r="J6" s="2438"/>
      <c r="K6" s="2438"/>
      <c r="L6" s="2438"/>
      <c r="M6" s="2438"/>
      <c r="N6" s="2438"/>
      <c r="O6" s="2438"/>
      <c r="P6" s="2438"/>
    </row>
    <row r="7" spans="1:16" ht="15.75" thickBot="1">
      <c r="A7" s="3251"/>
      <c r="B7" s="3252"/>
      <c r="C7" s="325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1942.76</v>
      </c>
      <c r="E8" s="46">
        <f>SUMIF('数据-基础表'!BB10:BK10,"地上",'数据-基础表'!BB5:BK5)</f>
        <v>3919.71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1942.76</v>
      </c>
      <c r="E16" s="48">
        <f>SUM(E8:E15)</f>
        <v>3919.71</v>
      </c>
      <c r="F16" s="2438"/>
      <c r="G16" s="2438"/>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3476</v>
      </c>
      <c r="D19" s="43">
        <f>ROUND($D$3*E19/$E$3,2)</f>
        <v>1942.76</v>
      </c>
      <c r="E19" s="51">
        <f t="shared" ref="E19:E26" si="1">SUM(F19:G19)</f>
        <v>3919.71</v>
      </c>
      <c r="F19" s="2556">
        <f>'数据-基础表'!I13</f>
        <v>3919.71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1942.76</v>
      </c>
      <c r="S19" s="51">
        <f t="shared" si="5"/>
        <v>3919.71</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1942.76</v>
      </c>
      <c r="E27" s="1073">
        <f>IF(SUM(E19:E26)='数据-基础表'!BA5,SUM(E19:E26),IF(F27="地上面积有误","面积有误","地下面积有误"))</f>
        <v>3919.71</v>
      </c>
      <c r="F27" s="1072">
        <f>IF(SUM(F19:F26)=E8,SUM(F19:F26),"地上面积有误")</f>
        <v>3919.71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1942.76</v>
      </c>
      <c r="S27" s="43">
        <f>IF(SUM(S19:S26)=$E$3,SUM(S19:S26),SUM(S19:S26)&amp;"误差"&amp;ROUND(SUM(S19:S26)-E3,2))</f>
        <v>3919.71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1942.76</v>
      </c>
      <c r="E31" s="643">
        <f>E27+E30</f>
        <v>3919.71</v>
      </c>
      <c r="F31" s="644">
        <f>F27+F30</f>
        <v>3919.71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33"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45776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58145</v>
      </c>
      <c r="F6" s="61">
        <f>SUMIF(项目基本情况!C$12:I$12,C6,项目基本情况!C$15:I$15)</f>
        <v>33.880000000000003</v>
      </c>
      <c r="G6" s="62">
        <f>IF(ISERROR(ROUND(POWER(1+H6,D6-F6)*(POWER(1+H6,F6)-1)/(POWER(1+H6,D6)-1),3)),0,ROUND(POWER(1+H6,D6-F6)*(POWER(1+H6,F6)-1)/(POWER(1+H6,D6)-1),3))</f>
        <v>0.88600000000000001</v>
      </c>
      <c r="H6" s="691">
        <v>0.05</v>
      </c>
      <c r="I6" s="691">
        <v>5.5E-2</v>
      </c>
      <c r="J6" s="63">
        <v>7.0000000000000007E-2</v>
      </c>
      <c r="K6" s="970">
        <f>SUMIF('数据-汇总表'!C$19:C$33,A6,'数据-汇总表'!E$19:E$33)</f>
        <v>3919.71</v>
      </c>
      <c r="L6" s="692">
        <v>4000</v>
      </c>
      <c r="M6" s="64">
        <f t="shared" ref="M6:M14" si="0">ROUND(K6*L6/10000,0)</f>
        <v>1568</v>
      </c>
      <c r="N6" s="690">
        <f>N19</f>
        <v>0.8</v>
      </c>
      <c r="O6" s="64" t="str">
        <f>IF($N$5="成新度","——",ROUND(M6*N6,0))</f>
        <v>——</v>
      </c>
      <c r="P6" s="65" t="str">
        <f>IF($N$5="成新度","——",M6-O6)</f>
        <v>——</v>
      </c>
      <c r="Q6" s="693">
        <v>0.1</v>
      </c>
      <c r="R6" s="66">
        <f ca="1">SUMIF('数据-汇总表'!C$19:C$33,A6,'数据-汇总表'!R$19:R$27)</f>
        <v>1942.76</v>
      </c>
      <c r="S6" s="49">
        <f>IF('数据-汇总表'!$I$17="按面积比例",SUMIF('数据-汇总表'!C$19:C$33,A6,'数据-汇总表'!K$19:K$33),SUMIF('数据-汇总表'!C$19:C$33,A6,'数据-汇总表'!N$19:N$33))</f>
        <v>0</v>
      </c>
      <c r="T6" s="1092">
        <f>ROUND($L$14*S6/10000,0)</f>
        <v>0</v>
      </c>
      <c r="U6" s="3125">
        <v>1.2</v>
      </c>
      <c r="V6" s="67">
        <v>0.02</v>
      </c>
      <c r="W6" s="67">
        <v>0.15</v>
      </c>
      <c r="X6" s="979"/>
      <c r="Y6" s="68">
        <f>N6</f>
        <v>0.8</v>
      </c>
      <c r="Z6" s="69"/>
      <c r="AA6" s="63"/>
      <c r="AB6" s="63"/>
      <c r="AC6" s="979"/>
      <c r="AD6" s="70"/>
      <c r="AE6" s="980">
        <f ca="1">IF(AN6="",0,SUMIF(INDIRECT("'"&amp;AN6&amp;"'"&amp;"!E:E"),$AE$5,INDIRECT("'"&amp;AN6&amp;"'"&amp;"!F:F")))</f>
        <v>33.880000000000003</v>
      </c>
      <c r="AF6" s="74"/>
      <c r="AG6" s="130">
        <f>IF(AF6="",0,AE6-AF6)</f>
        <v>0</v>
      </c>
      <c r="AH6" s="71"/>
      <c r="AI6" s="73">
        <v>365</v>
      </c>
      <c r="AJ6" s="74"/>
      <c r="AK6" s="75">
        <v>3.0000000000000001E-3</v>
      </c>
      <c r="AL6" s="76">
        <v>1E-3</v>
      </c>
      <c r="AM6" s="77">
        <v>5.0000000000000001E-3</v>
      </c>
      <c r="AN6" s="1589" t="s">
        <v>3414</v>
      </c>
      <c r="AO6" s="50">
        <f ca="1">SUMIF(INDIRECT("'"&amp;AN6&amp;"'"&amp;"!A:A"),"总价",INDIRECT("'"&amp;AN6&amp;"'"&amp;"!B:B"))</f>
        <v>2263.6261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0.88600000000000001</v>
      </c>
      <c r="H16" s="84">
        <f>ROUND(SUMPRODUCT(H6:H13,K6:K13)/SUMPRODUCT((H6:H13&gt;0)*(K6:K13)),3)</f>
        <v>0.05</v>
      </c>
      <c r="I16" s="85"/>
      <c r="J16" s="85"/>
      <c r="K16" s="86">
        <f>SUM(K6:K15)</f>
        <v>3919.71</v>
      </c>
      <c r="L16" s="87">
        <f>ROUND(M16*10000/SUM(K6:K14),0)</f>
        <v>4000</v>
      </c>
      <c r="M16" s="87">
        <f>SUM(M6:M14)</f>
        <v>1568</v>
      </c>
      <c r="N16" s="88">
        <f>ROUND(SUMPRODUCT(M6:M14,N6:N14)/M16,3)</f>
        <v>0.8</v>
      </c>
      <c r="O16" s="87">
        <f>SUM(O6:O14)</f>
        <v>0</v>
      </c>
      <c r="P16" s="87">
        <f>SUM(P6:P14)</f>
        <v>0</v>
      </c>
      <c r="Q16" s="89">
        <f>ROUND(SUMPRODUCT(Q6:Q13,K6:K13)/SUMPRODUCT((Q6:Q13&gt;0)*(K6:K13)),2)</f>
        <v>0.1</v>
      </c>
      <c r="R16" s="974">
        <f ca="1">SUM(R6:R13)</f>
        <v>1942.76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59" t="s">
        <v>2297</v>
      </c>
      <c r="D19" s="2451"/>
      <c r="E19" s="2438"/>
      <c r="F19" s="2438"/>
      <c r="G19" s="2438"/>
      <c r="H19" s="2438"/>
      <c r="I19" s="2438"/>
      <c r="J19" s="2438"/>
      <c r="K19" s="2449"/>
      <c r="L19" s="2449"/>
      <c r="M19" s="2448"/>
      <c r="N19" s="2448">
        <f>ROUND(1-(2025-N18)/60,2)</f>
        <v>0.8</v>
      </c>
      <c r="O19" s="2448">
        <v>0.3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0" t="s">
        <v>2295</v>
      </c>
      <c r="D20" s="2451"/>
      <c r="E20" s="2438"/>
      <c r="F20" s="2438"/>
      <c r="G20" s="2438"/>
      <c r="H20" s="2438"/>
      <c r="I20" s="2438"/>
      <c r="J20" s="2438"/>
      <c r="K20" s="2449"/>
      <c r="L20" s="2449"/>
      <c r="M20" s="2448"/>
      <c r="N20" s="2448">
        <v>0.85</v>
      </c>
      <c r="O20" s="2448">
        <f>1-O19</f>
        <v>0.7</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f>ROUND(N19*O19+N20*O20,2)</f>
        <v>0.84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1"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 (元)'!C8</f>
        <v>783942</v>
      </c>
      <c r="C29" s="2562"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3"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3"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3"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3"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3"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3"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2305</v>
      </c>
      <c r="B40" s="1015">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3"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2"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2"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5"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2"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2"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4"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60" t="s">
        <v>2281</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2277</v>
      </c>
      <c r="D2" s="1595"/>
      <c r="E2" s="2260"/>
      <c r="F2" s="2263"/>
      <c r="G2" s="2262" t="s">
        <v>2278</v>
      </c>
      <c r="H2" s="751"/>
      <c r="I2" s="751"/>
      <c r="J2" s="751"/>
      <c r="K2" s="751"/>
      <c r="L2" s="751"/>
      <c r="M2" s="751"/>
      <c r="N2" s="751"/>
      <c r="O2" s="751"/>
      <c r="P2" s="751"/>
      <c r="Q2" s="751"/>
    </row>
    <row r="3" spans="1:29" ht="25.5">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24">
      <c r="A5" s="2248"/>
      <c r="B5" s="315" t="s">
        <v>2256</v>
      </c>
      <c r="C5" s="3163" t="s">
        <v>3425</v>
      </c>
      <c r="D5" s="2266"/>
      <c r="E5" s="2270"/>
      <c r="F5" s="315" t="s">
        <v>2257</v>
      </c>
      <c r="G5" s="2271" t="s">
        <v>2258</v>
      </c>
      <c r="H5" s="751"/>
      <c r="I5" s="751"/>
      <c r="J5" s="751"/>
      <c r="K5" s="751"/>
      <c r="L5" s="751"/>
      <c r="M5" s="751"/>
      <c r="N5" s="751"/>
      <c r="O5" s="751"/>
      <c r="P5" s="751"/>
      <c r="Q5" s="751"/>
    </row>
    <row r="6" spans="1:29" ht="36">
      <c r="A6" s="2248"/>
      <c r="B6" s="315" t="s">
        <v>2259</v>
      </c>
      <c r="C6" s="3164" t="s">
        <v>3426</v>
      </c>
      <c r="D6" s="2266"/>
      <c r="E6" s="2270"/>
      <c r="F6" s="315" t="s">
        <v>2260</v>
      </c>
      <c r="G6" s="2271" t="s">
        <v>2261</v>
      </c>
      <c r="H6" s="751"/>
      <c r="I6" s="751"/>
      <c r="J6" s="751"/>
      <c r="K6" s="751"/>
      <c r="L6" s="751"/>
      <c r="M6" s="751"/>
      <c r="N6" s="751"/>
      <c r="O6" s="751"/>
      <c r="P6" s="751"/>
      <c r="Q6" s="751"/>
    </row>
    <row r="7" spans="1:29" ht="24.75" thickBot="1">
      <c r="A7" s="2248"/>
      <c r="B7" s="315" t="s">
        <v>2257</v>
      </c>
      <c r="C7" s="3164" t="s">
        <v>3429</v>
      </c>
      <c r="D7" s="2245"/>
      <c r="E7" s="2272"/>
      <c r="F7" s="2273" t="s">
        <v>2262</v>
      </c>
      <c r="G7" s="2274" t="s">
        <v>2263</v>
      </c>
      <c r="H7" s="751"/>
      <c r="I7" s="751"/>
      <c r="J7" s="751"/>
      <c r="K7" s="751"/>
      <c r="L7" s="751"/>
      <c r="M7" s="751"/>
      <c r="N7" s="751"/>
      <c r="O7" s="751"/>
      <c r="P7" s="751"/>
      <c r="Q7" s="751"/>
    </row>
    <row r="8" spans="1:29" ht="32.450000000000003" customHeight="1">
      <c r="A8" s="2248"/>
      <c r="B8" s="315" t="s">
        <v>2260</v>
      </c>
      <c r="C8" s="3164" t="s">
        <v>3428</v>
      </c>
      <c r="D8" s="2245"/>
      <c r="E8" s="2245"/>
      <c r="F8" s="121"/>
      <c r="G8" s="121"/>
      <c r="H8" s="751"/>
      <c r="I8" s="751"/>
      <c r="J8" s="751"/>
      <c r="K8" s="751"/>
      <c r="L8" s="751"/>
      <c r="M8" s="751"/>
      <c r="N8" s="751"/>
      <c r="O8" s="751"/>
      <c r="P8" s="751"/>
      <c r="Q8" s="751"/>
    </row>
    <row r="9" spans="1:29" ht="36">
      <c r="A9" s="2248"/>
      <c r="B9" s="315" t="s">
        <v>2264</v>
      </c>
      <c r="C9" s="3163" t="s">
        <v>3427</v>
      </c>
      <c r="D9" s="2266"/>
      <c r="E9" s="2245"/>
      <c r="F9" s="121"/>
      <c r="G9" s="121"/>
      <c r="H9" s="751"/>
      <c r="I9" s="751"/>
      <c r="J9" s="751"/>
      <c r="K9" s="751"/>
      <c r="L9" s="751"/>
      <c r="M9" s="751"/>
      <c r="N9" s="751"/>
      <c r="O9" s="751"/>
      <c r="P9" s="751"/>
      <c r="Q9" s="751"/>
    </row>
    <row r="10" spans="1:29" ht="15" thickBot="1">
      <c r="A10" s="2249"/>
      <c r="B10" s="2275" t="s">
        <v>2265</v>
      </c>
      <c r="C10" s="3165" t="s">
        <v>3430</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2282</v>
      </c>
      <c r="B13" s="2279"/>
      <c r="C13" s="2279"/>
      <c r="D13" s="2278"/>
      <c r="E13" s="2279"/>
      <c r="F13" s="2279"/>
      <c r="G13" s="2279"/>
    </row>
    <row r="14" spans="1:29" ht="15" thickBot="1">
      <c r="A14" s="2284"/>
      <c r="B14" s="2284"/>
      <c r="C14" s="2285" t="s">
        <v>2266</v>
      </c>
      <c r="D14" s="2266"/>
      <c r="E14" s="2286"/>
      <c r="F14" s="2286"/>
      <c r="G14" s="2262" t="s">
        <v>2267</v>
      </c>
    </row>
    <row r="15" spans="1:29" ht="25.5">
      <c r="A15" s="2250" t="s">
        <v>2268</v>
      </c>
      <c r="B15" s="2287" t="s">
        <v>2251</v>
      </c>
      <c r="C15" s="2288">
        <f>C3</f>
        <v>0</v>
      </c>
      <c r="D15" s="2266"/>
      <c r="E15" s="2251" t="s">
        <v>2269</v>
      </c>
      <c r="F15" s="2287" t="s">
        <v>2270</v>
      </c>
      <c r="G15" s="2289" t="str">
        <f>G3</f>
        <v>估价对象位于XX开发区，园区建设成熟度XX，产业集聚程度XX</v>
      </c>
    </row>
    <row r="16" spans="1:29" ht="38.25">
      <c r="A16" s="2252"/>
      <c r="B16" s="2290" t="s">
        <v>2253</v>
      </c>
      <c r="C16" s="2291">
        <f>C4</f>
        <v>0</v>
      </c>
      <c r="D16" s="2266"/>
      <c r="E16" s="2253"/>
      <c r="F16" s="2292" t="s">
        <v>2254</v>
      </c>
      <c r="G16" s="2293" t="str">
        <f>G4</f>
        <v>估价对象周边道路状况、公共交通通达情况、停车便捷程度，综合评价交通便捷度较好</v>
      </c>
    </row>
    <row r="17" spans="1:17" ht="25.5">
      <c r="A17" s="2252"/>
      <c r="B17" s="2290" t="s">
        <v>2256</v>
      </c>
      <c r="C17" s="2291" t="str">
        <f>C5</f>
        <v>周边有铸诚大厦、天作国际等较多办公项目，办公集聚程度较好</v>
      </c>
      <c r="D17" s="2245"/>
      <c r="E17" s="2253"/>
      <c r="F17" s="2292" t="s">
        <v>2271</v>
      </c>
      <c r="G17" s="2294"/>
    </row>
    <row r="18" spans="1:17" ht="38.25">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5.5">
      <c r="A19" s="2252"/>
      <c r="B19" s="2292" t="s">
        <v>2272</v>
      </c>
      <c r="C19" s="2294"/>
      <c r="D19" s="2266"/>
      <c r="E19" s="2253"/>
      <c r="F19" s="315" t="s">
        <v>2257</v>
      </c>
      <c r="G19" s="2293" t="str">
        <f>G5</f>
        <v>估价对象所在区域公共配套设施齐备情况</v>
      </c>
    </row>
    <row r="20" spans="1:17" ht="38.25">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5.5">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5"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5"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5" sqref="J3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3919.71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45776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2431</v>
      </c>
      <c r="C5" s="2299">
        <f ca="1">IF(B5=D14,结果表!H102,ROUND(B5*10000/$B$1,0))</f>
        <v>6199</v>
      </c>
      <c r="D5" s="2299" t="e">
        <f ca="1">ROUND(B5*10000/$B$2,0)</f>
        <v>#DIV/0!</v>
      </c>
      <c r="E5" s="2461"/>
      <c r="F5" s="2462"/>
      <c r="G5" s="2462"/>
      <c r="H5" s="2462"/>
      <c r="I5" s="2462"/>
      <c r="J5" s="2462"/>
      <c r="K5" s="2462"/>
    </row>
    <row r="6" spans="1:11" ht="16.5">
      <c r="A6" s="2299" t="s">
        <v>656</v>
      </c>
      <c r="B6" s="2299">
        <f ca="1">SUM(G14:G23)</f>
        <v>2431</v>
      </c>
      <c r="C6" s="2299">
        <f ca="1">IF(B6=G14,结果表!H108,ROUND(B6*10000/$B$1,0))</f>
        <v>6199</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2186</v>
      </c>
      <c r="C8" s="2299" t="str">
        <f ca="1">IF(B8=I14,结果表!H112,ROUND(B8*10000/$B$1,0))</f>
        <v>——</v>
      </c>
      <c r="D8" s="2299" t="e">
        <f ca="1">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3351</v>
      </c>
      <c r="D10" s="2299" t="s">
        <v>3352</v>
      </c>
      <c r="E10" s="3135"/>
      <c r="F10" s="3139" t="s">
        <v>3353</v>
      </c>
      <c r="G10" s="3136"/>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3919.71</v>
      </c>
      <c r="C14" s="2305"/>
      <c r="D14" s="2305">
        <f ca="1">典型户型修正!S22</f>
        <v>2431</v>
      </c>
      <c r="E14" s="2305">
        <f ca="1">ROUND(D14*10000/B14,0)</f>
        <v>6202</v>
      </c>
      <c r="F14" s="2305" t="e">
        <f ca="1">ROUND(D14*10000/C14,0)</f>
        <v>#DIV/0!</v>
      </c>
      <c r="G14" s="2305">
        <f ca="1">D14</f>
        <v>2431</v>
      </c>
      <c r="H14" s="2305"/>
      <c r="I14" s="2305">
        <f ca="1">结果表!P59</f>
        <v>2186</v>
      </c>
      <c r="J14" s="2462">
        <f ca="1">ROUND(I14/B14*10000,0)</f>
        <v>5577</v>
      </c>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0" sqref="F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3489</v>
      </c>
      <c r="D4" s="1626" t="s">
        <v>3414</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5</v>
      </c>
      <c r="D14" s="3323">
        <v>5</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4" t="s">
        <v>2130</v>
      </c>
      <c r="F18" s="3355"/>
      <c r="G18" s="3355"/>
      <c r="H18" s="3355"/>
      <c r="I18" s="3355"/>
      <c r="K18" s="294" t="s">
        <v>1289</v>
      </c>
      <c r="L18" s="294">
        <f>IF(C1="",'数据-汇总表'!E3,SUMIF(项目类型,C1,'数据-汇总表'!E17:E26)+SUMIF(项目类型,C1,'数据-汇总表'!I17:I26))</f>
        <v>3919.71</v>
      </c>
      <c r="M18" s="294">
        <f>IF(C1="",'数据-汇总表'!E3,SUMIF(项目类型,C1,'数据-汇总表'!E17:E26))</f>
        <v>3919.71</v>
      </c>
    </row>
    <row r="19" spans="1:36" ht="15">
      <c r="A19" s="1630" t="s">
        <v>1290</v>
      </c>
      <c r="B19" s="1631" t="s">
        <v>1291</v>
      </c>
      <c r="C19" s="126">
        <f ca="1">SUMIF(INDIRECT("'"&amp;C4&amp;"'"&amp;"!A:A"),结果表!B19,INDIRECT("'"&amp;C4&amp;"'"&amp;"!B:B"))</f>
        <v>2597.2754</v>
      </c>
      <c r="D19" s="127">
        <f ca="1">SUMIF(INDIRECT("'"&amp;D4&amp;"'"&amp;"!A:A"),结果表!B19,INDIRECT("'"&amp;D4&amp;"'"&amp;"!B:B"))</f>
        <v>2263.6261</v>
      </c>
      <c r="E19" s="1630" t="s">
        <v>1292</v>
      </c>
      <c r="F19" s="1631" t="s">
        <v>1291</v>
      </c>
      <c r="G19" s="128">
        <f ca="1">ROUND(C19*$C$18+D19*$D$18,0)</f>
        <v>2430</v>
      </c>
      <c r="H19" s="1632" t="s">
        <v>1293</v>
      </c>
      <c r="I19" s="121"/>
      <c r="K19" s="294" t="s">
        <v>1294</v>
      </c>
      <c r="L19" s="294">
        <f>IF(C1="",'数据-汇总表'!D3,SUMIF(项目类型,C1,'数据-汇总表'!D17:D26)+SUMIF(项目类型,C1,'数据-汇总表'!H17:H27))</f>
        <v>1942.76</v>
      </c>
      <c r="M19" s="294">
        <f>IF(C1="",'数据-汇总表'!D3,SUMIF(项目类型,C1,'数据-汇总表'!D17:D26))</f>
        <v>1942.76</v>
      </c>
    </row>
    <row r="20" spans="1:36" ht="15">
      <c r="A20" s="1633"/>
      <c r="B20" s="43" t="s">
        <v>1295</v>
      </c>
      <c r="C20" s="129">
        <f ca="1">SUMIF(INDIRECT("'"&amp;C4&amp;"'"&amp;"!A:A"),结果表!B20,INDIRECT("'"&amp;C4&amp;"'"&amp;"!B:B"))</f>
        <v>6626</v>
      </c>
      <c r="D20" s="130">
        <f ca="1">SUMIF(INDIRECT("'"&amp;D4&amp;"'"&amp;"!A:A"),结果表!B20,INDIRECT("'"&amp;D4&amp;"'"&amp;"!B:B"))</f>
        <v>5775</v>
      </c>
      <c r="E20" s="1633"/>
      <c r="F20" s="43" t="s">
        <v>1295</v>
      </c>
      <c r="G20" s="131">
        <f ca="1">ROUND(C20*$C$18+D20*$D$18,0)</f>
        <v>6201</v>
      </c>
      <c r="H20" s="760" t="s">
        <v>1296</v>
      </c>
      <c r="I20" s="121"/>
    </row>
    <row r="21" spans="1:36" ht="15" customHeight="1" thickBot="1">
      <c r="A21" s="449"/>
      <c r="B21" s="93" t="s">
        <v>1297</v>
      </c>
      <c r="C21" s="678">
        <f ca="1">ROUND(C19*10000/L19,0)</f>
        <v>13369</v>
      </c>
      <c r="D21" s="679">
        <f ca="1">ROUND(D19*10000/L19,0)</f>
        <v>11652</v>
      </c>
      <c r="E21" s="449"/>
      <c r="F21" s="93" t="s">
        <v>1297</v>
      </c>
      <c r="G21" s="132">
        <f ca="1">ROUND(G19*10000/L19,0)</f>
        <v>12508</v>
      </c>
      <c r="H21" s="1634" t="s">
        <v>1296</v>
      </c>
      <c r="I21" s="121"/>
    </row>
    <row r="22" spans="1:36" ht="15" thickBot="1">
      <c r="A22" s="1564" t="s">
        <v>1298</v>
      </c>
      <c r="B22" s="1635"/>
      <c r="C22" s="1636"/>
      <c r="D22" s="680">
        <f ca="1">IF(C19&lt;D19,D19/C19-1,C19/D19-1)</f>
        <v>0.14739594140569423</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2430</v>
      </c>
      <c r="D32" s="1641" t="s">
        <v>3483</v>
      </c>
      <c r="E32" s="121"/>
      <c r="F32" s="121"/>
      <c r="G32" s="121"/>
      <c r="H32" s="121"/>
      <c r="I32" s="121"/>
    </row>
    <row r="33" spans="1:15" ht="15">
      <c r="A33" s="740" t="s">
        <v>1306</v>
      </c>
      <c r="B33" s="123"/>
      <c r="C33" s="1642" t="s">
        <v>3458</v>
      </c>
      <c r="D33" s="1643"/>
      <c r="E33" s="1644" t="s">
        <v>1307</v>
      </c>
      <c r="F33" s="1645" t="str">
        <f>IF(D32="楼面单价","取值（单价）","取值（总价）")</f>
        <v>取值（总价）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2430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25.5">
      <c r="A48" s="3327" t="s">
        <v>1338</v>
      </c>
      <c r="B48" s="3328"/>
      <c r="C48" s="3328"/>
      <c r="D48" s="12">
        <f ca="1">IF(H48="情况1",0,IF(H48="情况2",D52,IF(H48="情况3",D53,IF(H48="情况4",D54))))</f>
        <v>127</v>
      </c>
      <c r="E48" s="1256" t="str">
        <f>IF(H48="情况4","(销售额-原购置价)×税（费）率","销售额×税（费）率")</f>
        <v>(销售额-原购置价)×税（费）率</v>
      </c>
      <c r="F48" s="2334">
        <f>IF(H48="情况1","免征",'数据-取费表'!B41)</f>
        <v>5.5000000000000007E-2</v>
      </c>
      <c r="G48" s="2335" t="s">
        <v>1339</v>
      </c>
      <c r="H48" s="2336" t="s">
        <v>3459</v>
      </c>
      <c r="I48" s="1668"/>
      <c r="J48" s="2309">
        <v>3</v>
      </c>
      <c r="K48" s="3265" t="s">
        <v>1340</v>
      </c>
      <c r="L48" s="3265"/>
      <c r="M48" s="3268">
        <f ca="1">H101</f>
        <v>2430</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IF(项目基本情况!E8="房地产抵押价值",H107,H109)</f>
        <v>2430</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45"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127</v>
      </c>
      <c r="E52" s="1256" t="s">
        <v>1354</v>
      </c>
      <c r="F52" s="2339">
        <f>'数据-取费表'!B41</f>
        <v>5.5000000000000007E-2</v>
      </c>
      <c r="G52" s="2340"/>
      <c r="H52" s="2330"/>
      <c r="I52" s="1669"/>
      <c r="J52" s="2309">
        <v>1</v>
      </c>
      <c r="K52" s="3290" t="s">
        <v>1355</v>
      </c>
      <c r="L52" s="3290"/>
      <c r="M52" s="2311">
        <f ca="1">D48</f>
        <v>127</v>
      </c>
      <c r="N52" s="2309" t="str">
        <f>E48</f>
        <v>(销售额-原购置价)×税（费）率</v>
      </c>
      <c r="O52" s="2312">
        <f>F48</f>
        <v>5.5000000000000007E-2</v>
      </c>
      <c r="P52" s="684">
        <f ca="1">M52</f>
        <v>127</v>
      </c>
    </row>
    <row r="53" spans="1:35" ht="12" customHeight="1">
      <c r="A53" s="2153" t="s">
        <v>1356</v>
      </c>
      <c r="B53" s="3314" t="s">
        <v>2286</v>
      </c>
      <c r="C53" s="3315"/>
      <c r="D53" s="1024">
        <f ca="1">ROUND(D45*'数据-取费表'!B41/(1+'数据-取费表'!C42),0)</f>
        <v>127</v>
      </c>
      <c r="E53" s="1256" t="s">
        <v>1354</v>
      </c>
      <c r="F53" s="2339">
        <f>'数据-取费表'!B41</f>
        <v>5.5000000000000007E-2</v>
      </c>
      <c r="G53" s="2340"/>
      <c r="H53" s="2330"/>
      <c r="I53" s="1669"/>
      <c r="J53" s="2309">
        <v>2</v>
      </c>
      <c r="K53" s="3290" t="s">
        <v>1357</v>
      </c>
      <c r="L53" s="3290"/>
      <c r="M53" s="2311">
        <f t="shared" ref="M53:O54" ca="1" si="0">D55</f>
        <v>1</v>
      </c>
      <c r="N53" s="2309" t="str">
        <f t="shared" si="0"/>
        <v>销售额×税（费）率</v>
      </c>
      <c r="O53" s="2312">
        <f t="shared" si="0"/>
        <v>5.0000000000000001E-4</v>
      </c>
      <c r="P53" s="684">
        <f ca="1">ROUND(D45*F55,0)</f>
        <v>1</v>
      </c>
    </row>
    <row r="54" spans="1:35" ht="12" customHeight="1">
      <c r="A54" s="2153" t="s">
        <v>1358</v>
      </c>
      <c r="B54" s="3314" t="s">
        <v>2287</v>
      </c>
      <c r="C54" s="3315"/>
      <c r="D54" s="1024">
        <f ca="1">C68</f>
        <v>127</v>
      </c>
      <c r="E54" s="319" t="s">
        <v>1359</v>
      </c>
      <c r="F54" s="2339">
        <f>'数据-取费表'!B41</f>
        <v>5.5000000000000007E-2</v>
      </c>
      <c r="G54" s="2340"/>
      <c r="H54" s="2341"/>
      <c r="I54" s="1669"/>
      <c r="J54" s="2309">
        <v>3</v>
      </c>
      <c r="K54" s="3290" t="s">
        <v>1360</v>
      </c>
      <c r="L54" s="3290"/>
      <c r="M54" s="2311">
        <f t="shared" ca="1" si="0"/>
        <v>1377</v>
      </c>
      <c r="N54" s="2309" t="str">
        <f t="shared" si="0"/>
        <v>增值额×税（费）率</v>
      </c>
      <c r="O54" s="2313" t="str">
        <f t="shared" si="0"/>
        <v>——</v>
      </c>
      <c r="P54" s="684">
        <f ca="1">ROUND(D45/1.05*5%,0)</f>
        <v>116</v>
      </c>
    </row>
    <row r="55" spans="1:35" ht="24" customHeight="1">
      <c r="A55" s="3350" t="s">
        <v>1361</v>
      </c>
      <c r="B55" s="3328"/>
      <c r="C55" s="3328"/>
      <c r="D55" s="12">
        <f ca="1">IF(H55="个人住宅",0,ROUND(D45*I55,0))</f>
        <v>1</v>
      </c>
      <c r="E55" s="1256" t="s">
        <v>1362</v>
      </c>
      <c r="F55" s="2339">
        <f>IF(H55="正常",I55,"免征")</f>
        <v>5.0000000000000001E-4</v>
      </c>
      <c r="G55" s="2340"/>
      <c r="H55" s="2336" t="s">
        <v>3423</v>
      </c>
      <c r="I55" s="157">
        <f>'数据-取费表'!B49</f>
        <v>5.0000000000000001E-4</v>
      </c>
      <c r="J55" s="2309" t="str">
        <f>IF(H59="非个人房产","",4)</f>
        <v/>
      </c>
      <c r="K55" s="3290" t="str">
        <f>IF(H59="非个人房产","——","个人所得税")</f>
        <v>——</v>
      </c>
      <c r="L55" s="3290"/>
      <c r="M55" s="2314" t="str">
        <f>D59</f>
        <v>——</v>
      </c>
      <c r="N55" s="1883" t="str">
        <f>E59</f>
        <v>——</v>
      </c>
      <c r="O55" s="2315" t="str">
        <f>F59</f>
        <v>——</v>
      </c>
      <c r="P55" s="684" t="str">
        <f>M55</f>
        <v>——</v>
      </c>
    </row>
    <row r="56" spans="1:35" ht="24.75">
      <c r="A56" s="3350" t="s">
        <v>1363</v>
      </c>
      <c r="B56" s="3328"/>
      <c r="C56" s="3328"/>
      <c r="D56" s="12">
        <f ca="1">IF(H56="个人住宅",D57,D58)</f>
        <v>1377</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0"/>
      <c r="H57" s="2344"/>
      <c r="I57" s="1670"/>
      <c r="J57" s="3290">
        <f>IF(AND(J55="",J56=""),4,IF(项目基本情况!K6="上海银行",结果表!J56+1,结果表!J55+1))</f>
        <v>4</v>
      </c>
      <c r="K57" s="3290" t="s">
        <v>1367</v>
      </c>
      <c r="L57" s="2316" t="s">
        <v>1368</v>
      </c>
      <c r="M57" s="2317"/>
      <c r="N57" s="2318">
        <f ca="1">SUMIF(M52:M56,"&lt;9e307")</f>
        <v>1505</v>
      </c>
      <c r="O57" s="2319"/>
      <c r="P57" s="3170">
        <f ca="1">P52+P54+P53</f>
        <v>244</v>
      </c>
    </row>
    <row r="58" spans="1:35" ht="24.75">
      <c r="A58" s="2153" t="s">
        <v>1352</v>
      </c>
      <c r="B58" s="3314" t="s">
        <v>1369</v>
      </c>
      <c r="C58" s="3313"/>
      <c r="D58" s="12">
        <f ca="1">IF(H58="转让取得",C81,C97)</f>
        <v>1377</v>
      </c>
      <c r="E58" s="1256" t="s">
        <v>1364</v>
      </c>
      <c r="F58" s="294" t="s">
        <v>28</v>
      </c>
      <c r="G58" s="2340"/>
      <c r="H58" s="2343" t="s">
        <v>3460</v>
      </c>
      <c r="I58" s="1670"/>
      <c r="J58" s="3290"/>
      <c r="K58" s="3290"/>
      <c r="L58" s="2316" t="s">
        <v>1370</v>
      </c>
      <c r="M58" s="2320"/>
      <c r="N58" s="2321" t="str">
        <f ca="1">NUMBERSTRING(INT(N57*10000),2)&amp;"元整"</f>
        <v>壹仟伍佰零伍万元整</v>
      </c>
      <c r="O58" s="2322"/>
    </row>
    <row r="59" spans="1:35" ht="24.75" thickBot="1">
      <c r="A59" s="3294" t="s">
        <v>1371</v>
      </c>
      <c r="B59" s="3295"/>
      <c r="C59" s="3295"/>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3472</v>
      </c>
      <c r="I59" s="2137" t="s">
        <v>2136</v>
      </c>
      <c r="J59" s="3292">
        <f>J57+1</f>
        <v>5</v>
      </c>
      <c r="K59" s="3290" t="s">
        <v>1372</v>
      </c>
      <c r="L59" s="2309" t="s">
        <v>1368</v>
      </c>
      <c r="M59" s="2323"/>
      <c r="N59" s="2324">
        <f ca="1">M49-N57</f>
        <v>925</v>
      </c>
      <c r="O59" s="2325"/>
      <c r="P59" s="3171">
        <f ca="1">M48-P57</f>
        <v>2186</v>
      </c>
    </row>
    <row r="60" spans="1:35" ht="12" customHeight="1">
      <c r="A60" s="1671"/>
      <c r="B60" s="646"/>
      <c r="C60" s="646"/>
      <c r="D60" s="646"/>
      <c r="E60" s="1466"/>
      <c r="F60" s="1670"/>
      <c r="G60" s="1670"/>
      <c r="H60" s="151"/>
      <c r="I60" s="121"/>
      <c r="J60" s="3293"/>
      <c r="K60" s="3290"/>
      <c r="L60" s="2316" t="s">
        <v>1370</v>
      </c>
      <c r="M60" s="2320"/>
      <c r="N60" s="2321" t="str">
        <f ca="1">NUMBERSTRING(INT(N59*10000),2)&amp;"元整"</f>
        <v>玖佰贰拾伍万元整</v>
      </c>
      <c r="O60" s="2322"/>
    </row>
    <row r="61" spans="1:35" ht="13.5" thickBot="1">
      <c r="A61" s="3349" t="s">
        <v>1373</v>
      </c>
      <c r="B61" s="3349"/>
      <c r="C61" s="3349"/>
      <c r="D61" s="3349"/>
      <c r="E61" s="3349"/>
      <c r="F61" s="1670"/>
      <c r="G61" s="1670"/>
      <c r="H61" s="151"/>
      <c r="I61" s="121"/>
      <c r="J61" s="2309">
        <f>J59+1</f>
        <v>6</v>
      </c>
      <c r="K61" s="3290" t="s">
        <v>1374</v>
      </c>
      <c r="L61" s="3290"/>
      <c r="M61" s="2326"/>
      <c r="N61" s="2327">
        <f ca="1">ROUND(N59*10000/'数据-汇总表'!E3,0)</f>
        <v>2360</v>
      </c>
      <c r="O61" s="2328"/>
    </row>
    <row r="62" spans="1:35" ht="12.75">
      <c r="A62" s="3309" t="s">
        <v>1375</v>
      </c>
      <c r="B62" s="3310"/>
      <c r="C62" s="1865"/>
      <c r="D62" s="1865" t="s">
        <v>1376</v>
      </c>
      <c r="E62" s="158" t="s">
        <v>1377</v>
      </c>
      <c r="F62" s="1670"/>
      <c r="G62" s="1670"/>
      <c r="H62" s="151"/>
      <c r="I62" s="121"/>
    </row>
    <row r="63" spans="1:35" ht="12.75">
      <c r="A63" s="165" t="s">
        <v>330</v>
      </c>
      <c r="B63" s="159" t="s">
        <v>1378</v>
      </c>
      <c r="C63" s="2349">
        <f ca="1">ROUND((C64+C65)/(1+'数据-取费表'!C42),0)</f>
        <v>2314</v>
      </c>
      <c r="D63" s="159"/>
      <c r="E63" s="160"/>
      <c r="F63" s="1670"/>
      <c r="G63" s="1670"/>
      <c r="H63" s="151"/>
      <c r="I63" s="121"/>
      <c r="J63" s="3273" t="s">
        <v>1379</v>
      </c>
      <c r="K63" s="1245" t="s">
        <v>1380</v>
      </c>
      <c r="L63" s="1245">
        <f ca="1">IF(M49&gt;10000,M49*0.5%,IF(AND(M49&gt;1000,M49&lt;=10000),M49*1%,IF(AND(M49&gt;100,M49&lt;=1000),M49*3%,IF(AND(M49&gt;10,M49&lt;=100),M49*5%,M49*8%))))</f>
        <v>24.3</v>
      </c>
      <c r="M63" s="294">
        <f ca="1">ROUND(L63,1)</f>
        <v>24.3</v>
      </c>
      <c r="N63" s="2329"/>
      <c r="Z63" s="1623"/>
      <c r="AI63" s="1561"/>
    </row>
    <row r="64" spans="1:35" ht="14.25" customHeight="1">
      <c r="A64" s="161" t="s">
        <v>325</v>
      </c>
      <c r="B64" s="162" t="s">
        <v>1381</v>
      </c>
      <c r="C64" s="2350">
        <f ca="1">D45</f>
        <v>2430</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12.15</v>
      </c>
      <c r="M64" s="294">
        <f t="shared" ref="M64:M65" ca="1" si="1">ROUND(L64,1)</f>
        <v>12.2</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2.4300000000000002</v>
      </c>
      <c r="M65" s="294">
        <f t="shared" ca="1" si="1"/>
        <v>2.4</v>
      </c>
      <c r="N65" s="2330" t="s">
        <v>1383</v>
      </c>
      <c r="Z65" s="1623"/>
      <c r="AI65" s="1561"/>
    </row>
    <row r="66" spans="1:35" ht="14.25" customHeight="1">
      <c r="A66" s="165" t="s">
        <v>327</v>
      </c>
      <c r="B66" s="166" t="s">
        <v>1386</v>
      </c>
      <c r="C66" s="2352">
        <f>'数据-基础表'!B13</f>
        <v>0</v>
      </c>
      <c r="D66" s="166" t="s">
        <v>26</v>
      </c>
      <c r="E66" s="1251" t="s">
        <v>671</v>
      </c>
      <c r="F66" s="1670"/>
      <c r="G66" s="1670"/>
      <c r="H66" s="151"/>
      <c r="I66" s="121"/>
      <c r="J66" s="3273"/>
      <c r="K66" s="1245" t="s">
        <v>1387</v>
      </c>
      <c r="L66" s="1245">
        <f ca="1">M49*0.5%</f>
        <v>12.15</v>
      </c>
      <c r="M66" s="294">
        <f ca="1">IF(L66&gt;0.5,0.5,ROUND(L66,0))</f>
        <v>0.5</v>
      </c>
      <c r="N66" s="2330" t="s">
        <v>1388</v>
      </c>
      <c r="Z66" s="1623"/>
      <c r="AI66" s="1561"/>
    </row>
    <row r="67" spans="1:35" ht="14.25" customHeight="1">
      <c r="A67" s="165" t="s">
        <v>328</v>
      </c>
      <c r="B67" s="166" t="s">
        <v>1389</v>
      </c>
      <c r="C67" s="2353">
        <f ca="1">C63-C66</f>
        <v>2314</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127</v>
      </c>
      <c r="D68" s="2355">
        <f>'数据-取费表'!B41</f>
        <v>5.5000000000000007E-2</v>
      </c>
      <c r="E68" s="170"/>
      <c r="F68" s="1670"/>
      <c r="G68" s="1670"/>
      <c r="H68" s="151"/>
      <c r="I68" s="121"/>
      <c r="J68" s="3273"/>
      <c r="K68" s="1245" t="s">
        <v>1392</v>
      </c>
      <c r="L68" s="1245">
        <f ca="1">IF(M49&gt;10000,M49*0.5%,IF(AND(M49&gt;5000,M49&lt;=10000),M49*1%,IF(AND(M49&gt;1000,M49&lt;=5000),M49*2%,IF(AND(M49&gt;200,M49&lt;=1000),M49*3%,M49*5%))))</f>
        <v>48.6</v>
      </c>
      <c r="M68" s="294">
        <f ca="1">ROUND(L68,1)</f>
        <v>48.6</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90</v>
      </c>
      <c r="N69" s="2331">
        <f ca="1">M69/M49</f>
        <v>3.7037037037037035E-2</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2314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f>C66</f>
        <v>0</v>
      </c>
      <c r="D75" s="162" t="s">
        <v>26</v>
      </c>
      <c r="E75" s="176" t="s">
        <v>1399</v>
      </c>
      <c r="F75" s="2357" t="s">
        <v>3461</v>
      </c>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12</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2302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191.83333333333334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1377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2314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12</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2302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191.83333333333334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1377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成本法 (元)</v>
      </c>
      <c r="D101" s="2371" t="str">
        <f>D4</f>
        <v>收益法 (元)</v>
      </c>
      <c r="E101" s="3269" t="s">
        <v>1431</v>
      </c>
      <c r="F101" s="3270"/>
      <c r="G101" s="1687" t="s">
        <v>1432</v>
      </c>
      <c r="H101" s="2380">
        <f ca="1">H118</f>
        <v>2430</v>
      </c>
      <c r="I101" s="121"/>
    </row>
    <row r="102" spans="1:35" ht="18.75" customHeight="1">
      <c r="A102" s="3301" t="s">
        <v>1433</v>
      </c>
      <c r="B102" s="2369" t="s">
        <v>1432</v>
      </c>
      <c r="C102" s="2370">
        <f ca="1">IF(D32="楼面单价",ROUND(C19,0),C19)</f>
        <v>2597.2754</v>
      </c>
      <c r="D102" s="2371">
        <f ca="1">IF(D32="楼面单价",ROUND(D19,0),D19)</f>
        <v>2263.6261</v>
      </c>
      <c r="E102" s="3269"/>
      <c r="F102" s="3270"/>
      <c r="G102" s="1687" t="s">
        <v>1434</v>
      </c>
      <c r="H102" s="2340">
        <f ca="1">I118</f>
        <v>6199</v>
      </c>
      <c r="I102" s="121"/>
    </row>
    <row r="103" spans="1:35" ht="42.75" customHeight="1">
      <c r="A103" s="3301"/>
      <c r="B103" s="2369" t="s">
        <v>1434</v>
      </c>
      <c r="C103" s="2372">
        <f ca="1">C20</f>
        <v>6626</v>
      </c>
      <c r="D103" s="2373">
        <f ca="1">D20</f>
        <v>5775</v>
      </c>
      <c r="E103" s="3262" t="s">
        <v>1435</v>
      </c>
      <c r="F103" s="3263"/>
      <c r="G103" s="1688" t="s">
        <v>1436</v>
      </c>
      <c r="H103" s="2380">
        <f>IF(D36="正常操作",H104+H105+H106,H105+H106)</f>
        <v>0</v>
      </c>
      <c r="I103" s="121"/>
    </row>
    <row r="104" spans="1:35" ht="18.75" customHeight="1">
      <c r="A104" s="3301" t="s">
        <v>1437</v>
      </c>
      <c r="B104" s="2374" t="s">
        <v>1432</v>
      </c>
      <c r="C104" s="2375">
        <f ca="1">H118</f>
        <v>2430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6199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2430</v>
      </c>
      <c r="I107" s="121"/>
    </row>
    <row r="108" spans="1:35" ht="18.75" customHeight="1">
      <c r="A108" s="121"/>
      <c r="B108" s="121"/>
      <c r="C108" s="121"/>
      <c r="D108" s="121"/>
      <c r="E108" s="3302"/>
      <c r="F108" s="3270"/>
      <c r="G108" s="1687" t="s">
        <v>1434</v>
      </c>
      <c r="H108" s="2340">
        <f ca="1">IF(H107=H101,H102,ROUND(H107*10000/'数据-汇总表'!E3,0))</f>
        <v>6199</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3919.71</v>
      </c>
      <c r="C118" s="2150">
        <f>M19</f>
        <v>1942.76</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2430</v>
      </c>
      <c r="I118" s="2150">
        <f ca="1">ROUND(IF(D32="楼面单价",C32,H118*10000/B118),0)</f>
        <v>6199</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贰仟肆佰叁拾万元整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2430</v>
      </c>
      <c r="E122" s="3279"/>
      <c r="F122" s="3279"/>
      <c r="G122" s="3279"/>
      <c r="H122" s="3279"/>
      <c r="I122" s="3280"/>
      <c r="AA122" s="684"/>
    </row>
    <row r="123" spans="1:27" ht="18.75" customHeight="1">
      <c r="A123" s="3277" t="s">
        <v>1452</v>
      </c>
      <c r="B123" s="3277"/>
      <c r="C123" s="3277"/>
      <c r="D123" s="3283" t="str">
        <f ca="1">NUMBERSTRING(INT(D122*10000),2)&amp;"元整"</f>
        <v>贰仟肆佰叁拾万元整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1028778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2624628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783942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783942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78</v>
      </c>
      <c r="D10" s="795">
        <f ca="1">IF(B1="",'数据-汇总表'!E6,IF(INDIRECT("'数据-取费表'!c"&amp;$G$1)="住宅",INDIRECT("'数据-取费表'!s"&amp;$G$1),INDIRECT("'数据-取费表'!k"&amp;$G$1)+INDIRECT("'数据-取费表'!s"&amp;$G$1)))</f>
        <v>3919.71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78</v>
      </c>
      <c r="D19" s="204">
        <f ca="1">D9+D10</f>
        <v>3919.71</v>
      </c>
      <c r="E19" s="203">
        <f>'数据-取费表'!B31</f>
        <v>200</v>
      </c>
      <c r="F19" s="223"/>
      <c r="G19" s="1714"/>
    </row>
    <row r="20" spans="1:7" s="206" customFormat="1" ht="13.5" customHeight="1">
      <c r="A20" s="247" t="s">
        <v>1493</v>
      </c>
      <c r="B20" s="202" t="s">
        <v>1494</v>
      </c>
      <c r="C20" s="224">
        <f ca="1">ROUND((C5+C19)*F20,0)</f>
        <v>23521</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50092</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49358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5</v>
      </c>
      <c r="D24" s="230"/>
      <c r="E24" s="230"/>
      <c r="F24" s="231"/>
      <c r="G24" s="232" t="s">
        <v>1507</v>
      </c>
    </row>
    <row r="25" spans="1:7" s="206" customFormat="1" ht="24">
      <c r="A25" s="734" t="s">
        <v>1508</v>
      </c>
      <c r="B25" s="207" t="s">
        <v>1509</v>
      </c>
      <c r="C25" s="1042">
        <f ca="1">ROUND(IF('数据-取费表'!B22&lt;=1,C20*F22*'数据-取费表'!B23/2,C20*(POWER((1+F22),'数据-取费表'!B23/2)-1)),0)</f>
        <v>729</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80754</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80754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1027019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1568</v>
      </c>
      <c r="D34" s="209"/>
      <c r="E34" s="212"/>
      <c r="F34" s="249">
        <f ca="1">IF('数据-取费表'!B24=0,1,IF(B1="",'数据-取费表'!N16,INDIRECT("'数据-取费表'!n"&amp;$G$1)))</f>
        <v>1</v>
      </c>
      <c r="G34" s="211" t="s">
        <v>1526</v>
      </c>
    </row>
    <row r="35" spans="1:7" ht="13.5" customHeight="1">
      <c r="A35" s="734" t="s">
        <v>351</v>
      </c>
      <c r="B35" s="207" t="s">
        <v>1527</v>
      </c>
      <c r="C35" s="212">
        <f ca="1">ROUND(C34*F35,0)</f>
        <v>47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78</v>
      </c>
      <c r="D37" s="209">
        <f ca="1">D19</f>
        <v>3919.71</v>
      </c>
      <c r="E37" s="241">
        <f>'数据-取费表'!B35</f>
        <v>200</v>
      </c>
      <c r="F37" s="251"/>
      <c r="G37" s="253" t="s">
        <v>1532</v>
      </c>
    </row>
    <row r="38" spans="1:7" ht="13.5" customHeight="1">
      <c r="A38" s="734" t="s">
        <v>354</v>
      </c>
      <c r="B38" s="207" t="s">
        <v>1533</v>
      </c>
      <c r="C38" s="212">
        <f ca="1">ROUND(C34*F38,0)</f>
        <v>31</v>
      </c>
      <c r="D38" s="212"/>
      <c r="E38" s="212"/>
      <c r="F38" s="251">
        <f>'数据-取费表'!B36</f>
        <v>0.02</v>
      </c>
      <c r="G38" s="211" t="s">
        <v>1528</v>
      </c>
    </row>
    <row r="39" spans="1:7" s="206" customFormat="1" ht="13.5" customHeight="1">
      <c r="A39" s="247" t="s">
        <v>1534</v>
      </c>
      <c r="B39" s="202" t="s">
        <v>1535</v>
      </c>
      <c r="C39" s="224">
        <f ca="1">ROUND(C33*F20,0)</f>
        <v>52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55</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53</v>
      </c>
      <c r="D42" s="230"/>
      <c r="E42" s="230"/>
      <c r="F42" s="231"/>
      <c r="G42" s="3356" t="s">
        <v>1544</v>
      </c>
    </row>
    <row r="43" spans="1:7" ht="13.5" customHeight="1">
      <c r="A43" s="734" t="s">
        <v>347</v>
      </c>
      <c r="B43" s="207" t="s">
        <v>1545</v>
      </c>
      <c r="C43" s="230">
        <f ca="1">ROUND(IF('数据-取费表'!B22&lt;=1,C39*F22*'数据-取费表'!B21/2,C39*(POWER((1+F22),'数据-取费表'!B21/2)-1)),0)</f>
        <v>2</v>
      </c>
      <c r="D43" s="230"/>
      <c r="E43" s="230"/>
      <c r="F43" s="231"/>
      <c r="G43" s="3357"/>
    </row>
    <row r="44" spans="1:7" ht="13.5" customHeight="1">
      <c r="A44" s="734" t="s">
        <v>348</v>
      </c>
      <c r="B44" s="207" t="s">
        <v>1546</v>
      </c>
      <c r="C44" s="230">
        <f ca="1">ROUND(IF('数据-取费表'!B22&lt;=1,C40*F22*'数据-取费表'!B21/2,C40*(POWER((1+F22),'数据-取费表'!B21/2)-1)),4)</f>
        <v>8.9999999999999998E-4</v>
      </c>
      <c r="D44" s="230"/>
      <c r="E44" s="230"/>
      <c r="F44" s="231"/>
      <c r="G44" s="3358"/>
    </row>
    <row r="45" spans="1:7" s="206" customFormat="1" ht="13.5" customHeight="1">
      <c r="A45" s="247" t="s">
        <v>1547</v>
      </c>
      <c r="B45" s="236" t="s">
        <v>1513</v>
      </c>
      <c r="C45" s="237">
        <f ca="1">C46</f>
        <v>178</v>
      </c>
      <c r="D45" s="227">
        <f ca="1">C47</f>
        <v>3.0000000000000001E-3</v>
      </c>
      <c r="E45" s="228" t="s">
        <v>1539</v>
      </c>
      <c r="F45" s="238">
        <f ca="1">F27</f>
        <v>0.1</v>
      </c>
      <c r="G45" s="239" t="s">
        <v>1548</v>
      </c>
    </row>
    <row r="46" spans="1:7" s="206" customFormat="1" ht="13.5" customHeight="1">
      <c r="A46" s="734" t="s">
        <v>346</v>
      </c>
      <c r="B46" s="240" t="s">
        <v>1549</v>
      </c>
      <c r="C46" s="241">
        <f ca="1">ROUND((C33+C39)*F27,0)</f>
        <v>178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2199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1759</v>
      </c>
      <c r="D51" s="224"/>
      <c r="E51" s="224"/>
      <c r="F51" s="256"/>
      <c r="G51" s="226" t="s">
        <v>1560</v>
      </c>
    </row>
    <row r="52" spans="1:7" s="200" customFormat="1" ht="16.5" thickBot="1">
      <c r="A52" s="257" t="s">
        <v>1561</v>
      </c>
      <c r="B52" s="258"/>
      <c r="C52" s="259">
        <f ca="1">C31+C51</f>
        <v>1028778</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44" sqref="D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2597.2754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6626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6398515</v>
      </c>
      <c r="D5" s="203" t="s">
        <v>1469</v>
      </c>
      <c r="E5" s="204" t="s">
        <v>1470</v>
      </c>
      <c r="F5" s="204" t="s">
        <v>1471</v>
      </c>
      <c r="G5" s="205"/>
    </row>
    <row r="6" spans="1:8" s="206" customFormat="1" ht="13.5" customHeight="1">
      <c r="A6" s="732" t="s">
        <v>1472</v>
      </c>
      <c r="B6" s="207" t="s">
        <v>1473</v>
      </c>
      <c r="C6" s="208">
        <f>ROUND(基准地价修正!C33*基准地价修正!D33,0)</f>
        <v>5448397</v>
      </c>
      <c r="D6" s="209"/>
      <c r="E6" s="210"/>
      <c r="F6" s="210"/>
      <c r="G6" s="211"/>
    </row>
    <row r="7" spans="1:8" s="206" customFormat="1" ht="13.5" customHeight="1">
      <c r="A7" s="732" t="s">
        <v>1474</v>
      </c>
      <c r="B7" s="207" t="s">
        <v>1475</v>
      </c>
      <c r="C7" s="212">
        <f>ROUND(C6*F7,0)</f>
        <v>166176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783942</v>
      </c>
      <c r="D8" s="214"/>
      <c r="E8" s="212"/>
      <c r="F8" s="213"/>
      <c r="G8" s="1714" t="s">
        <v>3480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783942</v>
      </c>
      <c r="D10" s="795">
        <f ca="1">IF(B1="",'数据-汇总表'!E6,IF(INDIRECT("'数据-取费表'!c"&amp;$G$1)="住宅",INDIRECT("'数据-取费表'!s"&amp;$G$1),INDIRECT("'数据-取费表'!k"&amp;$G$1)+INDIRECT("'数据-取费表'!s"&amp;$G$1)))</f>
        <v>3919.71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3919.71</v>
      </c>
      <c r="E19" s="203">
        <f>'数据-取费表'!B31</f>
        <v>200</v>
      </c>
      <c r="F19" s="223"/>
      <c r="G19" s="1714" t="s">
        <v>3481</v>
      </c>
    </row>
    <row r="20" spans="1:7" s="206" customFormat="1" ht="13.5" customHeight="1">
      <c r="A20" s="247" t="s">
        <v>1574</v>
      </c>
      <c r="B20" s="202" t="s">
        <v>1575</v>
      </c>
      <c r="C20" s="224">
        <f ca="1">ROUND((C5+C19)*F20,0)</f>
        <v>191955</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408808</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402857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5951</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659047</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659047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8381662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17246724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15678840</v>
      </c>
      <c r="D34" s="209"/>
      <c r="E34" s="212"/>
      <c r="F34" s="249"/>
      <c r="G34" s="211"/>
    </row>
    <row r="35" spans="1:7" ht="13.5" customHeight="1">
      <c r="A35" s="734" t="s">
        <v>351</v>
      </c>
      <c r="B35" s="207" t="s">
        <v>1527</v>
      </c>
      <c r="C35" s="212">
        <f ca="1">ROUND(C34*F35,0)</f>
        <v>470365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783942</v>
      </c>
      <c r="D37" s="209">
        <f ca="1">D19</f>
        <v>3919.71</v>
      </c>
      <c r="E37" s="241">
        <f>'数据-取费表'!B35</f>
        <v>200</v>
      </c>
      <c r="F37" s="251"/>
      <c r="G37" s="253"/>
    </row>
    <row r="38" spans="1:7" ht="13.5" customHeight="1">
      <c r="A38" s="734" t="s">
        <v>354</v>
      </c>
      <c r="B38" s="207" t="s">
        <v>1533</v>
      </c>
      <c r="C38" s="212">
        <f ca="1">ROUND(C34*F38,0)</f>
        <v>313577</v>
      </c>
      <c r="D38" s="212"/>
      <c r="E38" s="212"/>
      <c r="F38" s="251">
        <f>'数据-取费表'!B36</f>
        <v>0.02</v>
      </c>
      <c r="G38" s="211" t="s">
        <v>1528</v>
      </c>
    </row>
    <row r="39" spans="1:7" s="206" customFormat="1" ht="13.5" customHeight="1">
      <c r="A39" s="247" t="s">
        <v>1534</v>
      </c>
      <c r="B39" s="202" t="s">
        <v>1535</v>
      </c>
      <c r="C39" s="224">
        <f ca="1">ROUND(C33*F20,0)</f>
        <v>517402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550687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534648</v>
      </c>
      <c r="D42" s="230"/>
      <c r="E42" s="230"/>
      <c r="F42" s="231"/>
      <c r="G42" s="3356" t="s">
        <v>1591</v>
      </c>
    </row>
    <row r="43" spans="1:7" ht="13.5" customHeight="1">
      <c r="A43" s="734" t="s">
        <v>347</v>
      </c>
      <c r="B43" s="207" t="s">
        <v>1545</v>
      </c>
      <c r="C43" s="230">
        <f ca="1">ROUND(IF('数据-取费表'!B22&lt;=1,C39*F22*'数据-取费表'!B20/2,C39*(POWER((1+F22),'数据-取费表'!B20/2)-1)),0)</f>
        <v>16039</v>
      </c>
      <c r="D43" s="230"/>
      <c r="E43" s="230"/>
      <c r="F43" s="231"/>
      <c r="G43" s="3357"/>
    </row>
    <row r="44" spans="1:7" ht="13.5" customHeight="1">
      <c r="A44" s="734" t="s">
        <v>348</v>
      </c>
      <c r="B44" s="207" t="s">
        <v>1546</v>
      </c>
      <c r="C44" s="230">
        <f ca="1">ROUND(IF('数据-取费表'!B22&lt;=1,C40*F22*'数据-取费表'!B20/2,C40*(POWER((1+F22),'数据-取费表'!B20/2)-1)),4)</f>
        <v>8.9999999999999998E-4</v>
      </c>
      <c r="D44" s="230"/>
      <c r="E44" s="230"/>
      <c r="F44" s="231"/>
      <c r="G44" s="3358"/>
    </row>
    <row r="45" spans="1:7" s="206" customFormat="1" ht="13.5" customHeight="1">
      <c r="A45" s="247" t="s">
        <v>1547</v>
      </c>
      <c r="B45" s="236" t="s">
        <v>1513</v>
      </c>
      <c r="C45" s="237">
        <f ca="1">C46</f>
        <v>1776413</v>
      </c>
      <c r="D45" s="227">
        <f ca="1">C47</f>
        <v>3.0000000000000001E-3</v>
      </c>
      <c r="E45" s="228" t="s">
        <v>1539</v>
      </c>
      <c r="F45" s="238">
        <f ca="1">F27</f>
        <v>0.1</v>
      </c>
      <c r="G45" s="239" t="s">
        <v>1548</v>
      </c>
    </row>
    <row r="46" spans="1:7" s="206" customFormat="1" ht="13.5" customHeight="1">
      <c r="A46" s="734" t="s">
        <v>346</v>
      </c>
      <c r="B46" s="240" t="s">
        <v>1549</v>
      </c>
      <c r="C46" s="241">
        <f ca="1">ROUND((C33+C39)*F27,0)</f>
        <v>1776413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21988865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17591092</v>
      </c>
      <c r="D51" s="224"/>
      <c r="E51" s="224"/>
      <c r="F51" s="256"/>
      <c r="G51" s="226" t="s">
        <v>1560</v>
      </c>
    </row>
    <row r="52" spans="1:7" s="200" customFormat="1" ht="16.5" thickBot="1">
      <c r="A52" s="257" t="s">
        <v>1561</v>
      </c>
      <c r="B52" s="258"/>
      <c r="C52" s="259">
        <f ca="1">C31+C51</f>
        <v>25972754</v>
      </c>
      <c r="D52" s="258"/>
      <c r="E52" s="258"/>
      <c r="F52" s="258"/>
      <c r="G52" s="260"/>
    </row>
    <row r="55" spans="1:7" ht="15">
      <c r="B55" s="262" t="s">
        <v>1562</v>
      </c>
      <c r="C55" s="263"/>
    </row>
    <row r="56" spans="1:7">
      <c r="B56" s="265" t="s">
        <v>802</v>
      </c>
      <c r="C56" s="267">
        <f ca="1">1-C57</f>
        <v>0.32299999999999995</v>
      </c>
    </row>
    <row r="57" spans="1:7">
      <c r="B57" s="265" t="s">
        <v>803</v>
      </c>
      <c r="C57" s="266">
        <f ca="1">ROUND(C51/C52,3)</f>
        <v>0.67700000000000005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8"/>
      <c r="H1" s="2566"/>
      <c r="I1" s="2566"/>
      <c r="J1" s="2566"/>
      <c r="K1" s="2567">
        <f>MATCH(C1,'数据-取费表'!A6:A16,0)+5</f>
        <v>7</v>
      </c>
    </row>
    <row r="2" spans="1:33" ht="18" customHeight="1">
      <c r="A2" s="193" t="s">
        <v>1462</v>
      </c>
      <c r="B2" s="196">
        <f ca="1">C32</f>
        <v>863088</v>
      </c>
      <c r="C2" s="268" t="s">
        <v>1595</v>
      </c>
      <c r="D2" s="268"/>
      <c r="E2" s="2566"/>
      <c r="F2" s="2566"/>
      <c r="G2" s="2566"/>
      <c r="H2" s="2566"/>
      <c r="I2" s="2566"/>
      <c r="J2" s="2566"/>
      <c r="K2" s="2566"/>
    </row>
    <row r="3" spans="1:33" ht="18" customHeight="1" thickBot="1">
      <c r="A3" s="195" t="s">
        <v>1464</v>
      </c>
      <c r="B3" s="196">
        <f ca="1">ROUND(B2*10000/IF(C1="",'数据-汇总表'!E3,INDIRECT("'数据-取费表'!K"&amp;$K$1)),0)</f>
        <v>2201918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3919.71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3919.71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-783864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78</v>
      </c>
      <c r="D20" s="796">
        <f ca="1">IF(C1="",'数据-汇总表'!E6,IF(INDIRECT("'数据-取费表'!c"&amp;$K$1)="住宅",INDIRECT("'数据-取费表'!s"&amp;$K$1),INDIRECT("'数据-取费表'!k"&amp;$K$1)+INDIRECT("'数据-取费表'!s"&amp;$K$1)))</f>
        <v>3919.71</v>
      </c>
      <c r="E20" s="21">
        <f>'数据-取费表'!B28</f>
        <v>200</v>
      </c>
      <c r="F20" s="756"/>
      <c r="G20" s="12"/>
      <c r="H20" s="761"/>
      <c r="I20" s="761"/>
      <c r="J20" s="761"/>
      <c r="K20" s="762"/>
    </row>
    <row r="21" spans="1:33" s="755" customFormat="1" ht="13.5" customHeight="1">
      <c r="A21" s="744" t="s">
        <v>357</v>
      </c>
      <c r="B21" s="765" t="s">
        <v>1628</v>
      </c>
      <c r="C21" s="766">
        <f ca="1">C16+C17+C18</f>
        <v>-783864</v>
      </c>
      <c r="D21" s="767"/>
      <c r="E21" s="273"/>
      <c r="F21" s="273"/>
      <c r="G21" s="123" t="s">
        <v>1629</v>
      </c>
      <c r="H21" s="759"/>
      <c r="I21" s="759"/>
      <c r="J21" s="759"/>
      <c r="K21" s="760"/>
    </row>
    <row r="22" spans="1:33" s="755" customFormat="1" ht="13.5" customHeight="1">
      <c r="A22" s="744" t="s">
        <v>1601</v>
      </c>
      <c r="B22" s="765" t="s">
        <v>1630</v>
      </c>
      <c r="C22" s="766">
        <f ca="1">ROUND(C21*F22,0)</f>
        <v>-23516</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-80738</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-80738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863088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2301</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3452</v>
      </c>
      <c r="H1" s="1621" t="str">
        <f>IF(G1="现房","——","估价对象范围")</f>
        <v>——</v>
      </c>
      <c r="I1" s="1622" t="s">
        <v>3453</v>
      </c>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3418</v>
      </c>
      <c r="D4" s="1626" t="s">
        <v>3414</v>
      </c>
      <c r="E4" s="3338" t="s">
        <v>1267</v>
      </c>
      <c r="F4" s="3339"/>
      <c r="G4" s="3339"/>
      <c r="H4" s="3339"/>
      <c r="I4" s="3340"/>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7</v>
      </c>
      <c r="D14" s="3323">
        <v>3</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SUMIF(INDIRECT("'"&amp;C4&amp;"'"&amp;"!A:A"),结果表1702!B19,INDIRECT("'"&amp;C4&amp;"'"&amp;"!B:B"))</f>
        <v>3291.7725</v>
      </c>
      <c r="D19" s="127">
        <f ca="1">SUMIF(INDIRECT("'"&amp;D4&amp;"'"&amp;"!A:A"),结果表1702!B19,INDIRECT("'"&amp;D4&amp;"'"&amp;"!B:B"))</f>
        <v>2263.6261</v>
      </c>
      <c r="E19" s="1630" t="s">
        <v>1292</v>
      </c>
      <c r="F19" s="1631" t="s">
        <v>1291</v>
      </c>
      <c r="G19" s="128">
        <f ca="1">ROUND(C19*$C$18+D19*$D$18,0)</f>
        <v>2983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8398</v>
      </c>
      <c r="D20" s="130">
        <f ca="1">SUMIF(INDIRECT("'"&amp;D4&amp;"'"&amp;"!A:A"),结果表1702!B20,INDIRECT("'"&amp;D4&amp;"'"&amp;"!B:B"))</f>
        <v>5775</v>
      </c>
      <c r="E20" s="1633"/>
      <c r="F20" s="43" t="s">
        <v>1295</v>
      </c>
      <c r="G20" s="131">
        <f ca="1">ROUND(C20*$C$18+D20*$D$18,0)</f>
        <v>7611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0.45420328030322676</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7611</v>
      </c>
      <c r="D32" s="1641" t="s">
        <v>3457</v>
      </c>
      <c r="E32" s="121"/>
      <c r="F32" s="121"/>
      <c r="G32" s="121"/>
      <c r="H32" s="121"/>
      <c r="I32" s="121"/>
    </row>
    <row r="33" spans="1:15" ht="15">
      <c r="A33" s="740" t="s">
        <v>1306</v>
      </c>
      <c r="B33" s="123"/>
      <c r="C33" s="1642" t="s">
        <v>3458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ROUND(典型户型修正!S25*F45,0)</f>
        <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25.5">
      <c r="A48" s="3327" t="s">
        <v>1338</v>
      </c>
      <c r="B48" s="3328"/>
      <c r="C48" s="3328"/>
      <c r="D48" s="12">
        <f ca="1">IF(H48="情况1",0,IF(H48="情况2",D52,IF(H48="情况3",D53,IF(H48="情况4",D54))))</f>
        <v>0</v>
      </c>
      <c r="E48" s="1256" t="str">
        <f>IF(H48="情况4","(销售额-原购置价)×税（费）率","销售额×税（费）率")</f>
        <v>(销售额-原购置价)×税（费）率</v>
      </c>
      <c r="F48" s="2334">
        <f>IF(H48="情况1","免征",'数据-取费表'!B41)</f>
        <v>5.5000000000000007E-2</v>
      </c>
      <c r="G48" s="2335" t="s">
        <v>1339</v>
      </c>
      <c r="H48" s="2336" t="s">
        <v>3459</v>
      </c>
      <c r="I48" s="1668"/>
      <c r="J48" s="2309">
        <v>3</v>
      </c>
      <c r="K48" s="3265" t="s">
        <v>1340</v>
      </c>
      <c r="L48" s="3265"/>
      <c r="M48" s="3268">
        <f ca="1">D45</f>
        <v>0</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0</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45"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0</v>
      </c>
      <c r="E52" s="1256" t="s">
        <v>1354</v>
      </c>
      <c r="F52" s="2339">
        <f>'数据-取费表'!B41</f>
        <v>5.5000000000000007E-2</v>
      </c>
      <c r="G52" s="2340"/>
      <c r="H52" s="2330"/>
      <c r="I52" s="1669"/>
      <c r="J52" s="2309">
        <v>1</v>
      </c>
      <c r="K52" s="3290" t="s">
        <v>1355</v>
      </c>
      <c r="L52" s="3290"/>
      <c r="M52" s="2311">
        <f ca="1">D48</f>
        <v>0</v>
      </c>
      <c r="N52" s="2309" t="str">
        <f>E48</f>
        <v>(销售额-原购置价)×税（费）率</v>
      </c>
      <c r="O52" s="2312">
        <f>F48</f>
        <v>5.5000000000000007E-2</v>
      </c>
      <c r="P52" s="684">
        <f ca="1">M52</f>
        <v>0</v>
      </c>
    </row>
    <row r="53" spans="1:35" ht="12" customHeight="1">
      <c r="A53" s="2153" t="s">
        <v>1356</v>
      </c>
      <c r="B53" s="3314" t="s">
        <v>2286</v>
      </c>
      <c r="C53" s="3315"/>
      <c r="D53" s="1024">
        <f ca="1">ROUND(D45*'数据-取费表'!B41/(1+'数据-取费表'!C42),0)</f>
        <v>0</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v>
      </c>
    </row>
    <row r="54" spans="1:35" ht="12" customHeight="1">
      <c r="A54" s="2153" t="s">
        <v>1358</v>
      </c>
      <c r="B54" s="3314" t="s">
        <v>2287</v>
      </c>
      <c r="C54" s="3315"/>
      <c r="D54" s="1024">
        <f ca="1">C68</f>
        <v>0</v>
      </c>
      <c r="E54" s="319" t="s">
        <v>1359</v>
      </c>
      <c r="F54" s="2339">
        <f>'数据-取费表'!B41</f>
        <v>5.5000000000000007E-2</v>
      </c>
      <c r="G54" s="2340"/>
      <c r="H54" s="2341"/>
      <c r="I54" s="1669"/>
      <c r="J54" s="2309">
        <v>3</v>
      </c>
      <c r="K54" s="3290" t="s">
        <v>1360</v>
      </c>
      <c r="L54" s="3290"/>
      <c r="M54" s="2311">
        <f t="shared" ca="1" si="0"/>
        <v>0</v>
      </c>
      <c r="N54" s="2309" t="str">
        <f t="shared" si="0"/>
        <v>增值额×税（费）率</v>
      </c>
      <c r="O54" s="2313" t="str">
        <f t="shared" si="0"/>
        <v>——</v>
      </c>
      <c r="P54" s="684">
        <f ca="1">ROUND(D45/1.05*1%,2)</f>
        <v>0</v>
      </c>
    </row>
    <row r="55" spans="1:35" ht="24" customHeight="1">
      <c r="A55" s="3350" t="s">
        <v>1361</v>
      </c>
      <c r="B55" s="3328"/>
      <c r="C55" s="3328"/>
      <c r="D55" s="12">
        <f ca="1">IF(H55="个人住宅",0,ROUND(D45*I55,0))</f>
        <v>0</v>
      </c>
      <c r="E55" s="1256" t="s">
        <v>1362</v>
      </c>
      <c r="F55" s="2339">
        <f>IF(H55="正常",I55,"免征")</f>
        <v>5.0000000000000001E-4</v>
      </c>
      <c r="G55" s="2340"/>
      <c r="H55" s="2336" t="s">
        <v>3423</v>
      </c>
      <c r="I55" s="157">
        <f>'数据-取费表'!B49</f>
        <v>5.0000000000000001E-4</v>
      </c>
      <c r="J55" s="2309">
        <f>IF(H59="非个人房产","",4)</f>
        <v>4</v>
      </c>
      <c r="K55" s="3290" t="str">
        <f>IF(H59="非个人房产","——","个人所得税")</f>
        <v>个人所得税</v>
      </c>
      <c r="L55" s="3290"/>
      <c r="M55" s="2314">
        <f ca="1">D59</f>
        <v>0</v>
      </c>
      <c r="N55" s="1883" t="str">
        <f>E59</f>
        <v>差额计税</v>
      </c>
      <c r="O55" s="2315">
        <f>F59</f>
        <v>0.2</v>
      </c>
      <c r="P55" s="684">
        <f ca="1">M55</f>
        <v>0</v>
      </c>
    </row>
    <row r="56" spans="1:35" ht="24.75">
      <c r="A56" s="3350" t="s">
        <v>1363</v>
      </c>
      <c r="B56" s="3328"/>
      <c r="C56" s="3328"/>
      <c r="D56" s="12">
        <f ca="1">IF(H56="个人住宅",D57,D58)</f>
        <v>0</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0"/>
      <c r="H57" s="2344"/>
      <c r="I57" s="1670"/>
      <c r="J57" s="3290">
        <f>IF(AND(J55="",J56=""),4,IF(项目基本情况!K6="上海银行",结果表1702!J56+1,结果表1702!J55+1))</f>
        <v>5</v>
      </c>
      <c r="K57" s="3290" t="s">
        <v>1367</v>
      </c>
      <c r="L57" s="2316" t="s">
        <v>1368</v>
      </c>
      <c r="M57" s="2317"/>
      <c r="N57" s="2318">
        <f ca="1">SUMIF(M52:M56,"&lt;9e307")</f>
        <v>0</v>
      </c>
      <c r="O57" s="2319"/>
      <c r="P57" s="3170">
        <f ca="1">P52+P54+P55+P53</f>
        <v>0</v>
      </c>
    </row>
    <row r="58" spans="1:35" ht="24.75">
      <c r="A58" s="2153" t="s">
        <v>1352</v>
      </c>
      <c r="B58" s="3314" t="s">
        <v>1369</v>
      </c>
      <c r="C58" s="3313"/>
      <c r="D58" s="12">
        <f ca="1">IF(H58="转让取得",C81,C97)</f>
        <v>0</v>
      </c>
      <c r="E58" s="1256" t="s">
        <v>1364</v>
      </c>
      <c r="F58" s="294" t="s">
        <v>28</v>
      </c>
      <c r="G58" s="2340"/>
      <c r="H58" s="2343" t="s">
        <v>3460</v>
      </c>
      <c r="I58" s="1670"/>
      <c r="J58" s="3290"/>
      <c r="K58" s="3290"/>
      <c r="L58" s="2316" t="s">
        <v>1370</v>
      </c>
      <c r="M58" s="2320"/>
      <c r="N58" s="2321" t="str">
        <f ca="1">NUMBERSTRING(INT(N57*10000),2)&amp;"元整"</f>
        <v>零元整</v>
      </c>
      <c r="O58" s="2322"/>
    </row>
    <row r="59" spans="1:35" ht="24.75" thickBot="1">
      <c r="A59" s="3294" t="s">
        <v>1371</v>
      </c>
      <c r="B59" s="3295"/>
      <c r="C59" s="3295"/>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3463</v>
      </c>
      <c r="I59" s="2137" t="s">
        <v>2136</v>
      </c>
      <c r="J59" s="3292">
        <f>J57+1</f>
        <v>6</v>
      </c>
      <c r="K59" s="3290" t="s">
        <v>1372</v>
      </c>
      <c r="L59" s="2309" t="s">
        <v>1368</v>
      </c>
      <c r="M59" s="2323"/>
      <c r="N59" s="2324">
        <f ca="1">M49-N57</f>
        <v>0</v>
      </c>
      <c r="O59" s="2325"/>
      <c r="P59" s="3171">
        <f ca="1">D45-P57</f>
        <v>0</v>
      </c>
    </row>
    <row r="60" spans="1:35" ht="12" customHeight="1">
      <c r="A60" s="1671"/>
      <c r="B60" s="646"/>
      <c r="C60" s="646"/>
      <c r="D60" s="646"/>
      <c r="E60" s="1466"/>
      <c r="F60" s="1670"/>
      <c r="G60" s="1670"/>
      <c r="H60" s="151"/>
      <c r="I60" s="121"/>
      <c r="J60" s="3293"/>
      <c r="K60" s="3290"/>
      <c r="L60" s="2316" t="s">
        <v>1370</v>
      </c>
      <c r="M60" s="2320"/>
      <c r="N60" s="2321" t="str">
        <f ca="1">NUMBERSTRING(INT(N59*10000),2)&amp;"元整"</f>
        <v>零元整</v>
      </c>
      <c r="O60" s="2322"/>
    </row>
    <row r="61" spans="1:35" ht="13.5" thickBot="1">
      <c r="A61" s="3349" t="s">
        <v>1373</v>
      </c>
      <c r="B61" s="3349"/>
      <c r="C61" s="3349"/>
      <c r="D61" s="3349"/>
      <c r="E61" s="3349"/>
      <c r="F61" s="1670"/>
      <c r="G61" s="1670"/>
      <c r="H61" s="151"/>
      <c r="I61" s="121"/>
      <c r="J61" s="2309">
        <f>J59+1</f>
        <v>7</v>
      </c>
      <c r="K61" s="3290" t="s">
        <v>1374</v>
      </c>
      <c r="L61" s="3290"/>
      <c r="M61" s="2326"/>
      <c r="N61" s="2327">
        <f ca="1">ROUND(N59*10000/'数据-汇总表'!E3,0)</f>
        <v>0</v>
      </c>
      <c r="O61" s="2328"/>
    </row>
    <row r="62" spans="1:35" ht="12.75">
      <c r="A62" s="3309" t="s">
        <v>1375</v>
      </c>
      <c r="B62" s="3310"/>
      <c r="C62" s="1865"/>
      <c r="D62" s="1865" t="s">
        <v>1376</v>
      </c>
      <c r="E62" s="158" t="s">
        <v>1377</v>
      </c>
      <c r="F62" s="1670"/>
      <c r="G62" s="1670"/>
      <c r="H62" s="151"/>
      <c r="I62" s="121"/>
    </row>
    <row r="63" spans="1:35" ht="12.75">
      <c r="A63" s="165" t="s">
        <v>330</v>
      </c>
      <c r="B63" s="159" t="s">
        <v>1378</v>
      </c>
      <c r="C63" s="2349">
        <f ca="1">ROUND((C64+C65)/(1+'数据-取费表'!C42),0)</f>
        <v>0</v>
      </c>
      <c r="D63" s="159"/>
      <c r="E63" s="160"/>
      <c r="F63" s="1670"/>
      <c r="G63" s="1670"/>
      <c r="H63" s="151"/>
      <c r="I63" s="121"/>
      <c r="J63" s="3273"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27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f>'数据-基础表'!B14</f>
        <v>0</v>
      </c>
      <c r="D66" s="166" t="s">
        <v>26</v>
      </c>
      <c r="E66" s="1251" t="s">
        <v>671</v>
      </c>
      <c r="F66" s="1670"/>
      <c r="G66" s="1670"/>
      <c r="H66" s="151"/>
      <c r="I66" s="121"/>
      <c r="J66" s="3273"/>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27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5.5000000000000007E-2</v>
      </c>
      <c r="E68" s="170"/>
      <c r="F68" s="1670"/>
      <c r="G68" s="1670"/>
      <c r="H68" s="151"/>
      <c r="I68" s="121"/>
      <c r="J68" s="3273"/>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0</v>
      </c>
      <c r="N69" s="2331" t="e">
        <f ca="1">M69/M49</f>
        <v>#DIV/0!</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f>C66</f>
        <v>0</v>
      </c>
      <c r="D75" s="162" t="s">
        <v>26</v>
      </c>
      <c r="E75" s="176" t="s">
        <v>1399</v>
      </c>
      <c r="F75" s="2357" t="s">
        <v>3461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0</v>
      </c>
      <c r="I101" s="121"/>
    </row>
    <row r="102" spans="1:35" ht="18.75" customHeight="1">
      <c r="A102" s="3301" t="s">
        <v>1433</v>
      </c>
      <c r="B102" s="2369" t="s">
        <v>1432</v>
      </c>
      <c r="C102" s="2370">
        <f ca="1">IF(D32="楼面单价",ROUND(C19,0),C19)</f>
        <v>3292</v>
      </c>
      <c r="D102" s="2371">
        <f ca="1">IF(D32="楼面单价",ROUND(D19,0),D19)</f>
        <v>2264</v>
      </c>
      <c r="E102" s="3269"/>
      <c r="F102" s="3270"/>
      <c r="G102" s="1687" t="s">
        <v>1434</v>
      </c>
      <c r="H102" s="2340">
        <f ca="1">I118</f>
        <v>7611</v>
      </c>
      <c r="I102" s="121"/>
    </row>
    <row r="103" spans="1:35" ht="42.75" customHeight="1">
      <c r="A103" s="3301"/>
      <c r="B103" s="2369" t="s">
        <v>1434</v>
      </c>
      <c r="C103" s="2372">
        <f ca="1">C20</f>
        <v>8398</v>
      </c>
      <c r="D103" s="2373">
        <f ca="1">D20</f>
        <v>5775</v>
      </c>
      <c r="E103" s="3262" t="s">
        <v>1435</v>
      </c>
      <c r="F103" s="3263"/>
      <c r="G103" s="1688" t="s">
        <v>1436</v>
      </c>
      <c r="H103" s="2380">
        <f>IF(D36="正常操作",H104+H105+H106,H105+H106)</f>
        <v>0</v>
      </c>
      <c r="I103" s="121"/>
    </row>
    <row r="104" spans="1:35" ht="18.75" customHeight="1">
      <c r="A104" s="3301"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7611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0</v>
      </c>
      <c r="I107" s="121"/>
    </row>
    <row r="108" spans="1:35" ht="18.75" customHeight="1">
      <c r="A108" s="121"/>
      <c r="B108" s="121"/>
      <c r="C108" s="121"/>
      <c r="D108" s="121"/>
      <c r="E108" s="3302"/>
      <c r="F108" s="3270"/>
      <c r="G108" s="1687" t="s">
        <v>1434</v>
      </c>
      <c r="H108" s="2340">
        <f ca="1">IF(H107=H101,H102,ROUND(H107*10000/'数据-汇总表'!E3,0))</f>
        <v>7611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7611</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零元整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0</v>
      </c>
      <c r="E122" s="3279"/>
      <c r="F122" s="3279"/>
      <c r="G122" s="3279"/>
      <c r="H122" s="3279"/>
      <c r="I122" s="3280"/>
      <c r="AA122" s="684"/>
    </row>
    <row r="123" spans="1:27" ht="18.75" customHeight="1">
      <c r="A123" s="3277" t="s">
        <v>1452</v>
      </c>
      <c r="B123" s="3277"/>
      <c r="C123" s="3277"/>
      <c r="D123" s="3283" t="str">
        <f ca="1">NUMBERSTRING(INT(D122*10000),2)&amp;"元整"</f>
        <v>零元整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3452</v>
      </c>
      <c r="H1" s="1621" t="str">
        <f>IF(G1="现房","——","估价对象范围")</f>
        <v>——</v>
      </c>
      <c r="I1" s="1622" t="s">
        <v>3453</v>
      </c>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3418</v>
      </c>
      <c r="D4" s="1626" t="s">
        <v>3414</v>
      </c>
      <c r="E4" s="3338" t="s">
        <v>1267</v>
      </c>
      <c r="F4" s="3339"/>
      <c r="G4" s="3339"/>
      <c r="H4" s="3339"/>
      <c r="I4" s="3340"/>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7</v>
      </c>
      <c r="D14" s="3323">
        <v>3</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SUMIF(INDIRECT("'"&amp;C4&amp;"'"&amp;"!A:A"),结果表1703!B19,INDIRECT("'"&amp;C4&amp;"'"&amp;"!B:B"))</f>
        <v>3291.7725</v>
      </c>
      <c r="D19" s="127">
        <f ca="1">SUMIF(INDIRECT("'"&amp;D4&amp;"'"&amp;"!A:A"),结果表1703!B19,INDIRECT("'"&amp;D4&amp;"'"&amp;"!B:B"))</f>
        <v>2263.6261</v>
      </c>
      <c r="E19" s="1630" t="s">
        <v>1292</v>
      </c>
      <c r="F19" s="1631" t="s">
        <v>1291</v>
      </c>
      <c r="G19" s="128">
        <f ca="1">ROUND(C19*$C$18+D19*$D$18,0)</f>
        <v>2983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8398</v>
      </c>
      <c r="D20" s="130">
        <f ca="1">SUMIF(INDIRECT("'"&amp;D4&amp;"'"&amp;"!A:A"),结果表1703!B20,INDIRECT("'"&amp;D4&amp;"'"&amp;"!B:B"))</f>
        <v>5775</v>
      </c>
      <c r="E20" s="1633"/>
      <c r="F20" s="43" t="s">
        <v>1295</v>
      </c>
      <c r="G20" s="131">
        <f ca="1">ROUND(C20*$C$18+D20*$D$18,0)</f>
        <v>7611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0.45420328030322676</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7611</v>
      </c>
      <c r="D32" s="1641" t="s">
        <v>3457</v>
      </c>
      <c r="E32" s="121"/>
      <c r="F32" s="121"/>
      <c r="G32" s="121"/>
      <c r="H32" s="121"/>
      <c r="I32" s="121"/>
    </row>
    <row r="33" spans="1:15" ht="15">
      <c r="A33" s="740" t="s">
        <v>1306</v>
      </c>
      <c r="B33" s="123"/>
      <c r="C33" s="1642" t="s">
        <v>3458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ROUND(典型户型修正!S26*F45,0)</f>
        <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45776</v>
      </c>
      <c r="N47" s="3267"/>
      <c r="O47" s="3267"/>
    </row>
    <row r="48" spans="1:15" ht="25.5">
      <c r="A48" s="3327" t="s">
        <v>1338</v>
      </c>
      <c r="B48" s="3328"/>
      <c r="C48" s="3328"/>
      <c r="D48" s="12">
        <f ca="1">IF(H48="情况1",0,IF(H48="情况2",D52,IF(H48="情况3",D53,IF(H48="情况4",D54))))</f>
        <v>0</v>
      </c>
      <c r="E48" s="1256" t="str">
        <f>IF(H48="情况4","(销售额-原购置价)×税（费）率","销售额×税（费）率")</f>
        <v>(销售额-原购置价)×税（费）率</v>
      </c>
      <c r="F48" s="2334">
        <f>IF(H48="情况1","免征",'数据-取费表'!B41)</f>
        <v>5.5000000000000007E-2</v>
      </c>
      <c r="G48" s="2335" t="s">
        <v>1339</v>
      </c>
      <c r="H48" s="2336" t="s">
        <v>3459</v>
      </c>
      <c r="I48" s="1668"/>
      <c r="J48" s="2309">
        <v>3</v>
      </c>
      <c r="K48" s="3265" t="s">
        <v>1340</v>
      </c>
      <c r="L48" s="3265"/>
      <c r="M48" s="3268">
        <f ca="1">D45</f>
        <v>0</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0</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45"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0</v>
      </c>
      <c r="E52" s="1256" t="s">
        <v>1354</v>
      </c>
      <c r="F52" s="2339">
        <f>'数据-取费表'!B41</f>
        <v>5.5000000000000007E-2</v>
      </c>
      <c r="G52" s="2340"/>
      <c r="H52" s="2330"/>
      <c r="I52" s="1669"/>
      <c r="J52" s="2309">
        <v>1</v>
      </c>
      <c r="K52" s="3290" t="s">
        <v>1355</v>
      </c>
      <c r="L52" s="3290"/>
      <c r="M52" s="2311">
        <f ca="1">D48</f>
        <v>0</v>
      </c>
      <c r="N52" s="2309" t="str">
        <f>E48</f>
        <v>(销售额-原购置价)×税（费）率</v>
      </c>
      <c r="O52" s="2312">
        <f>F48</f>
        <v>5.5000000000000007E-2</v>
      </c>
      <c r="P52" s="684">
        <f ca="1">M52</f>
        <v>0</v>
      </c>
    </row>
    <row r="53" spans="1:35" ht="12" customHeight="1">
      <c r="A53" s="2153" t="s">
        <v>1356</v>
      </c>
      <c r="B53" s="3314" t="s">
        <v>2286</v>
      </c>
      <c r="C53" s="3315"/>
      <c r="D53" s="1024">
        <f ca="1">ROUND(D45*'数据-取费表'!B41/(1+'数据-取费表'!C42),0)</f>
        <v>0</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v>
      </c>
    </row>
    <row r="54" spans="1:35" ht="12" customHeight="1">
      <c r="A54" s="2153" t="s">
        <v>1358</v>
      </c>
      <c r="B54" s="3314" t="s">
        <v>2287</v>
      </c>
      <c r="C54" s="3315"/>
      <c r="D54" s="1024">
        <f ca="1">C68</f>
        <v>0</v>
      </c>
      <c r="E54" s="319" t="s">
        <v>1359</v>
      </c>
      <c r="F54" s="2339">
        <f>'数据-取费表'!B41</f>
        <v>5.5000000000000007E-2</v>
      </c>
      <c r="G54" s="2340"/>
      <c r="H54" s="2341"/>
      <c r="I54" s="1669"/>
      <c r="J54" s="2309">
        <v>3</v>
      </c>
      <c r="K54" s="3290" t="s">
        <v>1360</v>
      </c>
      <c r="L54" s="3290"/>
      <c r="M54" s="2311">
        <f t="shared" ca="1" si="0"/>
        <v>0</v>
      </c>
      <c r="N54" s="2309" t="str">
        <f t="shared" si="0"/>
        <v>增值额×税（费）率</v>
      </c>
      <c r="O54" s="2313" t="str">
        <f t="shared" si="0"/>
        <v>——</v>
      </c>
      <c r="P54" s="684">
        <f ca="1">ROUND(D45/1.05*1%,2)</f>
        <v>0</v>
      </c>
    </row>
    <row r="55" spans="1:35" ht="24" customHeight="1">
      <c r="A55" s="3350" t="s">
        <v>1361</v>
      </c>
      <c r="B55" s="3328"/>
      <c r="C55" s="3328"/>
      <c r="D55" s="12">
        <f ca="1">IF(H55="个人住宅",0,ROUND(D45*I55,0))</f>
        <v>0</v>
      </c>
      <c r="E55" s="1256" t="s">
        <v>1362</v>
      </c>
      <c r="F55" s="2339">
        <f>IF(H55="正常",I55,"免征")</f>
        <v>5.0000000000000001E-4</v>
      </c>
      <c r="G55" s="2340"/>
      <c r="H55" s="2336" t="s">
        <v>3423</v>
      </c>
      <c r="I55" s="157">
        <f>'数据-取费表'!B49</f>
        <v>5.0000000000000001E-4</v>
      </c>
      <c r="J55" s="2309">
        <f>IF(H59="非个人房产","",4)</f>
        <v>4</v>
      </c>
      <c r="K55" s="3290" t="str">
        <f>IF(H59="非个人房产","——","个人所得税")</f>
        <v>个人所得税</v>
      </c>
      <c r="L55" s="3290"/>
      <c r="M55" s="2314">
        <f ca="1">D59</f>
        <v>0</v>
      </c>
      <c r="N55" s="1883" t="str">
        <f>E59</f>
        <v>差额计税</v>
      </c>
      <c r="O55" s="2315">
        <f>F59</f>
        <v>0.2</v>
      </c>
      <c r="P55" s="684">
        <f ca="1">M55</f>
        <v>0</v>
      </c>
    </row>
    <row r="56" spans="1:35" ht="24.75">
      <c r="A56" s="3350" t="s">
        <v>1363</v>
      </c>
      <c r="B56" s="3328"/>
      <c r="C56" s="3328"/>
      <c r="D56" s="12">
        <f ca="1">IF(H56="个人住宅",D57,D58)</f>
        <v>0</v>
      </c>
      <c r="E56" s="1256" t="s">
        <v>1364</v>
      </c>
      <c r="F56" s="2339" t="str">
        <f>IF(H56="正常",F58,"免征")</f>
        <v>——</v>
      </c>
      <c r="G56" s="2342" t="s">
        <v>1365</v>
      </c>
      <c r="H56" s="2343" t="s">
        <v>3423</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0"/>
      <c r="H57" s="2344"/>
      <c r="I57" s="1670"/>
      <c r="J57" s="3290">
        <f>IF(AND(J55="",J56=""),4,IF(项目基本情况!K6="上海银行",结果表1703!J56+1,结果表1703!J55+1))</f>
        <v>5</v>
      </c>
      <c r="K57" s="3290" t="s">
        <v>1367</v>
      </c>
      <c r="L57" s="2316" t="s">
        <v>1368</v>
      </c>
      <c r="M57" s="2317"/>
      <c r="N57" s="2318">
        <f ca="1">SUMIF(M52:M56,"&lt;9e307")</f>
        <v>0</v>
      </c>
      <c r="O57" s="2319"/>
      <c r="P57" s="3170">
        <f ca="1">P52+P54+P55+P53</f>
        <v>0</v>
      </c>
    </row>
    <row r="58" spans="1:35" ht="24.75">
      <c r="A58" s="2153" t="s">
        <v>1352</v>
      </c>
      <c r="B58" s="3314" t="s">
        <v>1369</v>
      </c>
      <c r="C58" s="3313"/>
      <c r="D58" s="12">
        <f ca="1">IF(H58="转让取得",C81,C97)</f>
        <v>0</v>
      </c>
      <c r="E58" s="1256" t="s">
        <v>1364</v>
      </c>
      <c r="F58" s="294" t="s">
        <v>28</v>
      </c>
      <c r="G58" s="2340"/>
      <c r="H58" s="2343" t="s">
        <v>3460</v>
      </c>
      <c r="I58" s="1670"/>
      <c r="J58" s="3290"/>
      <c r="K58" s="3290"/>
      <c r="L58" s="2316" t="s">
        <v>1370</v>
      </c>
      <c r="M58" s="2320"/>
      <c r="N58" s="2321" t="str">
        <f ca="1">NUMBERSTRING(INT(N57*10000),2)&amp;"元整"</f>
        <v>零元整</v>
      </c>
      <c r="O58" s="2322"/>
    </row>
    <row r="59" spans="1:35" ht="24.75" thickBot="1">
      <c r="A59" s="3294" t="s">
        <v>1371</v>
      </c>
      <c r="B59" s="3295"/>
      <c r="C59" s="3295"/>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3463</v>
      </c>
      <c r="I59" s="2137" t="s">
        <v>2136</v>
      </c>
      <c r="J59" s="3292">
        <f>J57+1</f>
        <v>6</v>
      </c>
      <c r="K59" s="3290" t="s">
        <v>1372</v>
      </c>
      <c r="L59" s="2309" t="s">
        <v>1368</v>
      </c>
      <c r="M59" s="2323"/>
      <c r="N59" s="2324">
        <f ca="1">M49-N57</f>
        <v>0</v>
      </c>
      <c r="O59" s="2325"/>
      <c r="P59" s="3171">
        <f ca="1">D45-P57</f>
        <v>0</v>
      </c>
    </row>
    <row r="60" spans="1:35" ht="12" customHeight="1">
      <c r="A60" s="1671"/>
      <c r="B60" s="646"/>
      <c r="C60" s="646"/>
      <c r="D60" s="646"/>
      <c r="E60" s="1466"/>
      <c r="F60" s="1670"/>
      <c r="G60" s="1670"/>
      <c r="H60" s="151"/>
      <c r="I60" s="121"/>
      <c r="J60" s="3293"/>
      <c r="K60" s="3290"/>
      <c r="L60" s="2316" t="s">
        <v>1370</v>
      </c>
      <c r="M60" s="2320"/>
      <c r="N60" s="2321" t="str">
        <f ca="1">NUMBERSTRING(INT(N59*10000),2)&amp;"元整"</f>
        <v>零元整</v>
      </c>
      <c r="O60" s="2322"/>
    </row>
    <row r="61" spans="1:35" ht="13.5" thickBot="1">
      <c r="A61" s="3349" t="s">
        <v>1373</v>
      </c>
      <c r="B61" s="3349"/>
      <c r="C61" s="3349"/>
      <c r="D61" s="3349"/>
      <c r="E61" s="3349"/>
      <c r="F61" s="1670"/>
      <c r="G61" s="1670"/>
      <c r="H61" s="151"/>
      <c r="I61" s="121"/>
      <c r="J61" s="2309">
        <f>J59+1</f>
        <v>7</v>
      </c>
      <c r="K61" s="3290" t="s">
        <v>1374</v>
      </c>
      <c r="L61" s="3290"/>
      <c r="M61" s="2326"/>
      <c r="N61" s="2327">
        <f ca="1">ROUND(N59*10000/'数据-汇总表'!E3,0)</f>
        <v>0</v>
      </c>
      <c r="O61" s="2328"/>
    </row>
    <row r="62" spans="1:35" ht="12.75">
      <c r="A62" s="3309" t="s">
        <v>1375</v>
      </c>
      <c r="B62" s="3310"/>
      <c r="C62" s="1865"/>
      <c r="D62" s="1865" t="s">
        <v>1376</v>
      </c>
      <c r="E62" s="158" t="s">
        <v>1377</v>
      </c>
      <c r="F62" s="1670"/>
      <c r="G62" s="1670"/>
      <c r="H62" s="151"/>
      <c r="I62" s="121"/>
    </row>
    <row r="63" spans="1:35" ht="12.75">
      <c r="A63" s="165" t="s">
        <v>330</v>
      </c>
      <c r="B63" s="159" t="s">
        <v>1378</v>
      </c>
      <c r="C63" s="2349">
        <f ca="1">ROUND((C64+C65)/(1+'数据-取费表'!C42),0)</f>
        <v>0</v>
      </c>
      <c r="D63" s="159"/>
      <c r="E63" s="160"/>
      <c r="F63" s="1670"/>
      <c r="G63" s="1670"/>
      <c r="H63" s="151"/>
      <c r="I63" s="121"/>
      <c r="J63" s="3273"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27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f>'数据-基础表'!B15</f>
        <v>0</v>
      </c>
      <c r="D66" s="166" t="s">
        <v>26</v>
      </c>
      <c r="E66" s="1251" t="s">
        <v>671</v>
      </c>
      <c r="F66" s="1670"/>
      <c r="G66" s="1670"/>
      <c r="H66" s="151"/>
      <c r="I66" s="121"/>
      <c r="J66" s="3273"/>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27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5.5000000000000007E-2</v>
      </c>
      <c r="E68" s="170"/>
      <c r="F68" s="1670"/>
      <c r="G68" s="1670"/>
      <c r="H68" s="151"/>
      <c r="I68" s="121"/>
      <c r="J68" s="3273"/>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0</v>
      </c>
      <c r="N69" s="2331" t="e">
        <f ca="1">M69/M49</f>
        <v>#DIV/0!</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f>C66</f>
        <v>0</v>
      </c>
      <c r="D75" s="162" t="s">
        <v>26</v>
      </c>
      <c r="E75" s="176" t="s">
        <v>1399</v>
      </c>
      <c r="F75" s="2357" t="s">
        <v>3461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t="s">
        <v>3462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0</v>
      </c>
      <c r="I101" s="121"/>
    </row>
    <row r="102" spans="1:35" ht="18.75" customHeight="1">
      <c r="A102" s="3301" t="s">
        <v>1433</v>
      </c>
      <c r="B102" s="2369" t="s">
        <v>1432</v>
      </c>
      <c r="C102" s="2370">
        <f ca="1">IF(D32="楼面单价",ROUND(C19,0),C19)</f>
        <v>3292</v>
      </c>
      <c r="D102" s="2371">
        <f ca="1">IF(D32="楼面单价",ROUND(D19,0),D19)</f>
        <v>2264</v>
      </c>
      <c r="E102" s="3269"/>
      <c r="F102" s="3270"/>
      <c r="G102" s="1687" t="s">
        <v>1434</v>
      </c>
      <c r="H102" s="2340">
        <f ca="1">I118</f>
        <v>7611</v>
      </c>
      <c r="I102" s="121"/>
    </row>
    <row r="103" spans="1:35" ht="42.75" customHeight="1">
      <c r="A103" s="3301"/>
      <c r="B103" s="2369" t="s">
        <v>1434</v>
      </c>
      <c r="C103" s="2372">
        <f ca="1">C20</f>
        <v>8398</v>
      </c>
      <c r="D103" s="2373">
        <f ca="1">D20</f>
        <v>5775</v>
      </c>
      <c r="E103" s="3262" t="s">
        <v>1435</v>
      </c>
      <c r="F103" s="3263"/>
      <c r="G103" s="1688" t="s">
        <v>1436</v>
      </c>
      <c r="H103" s="2380">
        <f>IF(D36="正常操作",H104+H105+H106,H105+H106)</f>
        <v>0</v>
      </c>
      <c r="I103" s="121"/>
    </row>
    <row r="104" spans="1:35" ht="18.75" customHeight="1">
      <c r="A104" s="3301"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7611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0</v>
      </c>
      <c r="I107" s="121"/>
    </row>
    <row r="108" spans="1:35" ht="18.75" customHeight="1">
      <c r="A108" s="121"/>
      <c r="B108" s="121"/>
      <c r="C108" s="121"/>
      <c r="D108" s="121"/>
      <c r="E108" s="3302"/>
      <c r="F108" s="3270"/>
      <c r="G108" s="1687" t="s">
        <v>1434</v>
      </c>
      <c r="H108" s="2340">
        <f ca="1">IF(H107=H101,H102,ROUND(H107*10000/'数据-汇总表'!E3,0))</f>
        <v>7611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7611</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零元整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0</v>
      </c>
      <c r="E122" s="3279"/>
      <c r="F122" s="3279"/>
      <c r="G122" s="3279"/>
      <c r="H122" s="3279"/>
      <c r="I122" s="3280"/>
      <c r="AA122" s="684"/>
    </row>
    <row r="123" spans="1:27" ht="18.75" customHeight="1">
      <c r="A123" s="3277" t="s">
        <v>1452</v>
      </c>
      <c r="B123" s="3277"/>
      <c r="C123" s="3277"/>
      <c r="D123" s="3283" t="str">
        <f ca="1">NUMBERSTRING(INT(D122*10000),2)&amp;"元整"</f>
        <v>零元整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7" t="s">
        <v>2084</v>
      </c>
      <c r="D1" s="3368"/>
      <c r="E1" s="3368"/>
      <c r="F1" s="3368"/>
      <c r="G1" s="3368"/>
      <c r="H1" s="3368"/>
      <c r="I1" s="3368"/>
      <c r="J1" s="3368"/>
      <c r="K1" s="3368"/>
      <c r="L1" s="3368"/>
      <c r="M1" s="3368"/>
      <c r="N1" s="3368"/>
      <c r="O1" s="3368"/>
      <c r="P1" s="3368"/>
      <c r="Q1" s="3368"/>
      <c r="R1" s="3368"/>
      <c r="S1" s="3369"/>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2431</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6202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3919.71</v>
      </c>
      <c r="C22" s="3364" t="s">
        <v>27</v>
      </c>
      <c r="D22" s="3365"/>
      <c r="E22" s="3365"/>
      <c r="F22" s="3365"/>
      <c r="G22" s="3365"/>
      <c r="H22" s="3365"/>
      <c r="I22" s="3365"/>
      <c r="J22" s="3365"/>
      <c r="K22" s="3365"/>
      <c r="L22" s="3365"/>
      <c r="M22" s="3365"/>
      <c r="N22" s="3365"/>
      <c r="O22" s="3365"/>
      <c r="P22" s="3365"/>
      <c r="Q22" s="3366"/>
      <c r="R22" s="21">
        <f ca="1">ROUND(S22*10000/B22,0)</f>
        <v>6202</v>
      </c>
      <c r="S22" s="21">
        <f ca="1">SUM(S24:S10000)</f>
        <v>2431</v>
      </c>
      <c r="T22" s="684">
        <f ca="1">ROUND(U22/B22*10000,0)</f>
        <v>2360</v>
      </c>
      <c r="U22" s="684">
        <f ca="1">U24+U25+U26</f>
        <v>925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3919.71</v>
      </c>
      <c r="C24" s="2569">
        <v>1</v>
      </c>
      <c r="D24" s="2570"/>
      <c r="E24" s="2569">
        <v>1</v>
      </c>
      <c r="F24" s="2570"/>
      <c r="G24" s="2569">
        <v>1</v>
      </c>
      <c r="H24" s="2570"/>
      <c r="I24" s="2569">
        <v>1</v>
      </c>
      <c r="J24" s="2570"/>
      <c r="K24" s="2569">
        <v>1</v>
      </c>
      <c r="L24" s="2570"/>
      <c r="M24" s="2569">
        <v>1</v>
      </c>
      <c r="N24" s="2570"/>
      <c r="O24" s="2569">
        <v>1</v>
      </c>
      <c r="P24" s="2570"/>
      <c r="Q24" s="2569">
        <v>1</v>
      </c>
      <c r="R24" s="633">
        <f ca="1">结果表!G20</f>
        <v>6201</v>
      </c>
      <c r="S24" s="634">
        <f t="shared" ref="S24:S54" ca="1" si="11">ROUND(R24*B24/10000,0)</f>
        <v>2431</v>
      </c>
      <c r="T24" s="689">
        <f ca="1">ROUND(U24*10000/B24,0)</f>
        <v>2360</v>
      </c>
      <c r="U24" s="689">
        <f ca="1">结果表!N59</f>
        <v>925</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6325</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6325</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2430</v>
      </c>
      <c r="B1" s="2582"/>
      <c r="C1" s="2594"/>
      <c r="D1" s="2594"/>
      <c r="E1" s="2583"/>
      <c r="F1" s="2584"/>
      <c r="G1" s="2585"/>
      <c r="J1" s="2588" t="s">
        <v>2309</v>
      </c>
      <c r="K1" s="2589"/>
      <c r="L1" s="2589"/>
      <c r="M1" s="2589"/>
      <c r="N1" s="2589"/>
      <c r="O1" s="2589"/>
      <c r="P1" s="2589"/>
      <c r="Q1" s="2589"/>
      <c r="R1" s="2590"/>
      <c r="S1" s="2591"/>
      <c r="T1" s="2591"/>
      <c r="U1" s="2591"/>
    </row>
    <row r="2" spans="1:22" s="2603" customFormat="1" ht="13.15" customHeight="1">
      <c r="A2" s="1293" t="s">
        <v>2310</v>
      </c>
      <c r="B2" s="2593" t="e">
        <f>IF(D2="——",C40,C40+E2)</f>
        <v>#DIV/0!</v>
      </c>
      <c r="C2" s="2594" t="s">
        <v>2311</v>
      </c>
      <c r="D2" s="3137" t="s">
        <v>3354</v>
      </c>
      <c r="E2" s="3138"/>
      <c r="F2" s="2596"/>
      <c r="G2" s="2597"/>
      <c r="H2" s="2598"/>
      <c r="I2" s="2599"/>
      <c r="J2" s="3419" t="s">
        <v>2312</v>
      </c>
      <c r="K2" s="3420"/>
      <c r="L2" s="2600" t="s">
        <v>2313</v>
      </c>
      <c r="M2" s="2600" t="s">
        <v>2314</v>
      </c>
      <c r="N2" s="2600" t="s">
        <v>2315</v>
      </c>
      <c r="O2" s="2600" t="s">
        <v>2316</v>
      </c>
      <c r="P2" s="2600" t="s">
        <v>2317</v>
      </c>
      <c r="Q2" s="2601" t="s">
        <v>2318</v>
      </c>
      <c r="R2" s="2602" t="s">
        <v>2319</v>
      </c>
      <c r="S2" s="2591"/>
      <c r="T2" s="2591"/>
      <c r="U2" s="2591"/>
      <c r="V2" s="2599"/>
    </row>
    <row r="3" spans="1:22" s="2603" customFormat="1" ht="13.15" customHeight="1">
      <c r="A3" s="2604" t="s">
        <v>2320</v>
      </c>
      <c r="B3" s="2605" t="e">
        <f>ROUND(B2*10000/B4,0)</f>
        <v>#DIV/0!</v>
      </c>
      <c r="C3" s="2594" t="s">
        <v>2321</v>
      </c>
      <c r="D3" s="2594"/>
      <c r="E3" s="2595"/>
      <c r="F3" s="2596"/>
      <c r="G3" s="2597"/>
      <c r="H3" s="2598"/>
      <c r="I3" s="2599"/>
      <c r="J3" s="3421" t="s">
        <v>2322</v>
      </c>
      <c r="K3" s="3422"/>
      <c r="L3" s="2606"/>
      <c r="M3" s="2606"/>
      <c r="N3" s="2606"/>
      <c r="O3" s="2606"/>
      <c r="P3" s="2606"/>
      <c r="Q3" s="2607"/>
      <c r="R3" s="2608">
        <f>SUM(L3:Q3)</f>
        <v>0</v>
      </c>
      <c r="S3" s="2591"/>
      <c r="T3" s="2591"/>
      <c r="U3" s="2591"/>
      <c r="V3" s="2599"/>
    </row>
    <row r="4" spans="1:22" s="2603" customFormat="1" ht="13.15" customHeight="1">
      <c r="A4" s="2609" t="s">
        <v>2323</v>
      </c>
      <c r="B4" s="2610"/>
      <c r="C4" s="2594"/>
      <c r="D4" s="2594"/>
      <c r="E4" s="2595"/>
      <c r="F4" s="2596"/>
      <c r="G4" s="2597"/>
      <c r="H4" s="2598"/>
      <c r="I4" s="2599"/>
      <c r="J4" s="3421" t="s">
        <v>2324</v>
      </c>
      <c r="K4" s="3422"/>
      <c r="L4" s="2611"/>
      <c r="M4" s="2611"/>
      <c r="N4" s="2611"/>
      <c r="O4" s="2611"/>
      <c r="P4" s="2611"/>
      <c r="Q4" s="2612"/>
      <c r="R4" s="2613">
        <f>SUM(L4:Q4)</f>
        <v>0</v>
      </c>
      <c r="S4" s="2591"/>
      <c r="T4" s="2591"/>
      <c r="U4" s="2591"/>
      <c r="V4" s="2599"/>
    </row>
    <row r="5" spans="1:22" s="2603" customFormat="1" ht="13.15" customHeight="1" thickBot="1">
      <c r="A5" s="2614" t="s">
        <v>2325</v>
      </c>
      <c r="B5" s="2615"/>
      <c r="C5" s="2594"/>
      <c r="D5" s="2616"/>
      <c r="E5" s="2596"/>
      <c r="F5" s="2596"/>
      <c r="G5" s="2597"/>
      <c r="H5" s="2598"/>
      <c r="I5" s="2599"/>
      <c r="J5" s="2617" t="s">
        <v>2326</v>
      </c>
      <c r="K5" s="2618"/>
      <c r="L5" s="2618"/>
      <c r="M5" s="2619"/>
      <c r="N5" s="2619"/>
      <c r="O5" s="2619"/>
      <c r="P5" s="2619"/>
      <c r="Q5" s="2619"/>
      <c r="R5" s="2602">
        <f>SUM(R14,R19,R24,R25,R27,R28)</f>
        <v>0</v>
      </c>
      <c r="S5" s="2591"/>
      <c r="T5" s="2591" t="s">
        <v>2327</v>
      </c>
      <c r="U5" s="2591" t="e">
        <f>ROUND(R5*10000/365/R3,1)</f>
        <v>#DIV/0!</v>
      </c>
      <c r="V5" s="2599"/>
    </row>
    <row r="6" spans="1:22" s="2603" customFormat="1" ht="13.15" customHeight="1" thickBot="1">
      <c r="A6" s="3423" t="s">
        <v>2328</v>
      </c>
      <c r="B6" s="3424"/>
      <c r="C6" s="3425"/>
      <c r="D6" s="2620"/>
      <c r="E6" s="2621"/>
      <c r="F6" s="2622"/>
      <c r="G6" s="2623"/>
      <c r="H6" s="2598"/>
      <c r="I6" s="2599"/>
      <c r="J6" s="3426">
        <v>1</v>
      </c>
      <c r="K6" s="3427" t="s">
        <v>2329</v>
      </c>
      <c r="L6" s="2624" t="s">
        <v>2330</v>
      </c>
      <c r="M6" s="2625" t="s">
        <v>2331</v>
      </c>
      <c r="N6" s="2625" t="s">
        <v>2332</v>
      </c>
      <c r="O6" s="2625" t="s">
        <v>2333</v>
      </c>
      <c r="P6" s="2625" t="s">
        <v>2334</v>
      </c>
      <c r="Q6" s="2625" t="s">
        <v>2335</v>
      </c>
      <c r="R6" s="2608" t="s">
        <v>2336</v>
      </c>
      <c r="S6" s="2591"/>
      <c r="T6" s="2591" t="s">
        <v>2337</v>
      </c>
      <c r="U6" s="2591"/>
      <c r="V6" s="2599"/>
    </row>
    <row r="7" spans="1:22" s="2603" customFormat="1" ht="13.15" customHeight="1">
      <c r="A7" s="2626" t="s">
        <v>2338</v>
      </c>
      <c r="B7" s="2627"/>
      <c r="C7" s="2628"/>
      <c r="D7" s="2629">
        <f>SUM(D9,D10,D11,D17,0)</f>
        <v>0</v>
      </c>
      <c r="E7" s="2630" t="e">
        <f>E9+E10+E11+E17</f>
        <v>#DIV/0!</v>
      </c>
      <c r="F7" s="2631"/>
      <c r="G7" s="2632"/>
      <c r="H7" s="2598"/>
      <c r="I7" s="2599"/>
      <c r="J7" s="3426"/>
      <c r="K7" s="3428"/>
      <c r="L7" s="2633" t="s">
        <v>2339</v>
      </c>
      <c r="M7" s="2634"/>
      <c r="N7" s="2610"/>
      <c r="O7" s="2635"/>
      <c r="P7" s="2635"/>
      <c r="Q7" s="2636">
        <v>365</v>
      </c>
      <c r="R7" s="2637">
        <f>ROUND(M7*N7*O7*P7*Q7/10000,0)</f>
        <v>0</v>
      </c>
      <c r="S7" s="2591"/>
      <c r="T7" s="2591" t="s">
        <v>2340</v>
      </c>
      <c r="U7" s="2591"/>
      <c r="V7" s="2599"/>
    </row>
    <row r="8" spans="1:22" s="2603" customFormat="1" ht="13.15" customHeight="1">
      <c r="A8" s="2638" t="s">
        <v>2341</v>
      </c>
      <c r="B8" s="3430" t="s">
        <v>2342</v>
      </c>
      <c r="C8" s="3431"/>
      <c r="D8" s="2639" t="s">
        <v>2343</v>
      </c>
      <c r="E8" s="2640" t="s">
        <v>2344</v>
      </c>
      <c r="F8" s="2641" t="s">
        <v>2345</v>
      </c>
      <c r="G8" s="2642"/>
      <c r="H8" s="2598"/>
      <c r="I8" s="2599"/>
      <c r="J8" s="3426"/>
      <c r="K8" s="3428"/>
      <c r="L8" s="2633" t="s">
        <v>2346</v>
      </c>
      <c r="M8" s="2634"/>
      <c r="N8" s="2610"/>
      <c r="O8" s="2635"/>
      <c r="P8" s="2635"/>
      <c r="Q8" s="2636">
        <v>365</v>
      </c>
      <c r="R8" s="2637">
        <f t="shared" ref="R8:R13" si="0">ROUND(M8*N8*O8*P8*Q8/10000,0)</f>
        <v>0</v>
      </c>
      <c r="S8" s="2591"/>
      <c r="T8" s="2591" t="s">
        <v>2347</v>
      </c>
      <c r="U8" s="2591"/>
      <c r="V8" s="2599"/>
    </row>
    <row r="9" spans="1:22" s="2603" customFormat="1" ht="13.15" customHeight="1">
      <c r="A9" s="2638">
        <v>1</v>
      </c>
      <c r="B9" s="3430" t="s">
        <v>2348</v>
      </c>
      <c r="C9" s="3431"/>
      <c r="D9" s="2639">
        <f>ROUND(D6*E9,0)</f>
        <v>0</v>
      </c>
      <c r="E9" s="2643"/>
      <c r="F9" s="2644" t="s">
        <v>2349</v>
      </c>
      <c r="G9" s="2623"/>
      <c r="H9" s="2598"/>
      <c r="I9" s="2599"/>
      <c r="J9" s="3426"/>
      <c r="K9" s="3428"/>
      <c r="L9" s="2633" t="s">
        <v>2350</v>
      </c>
      <c r="M9" s="2634"/>
      <c r="N9" s="2610"/>
      <c r="O9" s="2635"/>
      <c r="P9" s="2635"/>
      <c r="Q9" s="2636">
        <v>365</v>
      </c>
      <c r="R9" s="2637">
        <f t="shared" si="0"/>
        <v>0</v>
      </c>
      <c r="S9" s="2591"/>
      <c r="T9" s="2591"/>
      <c r="U9" s="2591"/>
      <c r="V9" s="2599"/>
    </row>
    <row r="10" spans="1:22" s="2603" customFormat="1" ht="13.15" customHeight="1">
      <c r="A10" s="2638">
        <v>2</v>
      </c>
      <c r="B10" s="3430" t="s">
        <v>2351</v>
      </c>
      <c r="C10" s="3431"/>
      <c r="D10" s="2639">
        <f>ROUND(D6*E10,0)</f>
        <v>0</v>
      </c>
      <c r="E10" s="2643"/>
      <c r="F10" s="2644" t="s">
        <v>2352</v>
      </c>
      <c r="G10" s="2623"/>
      <c r="H10" s="2598"/>
      <c r="I10" s="2599"/>
      <c r="J10" s="3426"/>
      <c r="K10" s="3428"/>
      <c r="L10" s="2633" t="s">
        <v>2353</v>
      </c>
      <c r="M10" s="2634"/>
      <c r="N10" s="2610"/>
      <c r="O10" s="2635"/>
      <c r="P10" s="2635"/>
      <c r="Q10" s="2636">
        <v>365</v>
      </c>
      <c r="R10" s="2637">
        <f t="shared" si="0"/>
        <v>0</v>
      </c>
      <c r="S10" s="2591"/>
      <c r="T10" s="2591"/>
      <c r="U10" s="2591"/>
      <c r="V10" s="2599"/>
    </row>
    <row r="11" spans="1:22" s="2603" customFormat="1" ht="13.15" customHeight="1">
      <c r="A11" s="2638">
        <v>3</v>
      </c>
      <c r="B11" s="3430" t="s">
        <v>2354</v>
      </c>
      <c r="C11" s="3431"/>
      <c r="D11" s="2639">
        <f>D12+D14+D15+D16</f>
        <v>0</v>
      </c>
      <c r="E11" s="2645" t="e">
        <f>D11/D6</f>
        <v>#DIV/0!</v>
      </c>
      <c r="F11" s="2641"/>
      <c r="G11" s="2642"/>
      <c r="H11" s="2598"/>
      <c r="I11" s="2599"/>
      <c r="J11" s="3426"/>
      <c r="K11" s="3428"/>
      <c r="L11" s="2633" t="s">
        <v>2355</v>
      </c>
      <c r="M11" s="2634"/>
      <c r="N11" s="2610"/>
      <c r="O11" s="2635"/>
      <c r="P11" s="2635"/>
      <c r="Q11" s="2636">
        <v>365</v>
      </c>
      <c r="R11" s="2637">
        <f t="shared" si="0"/>
        <v>0</v>
      </c>
      <c r="S11" s="2591"/>
      <c r="T11" s="2591"/>
      <c r="U11" s="2591"/>
      <c r="V11" s="2599"/>
    </row>
    <row r="12" spans="1:22" s="2603" customFormat="1" ht="13.15" customHeight="1">
      <c r="A12" s="2646" t="s">
        <v>2356</v>
      </c>
      <c r="B12" s="3432" t="s">
        <v>2357</v>
      </c>
      <c r="C12" s="3433"/>
      <c r="D12" s="2647">
        <f>ROUND(D13*1.2%*(1-30%),0)</f>
        <v>0</v>
      </c>
      <c r="E12" s="2648">
        <v>1.2E-2</v>
      </c>
      <c r="F12" s="2641" t="s">
        <v>2358</v>
      </c>
      <c r="G12" s="2642"/>
      <c r="H12" s="2598"/>
      <c r="I12" s="2599"/>
      <c r="J12" s="3426"/>
      <c r="K12" s="3428"/>
      <c r="L12" s="2633" t="s">
        <v>2359</v>
      </c>
      <c r="M12" s="2634"/>
      <c r="N12" s="2610"/>
      <c r="O12" s="2635"/>
      <c r="P12" s="2635"/>
      <c r="Q12" s="2636">
        <v>365</v>
      </c>
      <c r="R12" s="2637">
        <f t="shared" si="0"/>
        <v>0</v>
      </c>
      <c r="S12" s="2591"/>
      <c r="T12" s="2591"/>
      <c r="U12" s="2591"/>
      <c r="V12" s="2599"/>
    </row>
    <row r="13" spans="1:22" s="2603" customFormat="1" ht="13.15" customHeight="1">
      <c r="A13" s="2646"/>
      <c r="B13" s="2649"/>
      <c r="C13" s="2650" t="s">
        <v>2360</v>
      </c>
      <c r="D13" s="2651"/>
      <c r="E13" s="2652"/>
      <c r="F13" s="2641"/>
      <c r="G13" s="2642"/>
      <c r="H13" s="2598"/>
      <c r="I13" s="2599"/>
      <c r="J13" s="3426"/>
      <c r="K13" s="3428"/>
      <c r="L13" s="2633" t="s">
        <v>2361</v>
      </c>
      <c r="M13" s="2634"/>
      <c r="N13" s="2610"/>
      <c r="O13" s="2635"/>
      <c r="P13" s="2635"/>
      <c r="Q13" s="2636">
        <v>365</v>
      </c>
      <c r="R13" s="2637">
        <f t="shared" si="0"/>
        <v>0</v>
      </c>
      <c r="S13" s="2591"/>
      <c r="T13" s="2591"/>
      <c r="U13" s="2591"/>
      <c r="V13" s="2599"/>
    </row>
    <row r="14" spans="1:22" s="2603" customFormat="1" ht="13.15" customHeight="1">
      <c r="A14" s="2646" t="s">
        <v>2362</v>
      </c>
      <c r="B14" s="3432" t="s">
        <v>2363</v>
      </c>
      <c r="C14" s="3433"/>
      <c r="D14" s="2647">
        <f>ROUND(E14*B5/10000,0)</f>
        <v>0</v>
      </c>
      <c r="E14" s="2636"/>
      <c r="F14" s="2641" t="s">
        <v>2364</v>
      </c>
      <c r="G14" s="2642"/>
      <c r="H14" s="2598"/>
      <c r="I14" s="2599"/>
      <c r="J14" s="3426"/>
      <c r="K14" s="3429"/>
      <c r="L14" s="2653" t="s">
        <v>2365</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2366</v>
      </c>
      <c r="B15" s="3432" t="s">
        <v>2367</v>
      </c>
      <c r="C15" s="3433"/>
      <c r="D15" s="2647">
        <f>ROUND(D6*E15,0)</f>
        <v>0</v>
      </c>
      <c r="E15" s="2648">
        <v>5.5E-2</v>
      </c>
      <c r="F15" s="2641" t="s">
        <v>2368</v>
      </c>
      <c r="G15" s="2623"/>
      <c r="H15" s="2598"/>
      <c r="I15" s="2599"/>
      <c r="J15" s="3426">
        <v>2</v>
      </c>
      <c r="K15" s="3427" t="s">
        <v>2369</v>
      </c>
      <c r="L15" s="2633" t="s">
        <v>2370</v>
      </c>
      <c r="M15" s="2634" t="s">
        <v>2371</v>
      </c>
      <c r="N15" s="2634" t="s">
        <v>2372</v>
      </c>
      <c r="O15" s="2635" t="s">
        <v>2373</v>
      </c>
      <c r="P15" s="2635" t="s">
        <v>2335</v>
      </c>
      <c r="Q15" s="2610" t="s">
        <v>2374</v>
      </c>
      <c r="R15" s="2657" t="s">
        <v>2336</v>
      </c>
      <c r="S15" s="2591"/>
      <c r="T15" s="2591"/>
      <c r="U15" s="2591"/>
      <c r="V15" s="2599"/>
    </row>
    <row r="16" spans="1:22" s="2603" customFormat="1" ht="13.15" customHeight="1">
      <c r="A16" s="2646" t="s">
        <v>2375</v>
      </c>
      <c r="B16" s="3432" t="s">
        <v>2376</v>
      </c>
      <c r="C16" s="3433"/>
      <c r="D16" s="2658">
        <f>D6*E16</f>
        <v>0</v>
      </c>
      <c r="E16" s="2659"/>
      <c r="F16" s="2644" t="s">
        <v>2377</v>
      </c>
      <c r="G16" s="2623"/>
      <c r="H16" s="2598"/>
      <c r="I16" s="2599"/>
      <c r="J16" s="3426"/>
      <c r="K16" s="3428"/>
      <c r="L16" s="2633" t="s">
        <v>2378</v>
      </c>
      <c r="M16" s="2634"/>
      <c r="N16" s="2634"/>
      <c r="O16" s="2635"/>
      <c r="P16" s="2636">
        <v>365</v>
      </c>
      <c r="Q16" s="2610"/>
      <c r="R16" s="2657">
        <f>ROUND(M16*N16*O16*P16/10000,0)</f>
        <v>0</v>
      </c>
      <c r="S16" s="2591"/>
      <c r="T16" s="2591"/>
      <c r="U16" s="2591"/>
      <c r="V16" s="2599"/>
    </row>
    <row r="17" spans="1:22" s="2603" customFormat="1" ht="13.15" customHeight="1" thickBot="1">
      <c r="A17" s="2660">
        <v>4</v>
      </c>
      <c r="B17" s="3434" t="s">
        <v>2379</v>
      </c>
      <c r="C17" s="3435"/>
      <c r="D17" s="2661">
        <f>ROUND(D6*E17,0)</f>
        <v>0</v>
      </c>
      <c r="E17" s="2662"/>
      <c r="F17" s="2663" t="s">
        <v>2380</v>
      </c>
      <c r="G17" s="2623"/>
      <c r="H17" s="2598"/>
      <c r="I17" s="2599"/>
      <c r="J17" s="3426"/>
      <c r="K17" s="3428"/>
      <c r="L17" s="2633" t="s">
        <v>2381</v>
      </c>
      <c r="M17" s="2634"/>
      <c r="N17" s="2634"/>
      <c r="O17" s="2635"/>
      <c r="P17" s="2636">
        <v>365</v>
      </c>
      <c r="Q17" s="2610"/>
      <c r="R17" s="2657">
        <f>ROUND(M17*N17*O17*P17/10000,0)</f>
        <v>0</v>
      </c>
      <c r="S17" s="2591"/>
      <c r="T17" s="2591"/>
      <c r="U17" s="2591"/>
      <c r="V17" s="2599"/>
    </row>
    <row r="18" spans="1:22" s="2603" customFormat="1" ht="13.15" customHeight="1" thickBot="1">
      <c r="A18" s="2626" t="s">
        <v>2382</v>
      </c>
      <c r="B18" s="2627"/>
      <c r="C18" s="2627"/>
      <c r="D18" s="2664">
        <f>ROUND(D6*E18,0)</f>
        <v>0</v>
      </c>
      <c r="E18" s="2665"/>
      <c r="F18" s="2666" t="s">
        <v>2383</v>
      </c>
      <c r="G18" s="2623"/>
      <c r="H18" s="2598"/>
      <c r="I18" s="2599"/>
      <c r="J18" s="3426"/>
      <c r="K18" s="3428"/>
      <c r="L18" s="2633" t="s">
        <v>2384</v>
      </c>
      <c r="M18" s="2634"/>
      <c r="N18" s="2634"/>
      <c r="O18" s="2635"/>
      <c r="P18" s="2636">
        <v>365</v>
      </c>
      <c r="Q18" s="2610"/>
      <c r="R18" s="2657">
        <f>ROUND(M18*N18*O18*P18/10000,0)</f>
        <v>0</v>
      </c>
      <c r="S18" s="2591"/>
      <c r="T18" s="2591"/>
      <c r="U18" s="2591"/>
      <c r="V18" s="2599"/>
    </row>
    <row r="19" spans="1:22" s="2603" customFormat="1" ht="13.15" customHeight="1" thickBot="1">
      <c r="A19" s="2667" t="s">
        <v>2385</v>
      </c>
      <c r="B19" s="2621"/>
      <c r="C19" s="2621"/>
      <c r="D19" s="2621"/>
      <c r="E19" s="2621"/>
      <c r="F19" s="2622"/>
      <c r="G19" s="2642"/>
      <c r="H19" s="2598"/>
      <c r="I19" s="2599"/>
      <c r="J19" s="3426"/>
      <c r="K19" s="3429"/>
      <c r="L19" s="2653" t="s">
        <v>2365</v>
      </c>
      <c r="M19" s="2654"/>
      <c r="N19" s="2654">
        <f>SUM(N16:N18)</f>
        <v>0</v>
      </c>
      <c r="O19" s="2655"/>
      <c r="P19" s="2668" t="s">
        <v>2429</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6">
        <v>3</v>
      </c>
      <c r="K20" s="3427" t="s">
        <v>2386</v>
      </c>
      <c r="L20" s="2633" t="s">
        <v>2387</v>
      </c>
      <c r="M20" s="2634" t="s">
        <v>2388</v>
      </c>
      <c r="N20" s="2671" t="s">
        <v>2389</v>
      </c>
      <c r="O20" s="2635" t="s">
        <v>2390</v>
      </c>
      <c r="P20" s="2636" t="s">
        <v>2391</v>
      </c>
      <c r="Q20" s="2610" t="s">
        <v>2392</v>
      </c>
      <c r="R20" s="2657" t="s">
        <v>2393</v>
      </c>
      <c r="S20" s="2591"/>
      <c r="T20" s="2591"/>
      <c r="U20" s="2591"/>
      <c r="V20" s="2599"/>
    </row>
    <row r="21" spans="1:22" s="2603" customFormat="1" ht="13.15" customHeight="1">
      <c r="A21" s="2626"/>
      <c r="B21" s="2627"/>
      <c r="C21" s="2672" t="s">
        <v>2394</v>
      </c>
      <c r="D21" s="2673" t="s">
        <v>2395</v>
      </c>
      <c r="E21" s="2674" t="s">
        <v>2396</v>
      </c>
      <c r="F21" s="2670"/>
      <c r="G21" s="2642"/>
      <c r="H21" s="2598"/>
      <c r="I21" s="2599"/>
      <c r="J21" s="3426"/>
      <c r="K21" s="3428"/>
      <c r="L21" s="2633" t="s">
        <v>2397</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2398</v>
      </c>
      <c r="D22" s="2677" t="s">
        <v>2399</v>
      </c>
      <c r="E22" s="2678" t="s">
        <v>2400</v>
      </c>
      <c r="F22" s="2670"/>
      <c r="G22" s="2591"/>
      <c r="H22" s="2598"/>
      <c r="I22" s="2599"/>
      <c r="J22" s="3426"/>
      <c r="K22" s="3428"/>
      <c r="L22" s="2633" t="s">
        <v>2401</v>
      </c>
      <c r="M22" s="2634"/>
      <c r="N22" s="2634"/>
      <c r="O22" s="2635"/>
      <c r="P22" s="2636">
        <v>365</v>
      </c>
      <c r="Q22" s="2610"/>
      <c r="R22" s="2675">
        <f>ROUND(M22*N22*O22*P22/10000,0)</f>
        <v>0</v>
      </c>
      <c r="S22" s="2591"/>
      <c r="T22" s="2591"/>
      <c r="U22" s="2591"/>
      <c r="V22" s="2599"/>
    </row>
    <row r="23" spans="1:22" s="2603" customFormat="1" ht="13.15" customHeight="1">
      <c r="A23" s="2679">
        <v>1</v>
      </c>
      <c r="B23" s="2680" t="s">
        <v>2402</v>
      </c>
      <c r="C23" s="2681">
        <f>D6</f>
        <v>0</v>
      </c>
      <c r="D23" s="2682">
        <f>C23*(1+D24)</f>
        <v>0</v>
      </c>
      <c r="E23" s="2683">
        <f>D23*(1+E24)</f>
        <v>0</v>
      </c>
      <c r="F23" s="2684"/>
      <c r="G23" s="2685"/>
      <c r="H23" s="2598"/>
      <c r="I23" s="2599"/>
      <c r="J23" s="3426"/>
      <c r="K23" s="3428"/>
      <c r="L23" s="2633" t="s">
        <v>2403</v>
      </c>
      <c r="M23" s="2634"/>
      <c r="N23" s="2634"/>
      <c r="O23" s="2635"/>
      <c r="P23" s="2636">
        <v>365</v>
      </c>
      <c r="Q23" s="2610"/>
      <c r="R23" s="2675">
        <f>ROUND(M23*N23*O23*P23/10000,0)</f>
        <v>0</v>
      </c>
      <c r="S23" s="2591"/>
      <c r="T23" s="2591"/>
      <c r="U23" s="2591"/>
      <c r="V23" s="2599"/>
    </row>
    <row r="24" spans="1:22" s="2603" customFormat="1" ht="13.15" customHeight="1">
      <c r="A24" s="2686"/>
      <c r="B24" s="2687" t="s">
        <v>2404</v>
      </c>
      <c r="C24" s="2688"/>
      <c r="D24" s="2689"/>
      <c r="E24" s="2690"/>
      <c r="F24" s="2691"/>
      <c r="G24" s="2685"/>
      <c r="H24" s="2598"/>
      <c r="I24" s="2599"/>
      <c r="J24" s="3426"/>
      <c r="K24" s="3429"/>
      <c r="L24" s="2653" t="s">
        <v>2365</v>
      </c>
      <c r="M24" s="2654">
        <f>SUM(M21:M23)</f>
        <v>0</v>
      </c>
      <c r="N24" s="2654"/>
      <c r="O24" s="2655"/>
      <c r="P24" s="2668" t="s">
        <v>2429</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2405</v>
      </c>
      <c r="L25" s="2694"/>
      <c r="M25" s="2694"/>
      <c r="N25" s="2694"/>
      <c r="O25" s="2694"/>
      <c r="P25" s="2695"/>
      <c r="Q25" s="2696">
        <v>0</v>
      </c>
      <c r="R25" s="2669">
        <f>ROUND(R14*Q25,0)</f>
        <v>0</v>
      </c>
      <c r="S25" s="2591"/>
      <c r="T25" s="2591"/>
      <c r="U25" s="2591"/>
      <c r="V25" s="2697"/>
    </row>
    <row r="26" spans="1:22" s="2698" customFormat="1" ht="13.15" customHeight="1">
      <c r="A26" s="2679">
        <v>2</v>
      </c>
      <c r="B26" s="2680" t="s">
        <v>2406</v>
      </c>
      <c r="C26" s="2681">
        <f>D7</f>
        <v>0</v>
      </c>
      <c r="D26" s="2682">
        <f>D23*D27</f>
        <v>0</v>
      </c>
      <c r="E26" s="2683">
        <f>E23*E27</f>
        <v>0</v>
      </c>
      <c r="F26" s="2684"/>
      <c r="G26" s="2685"/>
      <c r="H26" s="2598"/>
      <c r="I26" s="2599"/>
      <c r="J26" s="3436">
        <v>5</v>
      </c>
      <c r="K26" s="2699" t="s">
        <v>2407</v>
      </c>
      <c r="L26" s="2700"/>
      <c r="M26" s="2701"/>
      <c r="N26" s="2702" t="s">
        <v>2408</v>
      </c>
      <c r="O26" s="2702" t="s">
        <v>2409</v>
      </c>
      <c r="P26" s="2703" t="s">
        <v>2410</v>
      </c>
      <c r="Q26" s="2703" t="s">
        <v>2411</v>
      </c>
      <c r="R26" s="2608" t="s">
        <v>2336</v>
      </c>
      <c r="S26" s="2642"/>
      <c r="T26" s="2642"/>
      <c r="U26" s="2642"/>
      <c r="V26" s="2697"/>
    </row>
    <row r="27" spans="1:22" s="2603" customFormat="1" ht="13.15" customHeight="1">
      <c r="A27" s="2686"/>
      <c r="B27" s="2687" t="s">
        <v>2412</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2413</v>
      </c>
      <c r="F28" s="2691"/>
      <c r="G28" s="2591"/>
      <c r="H28" s="2705"/>
      <c r="I28" s="2697"/>
      <c r="J28" s="2711">
        <v>6</v>
      </c>
      <c r="K28" s="2712" t="s">
        <v>2414</v>
      </c>
      <c r="L28" s="2713" t="s">
        <v>2415</v>
      </c>
      <c r="M28" s="2714"/>
      <c r="N28" s="2713" t="s">
        <v>2416</v>
      </c>
      <c r="O28" s="2715"/>
      <c r="P28" s="2713" t="s">
        <v>2417</v>
      </c>
      <c r="Q28" s="2716">
        <v>1.4999999999999999E-2</v>
      </c>
      <c r="R28" s="2717"/>
      <c r="S28" s="2591"/>
      <c r="T28" s="2591"/>
      <c r="U28" s="2591"/>
      <c r="V28" s="2697"/>
    </row>
    <row r="29" spans="1:22" s="2698" customFormat="1" ht="13.15" customHeight="1">
      <c r="A29" s="2679">
        <v>3</v>
      </c>
      <c r="B29" s="2680" t="s">
        <v>2418</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2412</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2419</v>
      </c>
      <c r="K31" s="2589"/>
      <c r="L31" s="2589"/>
      <c r="M31" s="2589"/>
      <c r="N31" s="2589"/>
      <c r="O31" s="2589"/>
      <c r="P31" s="2589"/>
      <c r="Q31" s="2589"/>
      <c r="R31" s="2590"/>
      <c r="S31" s="2591"/>
      <c r="T31" s="2591"/>
      <c r="U31" s="2591"/>
      <c r="V31" s="2697"/>
    </row>
    <row r="32" spans="1:22" s="2698" customFormat="1" ht="13.15" customHeight="1">
      <c r="A32" s="2679">
        <v>4</v>
      </c>
      <c r="B32" s="2680" t="s">
        <v>2420</v>
      </c>
      <c r="C32" s="2681">
        <f>C23-C26-C29</f>
        <v>0</v>
      </c>
      <c r="D32" s="2682">
        <f>D23-D26-D29</f>
        <v>0</v>
      </c>
      <c r="E32" s="2683">
        <f>E23-E26-E29</f>
        <v>0</v>
      </c>
      <c r="F32" s="2684"/>
      <c r="G32" s="2591"/>
      <c r="H32" s="2598"/>
      <c r="I32" s="2599"/>
      <c r="J32" s="3419" t="s">
        <v>2312</v>
      </c>
      <c r="K32" s="3420"/>
      <c r="L32" s="2600" t="s">
        <v>2313</v>
      </c>
      <c r="M32" s="2600" t="s">
        <v>2314</v>
      </c>
      <c r="N32" s="2600" t="s">
        <v>2315</v>
      </c>
      <c r="O32" s="2600" t="s">
        <v>2316</v>
      </c>
      <c r="P32" s="2600" t="s">
        <v>2317</v>
      </c>
      <c r="Q32" s="2601" t="s">
        <v>2318</v>
      </c>
      <c r="R32" s="2720" t="s">
        <v>2319</v>
      </c>
      <c r="S32" s="2591"/>
      <c r="T32" s="2591"/>
      <c r="U32" s="2591"/>
      <c r="V32" s="2697"/>
    </row>
    <row r="33" spans="1:23" s="2603" customFormat="1" ht="13.15" customHeight="1">
      <c r="A33" s="2679"/>
      <c r="B33" s="2680"/>
      <c r="C33" s="2681"/>
      <c r="D33" s="2721"/>
      <c r="E33" s="2722"/>
      <c r="F33" s="2684"/>
      <c r="G33" s="2591"/>
      <c r="H33" s="2705"/>
      <c r="I33" s="2697"/>
      <c r="J33" s="3421" t="s">
        <v>2322</v>
      </c>
      <c r="K33" s="3422"/>
      <c r="L33" s="2606"/>
      <c r="M33" s="2606"/>
      <c r="N33" s="2606"/>
      <c r="O33" s="2606"/>
      <c r="P33" s="2606"/>
      <c r="Q33" s="2607"/>
      <c r="R33" s="2723">
        <f>SUM(L33:Q33)</f>
        <v>0</v>
      </c>
      <c r="S33" s="2591"/>
      <c r="T33" s="2591"/>
      <c r="U33" s="2591"/>
      <c r="V33" s="2599"/>
    </row>
    <row r="34" spans="1:23" s="2603" customFormat="1" ht="13.15" customHeight="1">
      <c r="A34" s="2679">
        <v>5</v>
      </c>
      <c r="B34" s="2680" t="s">
        <v>2421</v>
      </c>
      <c r="C34" s="2724"/>
      <c r="D34" s="2725"/>
      <c r="E34" s="2726"/>
      <c r="F34" s="2684"/>
      <c r="G34" s="2591"/>
      <c r="H34" s="2705"/>
      <c r="I34" s="2697"/>
      <c r="J34" s="3421" t="s">
        <v>2324</v>
      </c>
      <c r="K34" s="342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2422</v>
      </c>
      <c r="C35" s="2728"/>
      <c r="D35" s="2729"/>
      <c r="E35" s="2730"/>
      <c r="F35" s="2684"/>
      <c r="G35" s="2731"/>
      <c r="H35" s="2598"/>
      <c r="I35" s="2697"/>
      <c r="J35" s="2617" t="s">
        <v>2326</v>
      </c>
      <c r="K35" s="2618"/>
      <c r="L35" s="2618"/>
      <c r="M35" s="2619"/>
      <c r="N35" s="2619"/>
      <c r="O35" s="2619"/>
      <c r="P35" s="2619"/>
      <c r="Q35" s="2619"/>
      <c r="R35" s="2732">
        <f>R40+R41+R43</f>
        <v>0</v>
      </c>
      <c r="S35" s="2591"/>
      <c r="T35" s="2591" t="s">
        <v>2327</v>
      </c>
      <c r="U35" s="2591"/>
      <c r="V35" s="2599"/>
    </row>
    <row r="36" spans="1:23" s="2603" customFormat="1" ht="13.15" customHeight="1" thickBot="1">
      <c r="A36" s="2679">
        <v>7</v>
      </c>
      <c r="B36" s="2733" t="s">
        <v>2423</v>
      </c>
      <c r="C36" s="2734"/>
      <c r="D36" s="2735"/>
      <c r="E36" s="2736"/>
      <c r="F36" s="2737">
        <f>C36+D36+E36</f>
        <v>0</v>
      </c>
      <c r="G36" s="2591"/>
      <c r="H36" s="2598"/>
      <c r="I36" s="2599"/>
      <c r="J36" s="3426">
        <v>1</v>
      </c>
      <c r="K36" s="3427" t="s">
        <v>2424</v>
      </c>
      <c r="L36" s="2624"/>
      <c r="M36" s="2625"/>
      <c r="N36" s="2625"/>
      <c r="O36" s="2625"/>
      <c r="P36" s="2625"/>
      <c r="Q36" s="2625"/>
      <c r="R36" s="2608" t="s">
        <v>2336</v>
      </c>
      <c r="S36" s="2591"/>
      <c r="T36" s="2591" t="s">
        <v>2337</v>
      </c>
      <c r="U36" s="2591"/>
      <c r="V36" s="2599"/>
    </row>
    <row r="37" spans="1:23" s="2603" customFormat="1" ht="13.15"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2340</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2347</v>
      </c>
      <c r="U38" s="2591"/>
      <c r="V38" s="2599"/>
    </row>
    <row r="39" spans="1:23" s="2603" customFormat="1" ht="13.15" customHeight="1">
      <c r="A39" s="2679">
        <v>9</v>
      </c>
      <c r="B39" s="2680" t="s">
        <v>2425</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15" customHeight="1">
      <c r="A40" s="2738">
        <v>10</v>
      </c>
      <c r="B40" s="2680" t="s">
        <v>2426</v>
      </c>
      <c r="C40" s="2739" t="e">
        <f>C39+D39+E39</f>
        <v>#DIV/0!</v>
      </c>
      <c r="D40" s="2740"/>
      <c r="E40" s="2740"/>
      <c r="F40" s="2741"/>
      <c r="G40" s="2591"/>
      <c r="H40" s="2598"/>
      <c r="I40" s="2599"/>
      <c r="J40" s="3426"/>
      <c r="K40" s="3429"/>
      <c r="L40" s="2653" t="s">
        <v>2365</v>
      </c>
      <c r="M40" s="2654"/>
      <c r="N40" s="2654"/>
      <c r="O40" s="2655"/>
      <c r="P40" s="2655"/>
      <c r="Q40" s="2656"/>
      <c r="R40" s="2602">
        <f>SUM(R37:R39)</f>
        <v>0</v>
      </c>
      <c r="S40" s="2591"/>
      <c r="T40" s="2591"/>
      <c r="U40" s="2591"/>
      <c r="V40" s="2599"/>
    </row>
    <row r="41" spans="1:23" s="2603" customFormat="1" ht="13.15" customHeight="1" thickBot="1">
      <c r="A41" s="2742">
        <v>11</v>
      </c>
      <c r="B41" s="2743" t="s">
        <v>2427</v>
      </c>
      <c r="C41" s="2743" t="e">
        <f>ROUND(C40*10000/B4,0)</f>
        <v>#DIV/0!</v>
      </c>
      <c r="D41" s="2744"/>
      <c r="E41" s="2744"/>
      <c r="F41" s="2745"/>
      <c r="G41" s="2598"/>
      <c r="H41" s="2598"/>
      <c r="I41" s="2599"/>
      <c r="J41" s="2692">
        <v>2</v>
      </c>
      <c r="K41" s="2693" t="s">
        <v>2405</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6">
        <v>3</v>
      </c>
      <c r="K42" s="2699" t="s">
        <v>2407</v>
      </c>
      <c r="L42" s="2700"/>
      <c r="M42" s="2701"/>
      <c r="N42" s="2702" t="s">
        <v>2408</v>
      </c>
      <c r="O42" s="2702" t="s">
        <v>2409</v>
      </c>
      <c r="P42" s="2703" t="s">
        <v>2410</v>
      </c>
      <c r="Q42" s="2703" t="s">
        <v>2411</v>
      </c>
      <c r="R42" s="2608" t="s">
        <v>2336</v>
      </c>
      <c r="S42" s="2642"/>
      <c r="T42" s="2642"/>
      <c r="U42" s="2591"/>
      <c r="V42" s="2599"/>
    </row>
    <row r="43" spans="1:23" ht="13.15"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2414</v>
      </c>
      <c r="L44" s="2748" t="s">
        <v>2415</v>
      </c>
      <c r="M44" s="2714"/>
      <c r="N44" s="2748" t="s">
        <v>2416</v>
      </c>
      <c r="O44" s="2714"/>
      <c r="P44" s="2748" t="s">
        <v>2417</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2263.6261</v>
      </c>
      <c r="C2" s="1729" t="s">
        <v>1651</v>
      </c>
      <c r="D2" s="1730" t="s">
        <v>1652</v>
      </c>
      <c r="E2" s="2392">
        <f>SUM(E6:E13)</f>
        <v>3919.71</v>
      </c>
      <c r="F2" s="2478"/>
      <c r="G2" s="459"/>
      <c r="H2" s="459"/>
      <c r="I2" s="459"/>
      <c r="J2" s="459"/>
      <c r="K2" s="459"/>
      <c r="L2" s="459"/>
      <c r="M2" s="459"/>
      <c r="N2" s="459"/>
      <c r="O2" s="459"/>
      <c r="P2" s="459"/>
      <c r="Q2" s="459"/>
      <c r="R2" s="459"/>
      <c r="S2" s="459"/>
    </row>
    <row r="3" spans="1:22" ht="15.75">
      <c r="A3" s="1728" t="s">
        <v>686</v>
      </c>
      <c r="B3" s="2386">
        <f ca="1">ROUND(B2*10000/E2,0)</f>
        <v>5775</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2263.6261</v>
      </c>
      <c r="C6" s="1729" t="s">
        <v>1651</v>
      </c>
      <c r="D6" s="2478"/>
      <c r="E6" s="2391">
        <f>IF(OR(A6=0,F6="否"),0,'数据-取费表'!K6+'数据-取费表'!S6)</f>
        <v>3919.71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3919.71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ht="15">
      <c r="A5" s="348"/>
      <c r="B5" s="349"/>
      <c r="C5" s="3381" t="s">
        <v>1673</v>
      </c>
      <c r="D5" s="3380"/>
      <c r="E5" s="3443" t="s">
        <v>1674</v>
      </c>
      <c r="F5" s="3444"/>
      <c r="G5" s="3381" t="s">
        <v>1675</v>
      </c>
      <c r="H5" s="3380"/>
      <c r="I5" s="3381" t="s">
        <v>1676</v>
      </c>
      <c r="J5" s="3380"/>
      <c r="K5" s="1745"/>
      <c r="L5" s="2485"/>
      <c r="M5" s="2486"/>
      <c r="N5" s="2486"/>
      <c r="O5" s="2486"/>
      <c r="P5" s="3447"/>
      <c r="Q5" s="3397"/>
      <c r="R5" s="3377"/>
      <c r="S5" s="3378"/>
      <c r="T5" s="3377"/>
      <c r="U5" s="3378"/>
      <c r="V5" s="3403"/>
      <c r="W5" s="3403"/>
      <c r="X5" s="1265"/>
      <c r="Y5" s="3377"/>
      <c r="Z5" s="3378"/>
      <c r="AA5" s="3371"/>
      <c r="AB5" s="3371"/>
      <c r="AC5" s="3371"/>
    </row>
    <row r="6" spans="1:29" ht="15.7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3" t="s">
        <v>1680</v>
      </c>
      <c r="Q7" s="3405"/>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2.75">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28.5">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57">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3919.71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ht="15">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403"/>
      <c r="AC5" s="3371"/>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403"/>
      <c r="AC6" s="3372"/>
    </row>
    <row r="7" spans="1:29" s="102" customFormat="1" ht="15.7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2.75">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42.75">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71.25">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估价对象为北京市房地产，为所有。根据《国有土地使用证》[]，估价对象（分摊）出让国有建设用地使用权面积为1942.76平方米，建筑面积为3919.71平方米。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估价对象为北京市房地产,属开发建设的办公项目，该项目尚在开发建设中。根据《国有土地使用证》[]，估价对象（分摊）出让国有建设用地使用权面积为1942.76平方米，规划建筑面积为3919.71平方米。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3919.71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ht="15">
      <c r="A5" s="348"/>
      <c r="B5" s="349"/>
      <c r="C5" s="3381" t="s">
        <v>1673</v>
      </c>
      <c r="D5" s="3380"/>
      <c r="E5" s="3443" t="s">
        <v>1674</v>
      </c>
      <c r="F5" s="3444"/>
      <c r="G5" s="3381" t="s">
        <v>1675</v>
      </c>
      <c r="H5" s="3380"/>
      <c r="I5" s="3381" t="s">
        <v>1676</v>
      </c>
      <c r="J5" s="3380"/>
      <c r="K5" s="537"/>
      <c r="L5" s="860"/>
      <c r="M5" s="861"/>
      <c r="N5" s="861"/>
      <c r="O5" s="861"/>
      <c r="P5" s="3447"/>
      <c r="Q5" s="3397"/>
      <c r="R5" s="3377"/>
      <c r="S5" s="3378"/>
      <c r="T5" s="3377"/>
      <c r="U5" s="3378"/>
      <c r="V5" s="3403"/>
      <c r="W5" s="3403"/>
      <c r="X5" s="1265"/>
      <c r="Y5" s="3377"/>
      <c r="Z5" s="3378"/>
      <c r="AA5" s="3371"/>
      <c r="AB5" s="3371"/>
      <c r="AC5" s="3371"/>
    </row>
    <row r="6" spans="1:29" ht="15.75" thickBot="1">
      <c r="A6" s="350"/>
      <c r="B6" s="351"/>
      <c r="C6" s="3382" t="s">
        <v>1677</v>
      </c>
      <c r="D6" s="3383"/>
      <c r="E6" s="3384" t="s">
        <v>1677</v>
      </c>
      <c r="F6" s="3385"/>
      <c r="G6" s="3382" t="s">
        <v>1677</v>
      </c>
      <c r="H6" s="3383"/>
      <c r="I6" s="3382" t="s">
        <v>1677</v>
      </c>
      <c r="J6" s="3383"/>
      <c r="K6" s="537" t="s">
        <v>1678</v>
      </c>
      <c r="L6" s="860"/>
      <c r="M6" s="861"/>
      <c r="N6" s="861"/>
      <c r="O6" s="861"/>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ht="15">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2.75">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2.75">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71.25">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ht="15">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2.75">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2.75">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71.25">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ht="15">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8"/>
      <c r="M10" s="2489"/>
      <c r="N10" s="2489"/>
      <c r="O10" s="2540"/>
      <c r="P10" s="3415"/>
      <c r="Q10" s="530" t="str">
        <f t="shared" si="6"/>
        <v>土地使用年限（年）</v>
      </c>
      <c r="R10" s="664" t="s">
        <v>14</v>
      </c>
      <c r="S10" s="665">
        <f t="shared" si="0"/>
        <v>113</v>
      </c>
      <c r="T10" s="664" t="s">
        <v>14</v>
      </c>
      <c r="U10" s="665">
        <f t="shared" si="1"/>
        <v>113</v>
      </c>
      <c r="V10" s="664" t="s">
        <v>14</v>
      </c>
      <c r="W10" s="665">
        <f t="shared" si="2"/>
        <v>113</v>
      </c>
      <c r="X10" s="666"/>
      <c r="Y10" s="333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57">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85.5">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71.25">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2.75">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2.75">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3919.71</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3919.71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ht="15">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75" thickBot="1">
      <c r="A7" s="352" t="s">
        <v>1679</v>
      </c>
      <c r="B7" s="353"/>
      <c r="C7" s="354">
        <f>'数据-取费表'!B2</f>
        <v>45776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8"/>
      <c r="M10" s="2489"/>
      <c r="N10" s="2489"/>
      <c r="O10" s="2540"/>
      <c r="P10" s="3415"/>
      <c r="Q10" s="530" t="str">
        <f t="shared" si="6"/>
        <v>土地使用年限（年）</v>
      </c>
      <c r="R10" s="664" t="s">
        <v>14</v>
      </c>
      <c r="S10" s="665">
        <f t="shared" si="0"/>
        <v>113</v>
      </c>
      <c r="T10" s="664" t="s">
        <v>14</v>
      </c>
      <c r="U10" s="665">
        <f t="shared" si="1"/>
        <v>113</v>
      </c>
      <c r="V10" s="664" t="s">
        <v>14</v>
      </c>
      <c r="W10" s="665">
        <f t="shared" si="2"/>
        <v>113</v>
      </c>
      <c r="X10" s="666"/>
      <c r="Y10" s="333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3919.71</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1942.76</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545</v>
      </c>
      <c r="C2" s="1984" t="s">
        <v>2074</v>
      </c>
      <c r="D2" s="1984" t="s">
        <v>2075</v>
      </c>
      <c r="E2" s="2397">
        <f ca="1">SUMIF(E6:E13,"&lt;&gt;#ref!",E6:E13)</f>
        <v>3919.71</v>
      </c>
      <c r="F2" s="2543"/>
      <c r="G2" s="2543"/>
      <c r="H2" s="2543"/>
      <c r="I2" s="2543"/>
      <c r="J2" s="2543"/>
      <c r="K2" s="2543"/>
      <c r="L2" s="2543"/>
      <c r="M2" s="2543"/>
      <c r="N2" s="2543"/>
      <c r="O2" s="2543"/>
      <c r="P2" s="2543"/>
    </row>
    <row r="3" spans="1:16" ht="15.75">
      <c r="A3" s="1984" t="s">
        <v>2076</v>
      </c>
      <c r="B3" s="2387">
        <f ca="1">ROUND(B2*10000/E2,0)</f>
        <v>1390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545</v>
      </c>
      <c r="C6" s="1984" t="s">
        <v>2074</v>
      </c>
      <c r="D6" s="2543"/>
      <c r="E6" s="2397">
        <f ca="1">SUMIF(INDIRECT("'"&amp;A6&amp;"'"&amp;"!C:C"),"建筑面积",INDIRECT("'"&amp;A6&amp;"'"&amp;"!D:D"))</f>
        <v>3919.71</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3919.71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545</v>
      </c>
      <c r="C2" s="1846" t="s">
        <v>1935</v>
      </c>
      <c r="D2" s="162" t="s">
        <v>1936</v>
      </c>
      <c r="E2" s="3119"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2547</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1390</v>
      </c>
      <c r="C3" s="1846" t="s">
        <v>1941</v>
      </c>
      <c r="D3" s="162" t="s">
        <v>1942</v>
      </c>
      <c r="E3" s="3117" t="s">
        <v>2474</v>
      </c>
      <c r="F3" s="1848" t="s">
        <v>3477</v>
      </c>
      <c r="G3" s="708">
        <f>IF(F3="宗地容积率",'数据-汇总表'!I4,IF(F3="估价对象容积率",'数据-汇总表'!I6,'数据-汇总表'!I7))</f>
        <v>2.02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2008</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1697</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1695</v>
      </c>
      <c r="D5" s="1252">
        <f>ROUND(C6*C17+C20,0)</f>
        <v>1695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1497</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1438</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1770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2.02</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7"/>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3233</v>
      </c>
      <c r="B12" s="3012" t="s">
        <v>3234</v>
      </c>
      <c r="C12" s="3013"/>
      <c r="D12" s="3014" t="s">
        <v>3235</v>
      </c>
      <c r="E12" s="3015" t="s">
        <v>3236</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3237</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3238</v>
      </c>
      <c r="G14" s="3019" t="s">
        <v>3238</v>
      </c>
      <c r="H14" s="3019" t="s">
        <v>3238</v>
      </c>
      <c r="I14" s="3019" t="s">
        <v>3238</v>
      </c>
      <c r="J14" s="3019" t="s">
        <v>3238</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3239</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3240</v>
      </c>
      <c r="B17" s="3026" t="s">
        <v>3241</v>
      </c>
      <c r="C17" s="3035">
        <f>ROUND(IF(OR(E2="工业",E2="公共服务"),1,IF(AND(E18=0,E19=0),1,IF(AND(E18=J24,E19=G19),0.8,IF(E19=0,1+E17*(-0.2),1+E17*G17*(-0.2))))),4)</f>
        <v>1</v>
      </c>
      <c r="D17" s="3027" t="s">
        <v>3242</v>
      </c>
      <c r="E17" s="3035">
        <f>ROUND(G18/I18,2)</f>
        <v>0</v>
      </c>
      <c r="F17" s="3027" t="s">
        <v>3245</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3243</v>
      </c>
      <c r="E18" s="2356"/>
      <c r="F18" s="3029" t="s">
        <v>3246</v>
      </c>
      <c r="G18" s="3033">
        <f>ROUND(1-(1/(POWER(1+G24,E18))),4)</f>
        <v>0</v>
      </c>
      <c r="H18" s="3029" t="s">
        <v>3248</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3244</v>
      </c>
      <c r="E19" s="3042"/>
      <c r="F19" s="3043" t="s">
        <v>3247</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2" t="s">
        <v>3249</v>
      </c>
      <c r="B20" s="159" t="s">
        <v>1994</v>
      </c>
      <c r="C20" s="3030">
        <f>ROUND(IF(F21="与级别开发程度一致",0,(G21-E21)/C21),0)</f>
        <v>-75</v>
      </c>
      <c r="D20" s="3045" t="s">
        <v>1998</v>
      </c>
      <c r="E20" s="3046"/>
      <c r="F20" s="3478" t="s">
        <v>1995</v>
      </c>
      <c r="G20" s="3479"/>
      <c r="H20" s="3031" t="s">
        <v>3464</v>
      </c>
      <c r="I20" s="3031" t="s">
        <v>3465</v>
      </c>
      <c r="J20" s="3032" t="s">
        <v>3466</v>
      </c>
      <c r="K20" s="1889" t="s">
        <v>3467</v>
      </c>
      <c r="L20" s="1889" t="s">
        <v>3468</v>
      </c>
      <c r="M20" s="1889" t="s">
        <v>3479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7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3478</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45776</v>
      </c>
      <c r="H23" s="3047" t="s">
        <v>3251</v>
      </c>
      <c r="I23" s="3048" t="str">
        <f>IF(H23="季度增幅（自定义）",SUMIF(N25:N28,E2,O25:O28),"")</f>
        <v/>
      </c>
      <c r="J23" s="3140" t="s">
        <v>3250</v>
      </c>
      <c r="K23" s="1061"/>
      <c r="L23" s="1897" t="s">
        <v>2004</v>
      </c>
      <c r="M23" s="1241">
        <f>ROUND(SUMIF(地价!B2:G2,E2,地价!B16:G16),0)</f>
        <v>318</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0.88580000000000003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33.880000000000003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3330</v>
      </c>
      <c r="C25" s="461">
        <f>IF(B25="容积率修正",IF(G3&lt;10,D26,J26),C27)</f>
        <v>0.81930000000000003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0.81930000000000003</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912" t="s">
        <v>3253</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1.0389999999999999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545</v>
      </c>
      <c r="D30" s="1925"/>
      <c r="E30" s="1842"/>
      <c r="F30" s="1926"/>
      <c r="G30" s="1842"/>
      <c r="H30" s="1842"/>
      <c r="I30" s="1842"/>
      <c r="J30" s="1927"/>
      <c r="K30" s="1056"/>
      <c r="L30" s="3054" t="s">
        <v>1936</v>
      </c>
      <c r="M30" s="3055" t="s">
        <v>1990</v>
      </c>
      <c r="N30" s="3055" t="s">
        <v>1991</v>
      </c>
      <c r="O30" s="3055" t="s">
        <v>1992</v>
      </c>
      <c r="P30" s="3055" t="s">
        <v>1993</v>
      </c>
      <c r="Q30" s="3058"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1390</v>
      </c>
      <c r="D33" s="1940">
        <f>'数据-汇总表'!F19</f>
        <v>3919.71</v>
      </c>
      <c r="E33" s="727">
        <f>ROUND(C33*D33/10000,0)</f>
        <v>545</v>
      </c>
      <c r="F33" s="3049" t="s">
        <v>3255</v>
      </c>
      <c r="G33" s="1941"/>
      <c r="H33" s="1941"/>
      <c r="I33" s="1941"/>
      <c r="J33" s="1942"/>
      <c r="K33" s="1056"/>
      <c r="L33" s="3052" t="s">
        <v>3258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209</v>
      </c>
      <c r="D34" s="1945"/>
      <c r="E34" s="727">
        <f>ROUND(IF(B25="楼层修正",SUM(V2:V16)*M40,C34*D34/10000),0)</f>
        <v>0</v>
      </c>
      <c r="F34" s="1946" t="s">
        <v>2032</v>
      </c>
      <c r="G34" s="1947"/>
      <c r="H34" s="1947"/>
      <c r="I34" s="1947"/>
      <c r="J34" s="1948"/>
      <c r="K34" s="1056"/>
      <c r="L34" s="3052" t="s">
        <v>3259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f>ROUND(D5*C22*C23*C24*C28*F37,0)</f>
        <v>1018</v>
      </c>
      <c r="D37" s="1940"/>
      <c r="E37" s="163">
        <f>ROUND(C37*D37/10000,0)</f>
        <v>0</v>
      </c>
      <c r="F37" s="163">
        <f>SUMIF(修正!A57:A68,G2,修正!B57:B68)</f>
        <v>0.6</v>
      </c>
      <c r="G37" s="163">
        <f>ROUND(IF(E2="工业",C37*$M$42,C37*$M$41),0)</f>
        <v>153</v>
      </c>
      <c r="H37" s="163">
        <f>D37</f>
        <v>0</v>
      </c>
      <c r="I37" s="163">
        <f>ROUND(G37*H37/10000,0)</f>
        <v>0</v>
      </c>
      <c r="J37" s="2753"/>
      <c r="K37" s="3060"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509</v>
      </c>
      <c r="D38" s="1940"/>
      <c r="E38" s="163">
        <f t="shared" ref="E38:E42" si="4">ROUND(C38*D38/10000,0)</f>
        <v>0</v>
      </c>
      <c r="F38" s="163">
        <f>SUMIF(修正!A57:A68,G2,修正!C57:C68)</f>
        <v>0.3</v>
      </c>
      <c r="G38" s="163">
        <f>ROUND(IF(E2="工业",C38*$M$42,C38*$M$41),0)</f>
        <v>76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3254</v>
      </c>
      <c r="C39" s="167">
        <f>ROUND(D5*C22*C23*C24*C28*F39,0)</f>
        <v>424</v>
      </c>
      <c r="D39" s="1940"/>
      <c r="E39" s="163">
        <f t="shared" si="4"/>
        <v>0</v>
      </c>
      <c r="F39" s="163">
        <f>SUMIF(修正!A57:A68,G2,修正!D57:D68)</f>
        <v>0.25</v>
      </c>
      <c r="G39" s="163">
        <f>ROUND(IF(E2="工业",C39*$M$42,C39*$M$41),0)</f>
        <v>64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424</v>
      </c>
      <c r="D40" s="1940"/>
      <c r="E40" s="163">
        <f t="shared" si="4"/>
        <v>0</v>
      </c>
      <c r="F40" s="167">
        <f>SUMIF(修正!A57:A68,G2,修正!E57:E68)</f>
        <v>0.25</v>
      </c>
      <c r="G40" s="163">
        <f>ROUND(IF(E2="工业",C40*$M$42,C40*$M$41),0)</f>
        <v>64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估价对象所在区域公共配套设施较齐备</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估价对象所在区域基础设施水平较好</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估价对象所在区域公共配套设施较齐备</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估价对象所在区域基础设施水平较好</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次干道-中关村南大街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估价对象所在区域公共配套设施较齐备</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估价对象所在区域基础设施水平较好</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1.0389999999999999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3431</v>
      </c>
      <c r="D83" s="1002">
        <f t="shared" ref="D83:D90" si="22">SUMIF($J$82:$N$82,C83,J83:N83)</f>
        <v>1.6899999999999998E-2</v>
      </c>
      <c r="E83" s="702">
        <f>ROUND(SUM(D83:D90),4)</f>
        <v>3.9E-2</v>
      </c>
      <c r="F83" s="1675">
        <f>IF(E2="工业",SUMIF(L1:L12,G2,N1:N12),"——")</f>
        <v>0.13</v>
      </c>
      <c r="G83" s="1000">
        <f>H83</f>
        <v>1.6899999999999998E-2</v>
      </c>
      <c r="H83" s="1003">
        <f t="shared" ref="H83:H90" si="23">IFERROR(ROUNDDOWN($F$83*I83/2,4),"——")</f>
        <v>1.6899999999999998E-2</v>
      </c>
      <c r="I83" s="3067">
        <v>0.26</v>
      </c>
      <c r="J83" s="1001">
        <f t="shared" ref="J83:J90" si="24">K83+$G83</f>
        <v>3.3799999999999997E-2</v>
      </c>
      <c r="K83" s="1001">
        <f t="shared" ref="K83:K90" si="25">$L83+$G83</f>
        <v>1.6899999999999998E-2</v>
      </c>
      <c r="L83" s="1001">
        <v>0</v>
      </c>
      <c r="M83" s="1001">
        <f t="shared" ref="M83:N90" si="26">L83-$G83</f>
        <v>-1.6899999999999998E-2</v>
      </c>
      <c r="N83" s="1001">
        <f t="shared" si="26"/>
        <v>-3.3799999999999997E-2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3487</v>
      </c>
      <c r="D84" s="1002">
        <f t="shared" si="22"/>
        <v>0</v>
      </c>
      <c r="E84" s="705"/>
      <c r="F84" s="1675"/>
      <c r="G84" s="1000">
        <f t="shared" ref="G84:G90" si="27">H84</f>
        <v>1.95E-2</v>
      </c>
      <c r="H84" s="1003">
        <f t="shared" si="23"/>
        <v>1.95E-2</v>
      </c>
      <c r="I84" s="3067">
        <v>0.3</v>
      </c>
      <c r="J84" s="1001">
        <f t="shared" si="24"/>
        <v>3.9E-2</v>
      </c>
      <c r="K84" s="1001">
        <f t="shared" si="25"/>
        <v>1.95E-2</v>
      </c>
      <c r="L84" s="1001">
        <v>0</v>
      </c>
      <c r="M84" s="1001">
        <f t="shared" si="26"/>
        <v>-1.95E-2</v>
      </c>
      <c r="N84" s="1001">
        <f t="shared" si="26"/>
        <v>-3.9E-2</v>
      </c>
      <c r="Z84" s="1845"/>
      <c r="AA84" s="1895"/>
      <c r="AG84" s="1058"/>
      <c r="AK84" s="1895"/>
    </row>
    <row r="85" spans="1:37" ht="36">
      <c r="A85" s="3069" t="s">
        <v>3265</v>
      </c>
      <c r="B85" s="1262">
        <f>估价对象房地状况!G17</f>
        <v>0</v>
      </c>
      <c r="C85" s="1887" t="s">
        <v>3431</v>
      </c>
      <c r="D85" s="1002">
        <f t="shared" si="22"/>
        <v>6.4999999999999997E-3</v>
      </c>
      <c r="E85" s="705"/>
      <c r="F85" s="1675"/>
      <c r="G85" s="1000">
        <f t="shared" si="27"/>
        <v>6.4999999999999997E-3</v>
      </c>
      <c r="H85" s="1003">
        <f t="shared" si="23"/>
        <v>6.4999999999999997E-3</v>
      </c>
      <c r="I85" s="3067">
        <v>0.1</v>
      </c>
      <c r="J85" s="1001">
        <f t="shared" si="24"/>
        <v>1.2999999999999999E-2</v>
      </c>
      <c r="K85" s="1001">
        <f t="shared" si="25"/>
        <v>6.4999999999999997E-3</v>
      </c>
      <c r="L85" s="1001">
        <v>0</v>
      </c>
      <c r="M85" s="1001">
        <f t="shared" si="26"/>
        <v>-6.4999999999999997E-3</v>
      </c>
      <c r="N85" s="1001">
        <f t="shared" si="26"/>
        <v>-1.2999999999999999E-2</v>
      </c>
      <c r="Z85" s="1845"/>
      <c r="AA85" s="1895"/>
      <c r="AG85" s="1058"/>
      <c r="AK85" s="1895"/>
    </row>
    <row r="86" spans="1:37" ht="14.25">
      <c r="A86" s="1970" t="s">
        <v>2067</v>
      </c>
      <c r="B86" s="1262">
        <f>估价对象房地状况!G22</f>
        <v>0</v>
      </c>
      <c r="C86" s="1887" t="s">
        <v>3488</v>
      </c>
      <c r="D86" s="1002">
        <f t="shared" si="22"/>
        <v>-3.2000000000000002E-3</v>
      </c>
      <c r="E86" s="705"/>
      <c r="F86" s="1675"/>
      <c r="G86" s="1000">
        <f t="shared" si="27"/>
        <v>3.2000000000000002E-3</v>
      </c>
      <c r="H86" s="1003">
        <f t="shared" si="23"/>
        <v>3.2000000000000002E-3</v>
      </c>
      <c r="I86" s="3067">
        <v>0.05</v>
      </c>
      <c r="J86" s="1001">
        <f t="shared" si="24"/>
        <v>6.4000000000000003E-3</v>
      </c>
      <c r="K86" s="1001">
        <f t="shared" si="25"/>
        <v>3.2000000000000002E-3</v>
      </c>
      <c r="L86" s="1001">
        <v>0</v>
      </c>
      <c r="M86" s="1001">
        <f t="shared" si="26"/>
        <v>-3.2000000000000002E-3</v>
      </c>
      <c r="N86" s="1001">
        <f t="shared" si="26"/>
        <v>-6.4000000000000003E-3</v>
      </c>
      <c r="Z86" s="1845"/>
      <c r="AA86" s="1895"/>
      <c r="AG86" s="1058"/>
      <c r="AK86" s="1895"/>
    </row>
    <row r="87" spans="1:37" ht="25.5">
      <c r="A87" s="1970" t="s">
        <v>2059</v>
      </c>
      <c r="B87" s="1240" t="str">
        <f>估价对象房地状况!G19</f>
        <v>估价对象所在区域公共配套设施齐备情况</v>
      </c>
      <c r="C87" s="1887" t="s">
        <v>3488</v>
      </c>
      <c r="D87" s="1002">
        <f t="shared" si="22"/>
        <v>-3.8999999999999998E-3</v>
      </c>
      <c r="E87" s="705"/>
      <c r="F87" s="1675"/>
      <c r="G87" s="1000">
        <f t="shared" si="27"/>
        <v>3.8999999999999998E-3</v>
      </c>
      <c r="H87" s="1003">
        <f t="shared" si="23"/>
        <v>3.8999999999999998E-3</v>
      </c>
      <c r="I87" s="3067">
        <v>0.06</v>
      </c>
      <c r="J87" s="1001">
        <f t="shared" si="24"/>
        <v>7.7999999999999996E-3</v>
      </c>
      <c r="K87" s="1001">
        <f t="shared" si="25"/>
        <v>3.8999999999999998E-3</v>
      </c>
      <c r="L87" s="1001">
        <v>0</v>
      </c>
      <c r="M87" s="1001">
        <f t="shared" si="26"/>
        <v>-3.8999999999999998E-3</v>
      </c>
      <c r="N87" s="1001">
        <f t="shared" si="26"/>
        <v>-7.7999999999999996E-3</v>
      </c>
    </row>
    <row r="88" spans="1:37" ht="25.5">
      <c r="A88" s="1970" t="s">
        <v>2060</v>
      </c>
      <c r="B88" s="1240" t="str">
        <f>估价对象房地状况!G20</f>
        <v>估价对象所在区域基础设施水平</v>
      </c>
      <c r="C88" s="1887" t="s">
        <v>3490</v>
      </c>
      <c r="D88" s="1002">
        <f t="shared" si="22"/>
        <v>1.5599999999999999E-2</v>
      </c>
      <c r="E88" s="705"/>
      <c r="F88" s="1675"/>
      <c r="G88" s="1000">
        <f t="shared" si="27"/>
        <v>7.7999999999999996E-3</v>
      </c>
      <c r="H88" s="1003">
        <f t="shared" si="23"/>
        <v>7.7999999999999996E-3</v>
      </c>
      <c r="I88" s="3067">
        <v>0.12</v>
      </c>
      <c r="J88" s="1001">
        <f t="shared" si="24"/>
        <v>1.5599999999999999E-2</v>
      </c>
      <c r="K88" s="1001">
        <f t="shared" si="25"/>
        <v>7.7999999999999996E-3</v>
      </c>
      <c r="L88" s="1001">
        <v>0</v>
      </c>
      <c r="M88" s="1001">
        <f t="shared" si="26"/>
        <v>-7.7999999999999996E-3</v>
      </c>
      <c r="N88" s="1001">
        <f t="shared" si="26"/>
        <v>-1.5599999999999999E-2</v>
      </c>
    </row>
    <row r="89" spans="1:37" ht="24">
      <c r="A89" s="1970" t="s">
        <v>2057</v>
      </c>
      <c r="B89" s="1975" t="s">
        <v>2071</v>
      </c>
      <c r="C89" s="1887" t="s">
        <v>3431</v>
      </c>
      <c r="D89" s="1002">
        <f t="shared" si="22"/>
        <v>3.8999999999999998E-3</v>
      </c>
      <c r="E89" s="705"/>
      <c r="F89" s="1675"/>
      <c r="G89" s="1000">
        <f t="shared" si="27"/>
        <v>3.8999999999999998E-3</v>
      </c>
      <c r="H89" s="1003">
        <f t="shared" si="23"/>
        <v>3.8999999999999998E-3</v>
      </c>
      <c r="I89" s="3067">
        <v>0.06</v>
      </c>
      <c r="J89" s="1001">
        <f t="shared" si="24"/>
        <v>7.7999999999999996E-3</v>
      </c>
      <c r="K89" s="1001">
        <f t="shared" si="25"/>
        <v>3.8999999999999998E-3</v>
      </c>
      <c r="L89" s="1001">
        <v>0</v>
      </c>
      <c r="M89" s="1001">
        <f t="shared" si="26"/>
        <v>-3.8999999999999998E-3</v>
      </c>
      <c r="N89" s="1001">
        <f t="shared" si="26"/>
        <v>-7.7999999999999996E-3</v>
      </c>
    </row>
    <row r="90" spans="1:37" ht="39" thickBot="1">
      <c r="A90" s="1977" t="s">
        <v>2072</v>
      </c>
      <c r="B90" s="1982" t="str">
        <f>估价对象房地状况!G18</f>
        <v>该园区内是否有污染型企业，绿化情况，卫生条件，整体环境状况判断</v>
      </c>
      <c r="C90" s="1887" t="s">
        <v>3431</v>
      </c>
      <c r="D90" s="1002">
        <f t="shared" si="22"/>
        <v>3.2000000000000002E-3</v>
      </c>
      <c r="E90" s="706"/>
      <c r="F90" s="1675"/>
      <c r="G90" s="1000">
        <f t="shared" si="27"/>
        <v>3.2000000000000002E-3</v>
      </c>
      <c r="H90" s="1003">
        <f t="shared" si="23"/>
        <v>3.2000000000000002E-3</v>
      </c>
      <c r="I90" s="3068">
        <v>0.05</v>
      </c>
      <c r="J90" s="1001">
        <f t="shared" si="24"/>
        <v>6.4000000000000003E-3</v>
      </c>
      <c r="K90" s="1001">
        <f t="shared" si="25"/>
        <v>3.2000000000000002E-3</v>
      </c>
      <c r="L90" s="1001">
        <v>0</v>
      </c>
      <c r="M90" s="1001">
        <f t="shared" si="26"/>
        <v>-3.2000000000000002E-3</v>
      </c>
      <c r="N90" s="1001">
        <f t="shared" si="26"/>
        <v>-6.4000000000000003E-3</v>
      </c>
    </row>
    <row r="91" spans="1:37" ht="15">
      <c r="A91" s="3077" t="s">
        <v>2607</v>
      </c>
      <c r="B91" s="3078">
        <f>1+E93</f>
        <v>1</v>
      </c>
      <c r="C91" s="3071"/>
      <c r="D91" s="3072"/>
      <c r="E91" s="1675"/>
      <c r="F91" s="1675"/>
      <c r="G91" s="3073"/>
      <c r="H91" s="3074"/>
      <c r="I91" s="3075"/>
      <c r="J91" s="3076"/>
      <c r="K91" s="3076"/>
      <c r="L91" s="3076"/>
      <c r="M91" s="3076"/>
      <c r="N91" s="3076"/>
    </row>
    <row r="92" spans="1:37" ht="24.75">
      <c r="A92" s="3079" t="s">
        <v>3266</v>
      </c>
      <c r="B92" s="2309"/>
      <c r="C92" s="2309" t="s">
        <v>3275</v>
      </c>
      <c r="D92" s="2309" t="s">
        <v>3276</v>
      </c>
      <c r="E92" s="3051" t="s">
        <v>3277</v>
      </c>
      <c r="F92" s="3081" t="s">
        <v>3278</v>
      </c>
      <c r="G92" s="2309" t="s">
        <v>3279</v>
      </c>
      <c r="H92" s="3088" t="s">
        <v>3282</v>
      </c>
      <c r="I92" s="2309" t="s">
        <v>3283</v>
      </c>
      <c r="J92" s="2150" t="s">
        <v>3284</v>
      </c>
      <c r="K92" s="2150" t="s">
        <v>3285</v>
      </c>
      <c r="L92" s="2150" t="s">
        <v>3286</v>
      </c>
      <c r="M92" s="2150" t="s">
        <v>3287</v>
      </c>
      <c r="N92" s="2150" t="s">
        <v>3288</v>
      </c>
    </row>
    <row r="93" spans="1:37" ht="24">
      <c r="A93" s="3069" t="s">
        <v>3267</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8">K93+$G93</f>
        <v>0</v>
      </c>
      <c r="K93" s="1912">
        <f t="shared" ref="K93:K101" si="29">$L93+$G93</f>
        <v>0</v>
      </c>
      <c r="L93" s="1912">
        <v>0</v>
      </c>
      <c r="M93" s="1912">
        <f t="shared" ref="M93:N101" si="30">L93-$G93</f>
        <v>0</v>
      </c>
      <c r="N93" s="1912">
        <f t="shared" si="30"/>
        <v>0</v>
      </c>
    </row>
    <row r="94" spans="1:37" ht="38.25">
      <c r="A94" s="3079" t="s">
        <v>3268</v>
      </c>
      <c r="B94" s="3070" t="str">
        <f>估价对象房地状况!C18</f>
        <v>有695、323、425路等公交路线经过，紧邻地铁4号线——人民大学站，交通便捷度较好</v>
      </c>
      <c r="C94" s="1887"/>
      <c r="D94" s="2309">
        <f t="shared" ref="D94:D101" si="31">SUMIF($J$60:$N$60,C94,J94:N94)</f>
        <v>0</v>
      </c>
      <c r="E94" s="3083"/>
      <c r="F94" s="1675"/>
      <c r="G94" s="3073"/>
      <c r="H94" s="3118" t="str">
        <f>IFERROR(ROUNDDOWN($F$93*I94/2,4),"——")</f>
        <v>——</v>
      </c>
      <c r="I94" s="3067">
        <v>0.26</v>
      </c>
      <c r="J94" s="1912">
        <f t="shared" si="28"/>
        <v>0</v>
      </c>
      <c r="K94" s="1912">
        <f t="shared" si="29"/>
        <v>0</v>
      </c>
      <c r="L94" s="1912">
        <v>0</v>
      </c>
      <c r="M94" s="1912">
        <f t="shared" si="30"/>
        <v>0</v>
      </c>
      <c r="N94" s="1912">
        <f t="shared" si="30"/>
        <v>0</v>
      </c>
    </row>
    <row r="95" spans="1:37" ht="36">
      <c r="A95" s="3069" t="s">
        <v>3264</v>
      </c>
      <c r="B95" s="3070">
        <f>估价对象房地状况!C19</f>
        <v>0</v>
      </c>
      <c r="C95" s="1887"/>
      <c r="D95" s="2309">
        <f t="shared" si="31"/>
        <v>0</v>
      </c>
      <c r="E95" s="3083"/>
      <c r="F95" s="1675"/>
      <c r="G95" s="3073"/>
      <c r="H95" s="3118" t="str">
        <f t="shared" ref="H95:H101" si="32">IFERROR(ROUNDDOWN($F$93*I95/2,4),"——")</f>
        <v>——</v>
      </c>
      <c r="I95" s="3067">
        <v>0.11</v>
      </c>
      <c r="J95" s="1912">
        <f t="shared" si="28"/>
        <v>0</v>
      </c>
      <c r="K95" s="1912">
        <f t="shared" si="29"/>
        <v>0</v>
      </c>
      <c r="L95" s="1912">
        <v>0</v>
      </c>
      <c r="M95" s="1912">
        <f t="shared" si="30"/>
        <v>0</v>
      </c>
      <c r="N95" s="1912">
        <f t="shared" si="30"/>
        <v>0</v>
      </c>
    </row>
    <row r="96" spans="1:37" ht="36.75">
      <c r="A96" s="3079" t="s">
        <v>3269</v>
      </c>
      <c r="B96" s="3085" t="s">
        <v>3280</v>
      </c>
      <c r="C96" s="1887"/>
      <c r="D96" s="2309">
        <f t="shared" si="31"/>
        <v>0</v>
      </c>
      <c r="E96" s="3083"/>
      <c r="F96" s="1675"/>
      <c r="G96" s="3073"/>
      <c r="H96" s="3118" t="str">
        <f t="shared" si="32"/>
        <v>——</v>
      </c>
      <c r="I96" s="3067">
        <v>0.05</v>
      </c>
      <c r="J96" s="1912">
        <f t="shared" si="28"/>
        <v>0</v>
      </c>
      <c r="K96" s="1912">
        <f t="shared" si="29"/>
        <v>0</v>
      </c>
      <c r="L96" s="1912">
        <v>0</v>
      </c>
      <c r="M96" s="1912">
        <f t="shared" si="30"/>
        <v>0</v>
      </c>
      <c r="N96" s="1912">
        <f t="shared" si="30"/>
        <v>0</v>
      </c>
    </row>
    <row r="97" spans="1:14" ht="24">
      <c r="A97" s="3079" t="s">
        <v>3270</v>
      </c>
      <c r="B97" s="3070" t="str">
        <f>估价对象房地状况!C24</f>
        <v>次干道-中关村南大街</v>
      </c>
      <c r="C97" s="1887"/>
      <c r="D97" s="2309">
        <f t="shared" si="31"/>
        <v>0</v>
      </c>
      <c r="E97" s="3083"/>
      <c r="F97" s="1675"/>
      <c r="G97" s="3073"/>
      <c r="H97" s="3118" t="str">
        <f t="shared" si="32"/>
        <v>——</v>
      </c>
      <c r="I97" s="3067">
        <v>0.05</v>
      </c>
      <c r="J97" s="1912">
        <f t="shared" si="28"/>
        <v>0</v>
      </c>
      <c r="K97" s="1912">
        <f t="shared" si="29"/>
        <v>0</v>
      </c>
      <c r="L97" s="1912">
        <v>0</v>
      </c>
      <c r="M97" s="1912">
        <f t="shared" si="30"/>
        <v>0</v>
      </c>
      <c r="N97" s="1912">
        <f t="shared" si="30"/>
        <v>0</v>
      </c>
    </row>
    <row r="98" spans="1:14" ht="24">
      <c r="A98" s="3079" t="s">
        <v>3271</v>
      </c>
      <c r="B98" s="3086" t="s">
        <v>3281</v>
      </c>
      <c r="C98" s="1887"/>
      <c r="D98" s="2309">
        <f t="shared" si="31"/>
        <v>0</v>
      </c>
      <c r="E98" s="3083"/>
      <c r="F98" s="1675"/>
      <c r="G98" s="3073"/>
      <c r="H98" s="3118" t="str">
        <f t="shared" si="32"/>
        <v>——</v>
      </c>
      <c r="I98" s="3067">
        <v>0.06</v>
      </c>
      <c r="J98" s="1912">
        <f t="shared" si="28"/>
        <v>0</v>
      </c>
      <c r="K98" s="1912">
        <f t="shared" si="29"/>
        <v>0</v>
      </c>
      <c r="L98" s="1912">
        <v>0</v>
      </c>
      <c r="M98" s="1912">
        <f t="shared" si="30"/>
        <v>0</v>
      </c>
      <c r="N98" s="1912">
        <f t="shared" si="30"/>
        <v>0</v>
      </c>
    </row>
    <row r="99" spans="1:14" ht="25.5">
      <c r="A99" s="3079" t="s">
        <v>3272</v>
      </c>
      <c r="B99" s="3070" t="str">
        <f>估价对象房地状况!C21</f>
        <v>估价对象所在区域公共配套设施较齐备</v>
      </c>
      <c r="C99" s="1887"/>
      <c r="D99" s="2309">
        <f t="shared" si="31"/>
        <v>0</v>
      </c>
      <c r="E99" s="3083"/>
      <c r="F99" s="1675"/>
      <c r="G99" s="3073"/>
      <c r="H99" s="3118" t="str">
        <f t="shared" si="32"/>
        <v>——</v>
      </c>
      <c r="I99" s="3067">
        <v>0.06</v>
      </c>
      <c r="J99" s="1912">
        <f t="shared" si="28"/>
        <v>0</v>
      </c>
      <c r="K99" s="1912">
        <f t="shared" si="29"/>
        <v>0</v>
      </c>
      <c r="L99" s="1912">
        <v>0</v>
      </c>
      <c r="M99" s="1912">
        <f t="shared" si="30"/>
        <v>0</v>
      </c>
      <c r="N99" s="1912">
        <f t="shared" si="30"/>
        <v>0</v>
      </c>
    </row>
    <row r="100" spans="1:14" ht="25.5">
      <c r="A100" s="3079" t="s">
        <v>3273</v>
      </c>
      <c r="B100" s="3070" t="str">
        <f>估价对象房地状况!C22</f>
        <v>估价对象所在区域基础设施水平较好</v>
      </c>
      <c r="C100" s="1887"/>
      <c r="D100" s="2309">
        <f t="shared" si="31"/>
        <v>0</v>
      </c>
      <c r="E100" s="3083"/>
      <c r="F100" s="1675"/>
      <c r="G100" s="3073"/>
      <c r="H100" s="3118" t="str">
        <f t="shared" si="32"/>
        <v>——</v>
      </c>
      <c r="I100" s="3067">
        <v>0.09</v>
      </c>
      <c r="J100" s="1912">
        <f t="shared" si="28"/>
        <v>0</v>
      </c>
      <c r="K100" s="1912">
        <f t="shared" si="29"/>
        <v>0</v>
      </c>
      <c r="L100" s="1912">
        <v>0</v>
      </c>
      <c r="M100" s="1912">
        <f t="shared" si="30"/>
        <v>0</v>
      </c>
      <c r="N100" s="1912">
        <f t="shared" si="30"/>
        <v>0</v>
      </c>
    </row>
    <row r="101" spans="1:14" ht="39" thickBot="1">
      <c r="A101" s="3080" t="s">
        <v>3274</v>
      </c>
      <c r="B101" s="3087" t="str">
        <f>估价对象房地状况!C20</f>
        <v>周边有动物园、北京艺术博物馆、双榆树公园等自然人文环境，质量较好</v>
      </c>
      <c r="C101" s="1887"/>
      <c r="D101" s="2309">
        <f t="shared" si="31"/>
        <v>0</v>
      </c>
      <c r="E101" s="3084"/>
      <c r="F101" s="1675"/>
      <c r="G101" s="3073"/>
      <c r="H101" s="3118" t="str">
        <f t="shared" si="32"/>
        <v>——</v>
      </c>
      <c r="I101" s="3068">
        <v>7.0000000000000007E-2</v>
      </c>
      <c r="J101" s="1912">
        <f t="shared" si="28"/>
        <v>0</v>
      </c>
      <c r="K101" s="1912">
        <f t="shared" si="29"/>
        <v>0</v>
      </c>
      <c r="L101" s="1912">
        <v>0</v>
      </c>
      <c r="M101" s="1912">
        <f t="shared" si="30"/>
        <v>0</v>
      </c>
      <c r="N101" s="1912">
        <f t="shared" si="30"/>
        <v>0</v>
      </c>
    </row>
    <row r="103" spans="1:14">
      <c r="A103" s="3474" t="s">
        <v>3289</v>
      </c>
      <c r="B103" s="3474"/>
      <c r="C103" s="3474"/>
      <c r="D103" s="3474"/>
      <c r="E103" s="3474"/>
      <c r="F103" s="3474"/>
      <c r="G103" s="3474"/>
      <c r="H103" s="3474"/>
      <c r="I103" s="3474"/>
      <c r="J103" s="3474"/>
      <c r="K103" s="1667"/>
      <c r="L103" s="1667"/>
      <c r="M103" s="1667"/>
      <c r="N103" s="1667"/>
    </row>
    <row r="104" spans="1:14">
      <c r="A104" s="3475" t="s">
        <v>3290</v>
      </c>
      <c r="B104" s="3475" t="s">
        <v>3291</v>
      </c>
      <c r="C104" s="3089" t="s">
        <v>3292</v>
      </c>
      <c r="D104" s="3090"/>
      <c r="E104" s="3090"/>
      <c r="F104" s="3090"/>
      <c r="G104" s="3090"/>
      <c r="H104" s="3090"/>
      <c r="I104" s="3090"/>
      <c r="J104" s="3091"/>
      <c r="K104" s="3092"/>
      <c r="L104" s="3092"/>
      <c r="M104" s="3092"/>
      <c r="N104" s="3092"/>
    </row>
    <row r="105" spans="1:14">
      <c r="A105" s="3475"/>
      <c r="B105" s="3475"/>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461"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64" t="s">
        <v>3306</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3307</v>
      </c>
      <c r="B116" s="3113">
        <f>G3</f>
        <v>2.02</v>
      </c>
      <c r="C116" s="3098" t="s">
        <v>3308</v>
      </c>
      <c r="D116" s="3099">
        <f>SUMPRODUCT((A118:A122=F116)*(B117:M117=H116)*B118:M122)</f>
        <v>0.62480000000000002</v>
      </c>
      <c r="E116" s="162" t="s">
        <v>3309</v>
      </c>
      <c r="F116" s="3100" t="str">
        <f>E2</f>
        <v>工业</v>
      </c>
      <c r="G116" s="162" t="s">
        <v>3310</v>
      </c>
      <c r="H116" s="3100" t="str">
        <f>G2</f>
        <v>七级</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0.97460000000000002</v>
      </c>
      <c r="C118" s="3088">
        <f>B118</f>
        <v>0.97460000000000002</v>
      </c>
      <c r="D118" s="3088">
        <f>ROUND(0.949-0.014*B116,4)</f>
        <v>0.92069999999999996</v>
      </c>
      <c r="E118" s="3088">
        <f>D118</f>
        <v>0.92069999999999996</v>
      </c>
      <c r="F118" s="3088">
        <f>E118</f>
        <v>0.92069999999999996</v>
      </c>
      <c r="G118" s="3088">
        <f>F118</f>
        <v>0.92069999999999996</v>
      </c>
      <c r="H118" s="3088">
        <f>G118</f>
        <v>0.92069999999999996</v>
      </c>
      <c r="I118" s="3088">
        <f>ROUND(0.8486-0.018*B116,4)</f>
        <v>0.81220000000000003</v>
      </c>
      <c r="J118" s="3088">
        <f t="shared" ref="J118:M122" si="36">I118</f>
        <v>0.81220000000000003</v>
      </c>
      <c r="K118" s="3088">
        <f t="shared" si="36"/>
        <v>0.81220000000000003</v>
      </c>
      <c r="L118" s="3088">
        <f t="shared" si="36"/>
        <v>0.81220000000000003</v>
      </c>
      <c r="M118" s="3108">
        <f t="shared" si="36"/>
        <v>0.81220000000000003</v>
      </c>
      <c r="N118" s="3096"/>
    </row>
    <row r="119" spans="1:14">
      <c r="A119" s="3056" t="s">
        <v>3324</v>
      </c>
      <c r="B119" s="3088">
        <f>ROUND(0.993-0.0112*B116,4)</f>
        <v>0.97040000000000004</v>
      </c>
      <c r="C119" s="3088">
        <f>B119</f>
        <v>0.97040000000000004</v>
      </c>
      <c r="D119" s="3088">
        <f>ROUND(0.9415-0.0142*B116,4)</f>
        <v>0.91279999999999994</v>
      </c>
      <c r="E119" s="3088">
        <f t="shared" ref="E119:H120" si="37">D119</f>
        <v>0.91279999999999994</v>
      </c>
      <c r="F119" s="3088">
        <f t="shared" si="37"/>
        <v>0.91279999999999994</v>
      </c>
      <c r="G119" s="3088">
        <f t="shared" si="37"/>
        <v>0.91279999999999994</v>
      </c>
      <c r="H119" s="3088">
        <f t="shared" si="37"/>
        <v>0.91279999999999994</v>
      </c>
      <c r="I119" s="3088">
        <f>ROUND(0.838-0.0182*B116,4)</f>
        <v>0.80120000000000002</v>
      </c>
      <c r="J119" s="3088">
        <f t="shared" si="36"/>
        <v>0.80120000000000002</v>
      </c>
      <c r="K119" s="3088">
        <f t="shared" si="36"/>
        <v>0.80120000000000002</v>
      </c>
      <c r="L119" s="3088">
        <f t="shared" si="36"/>
        <v>0.80120000000000002</v>
      </c>
      <c r="M119" s="3108">
        <f t="shared" si="36"/>
        <v>0.80120000000000002</v>
      </c>
      <c r="N119" s="3096"/>
    </row>
    <row r="120" spans="1:14">
      <c r="A120" s="3056" t="s">
        <v>3325</v>
      </c>
      <c r="B120" s="3088">
        <f>ROUND(0.9448-0.0115*B116,4)</f>
        <v>0.92159999999999997</v>
      </c>
      <c r="C120" s="3088">
        <f>B120</f>
        <v>0.92159999999999997</v>
      </c>
      <c r="D120" s="3088">
        <f>ROUND(0.937-0.0145*B116,4)</f>
        <v>0.90769999999999995</v>
      </c>
      <c r="E120" s="3088">
        <f t="shared" si="37"/>
        <v>0.90769999999999995</v>
      </c>
      <c r="F120" s="3088">
        <f t="shared" si="37"/>
        <v>0.90769999999999995</v>
      </c>
      <c r="G120" s="3088">
        <f t="shared" si="37"/>
        <v>0.90769999999999995</v>
      </c>
      <c r="H120" s="3088">
        <f t="shared" si="37"/>
        <v>0.90769999999999995</v>
      </c>
      <c r="I120" s="3088">
        <f>ROUND(0.7965-0.0185*B116,4)</f>
        <v>0.7591</v>
      </c>
      <c r="J120" s="3088">
        <f t="shared" si="36"/>
        <v>0.7591</v>
      </c>
      <c r="K120" s="3088">
        <f t="shared" si="36"/>
        <v>0.7591</v>
      </c>
      <c r="L120" s="3088">
        <f t="shared" si="36"/>
        <v>0.7591</v>
      </c>
      <c r="M120" s="3108">
        <f t="shared" si="36"/>
        <v>0.7591</v>
      </c>
      <c r="N120" s="3096"/>
    </row>
    <row r="121" spans="1:14" ht="13.5" thickBot="1">
      <c r="A121" s="3109" t="s">
        <v>3326</v>
      </c>
      <c r="B121" s="3110">
        <f>ROUND(0.7836-0.012*B116,4)</f>
        <v>0.75939999999999996</v>
      </c>
      <c r="C121" s="3110">
        <f>B121</f>
        <v>0.75939999999999996</v>
      </c>
      <c r="D121" s="3110">
        <f>ROUND(0.753-0.015*B116,4)</f>
        <v>0.72270000000000001</v>
      </c>
      <c r="E121" s="3110">
        <f>D121</f>
        <v>0.72270000000000001</v>
      </c>
      <c r="F121" s="3110">
        <f>E121</f>
        <v>0.72270000000000001</v>
      </c>
      <c r="G121" s="3110">
        <f>ROUND(0.6612-0.018*B116,4)</f>
        <v>0.62480000000000002</v>
      </c>
      <c r="H121" s="3110">
        <f>G121</f>
        <v>0.62480000000000002</v>
      </c>
      <c r="I121" s="3110">
        <f>ROUND(0.5905-0.019*B116,4)</f>
        <v>0.55210000000000004</v>
      </c>
      <c r="J121" s="3110">
        <f t="shared" si="36"/>
        <v>0.55210000000000004</v>
      </c>
      <c r="K121" s="3110">
        <f t="shared" si="36"/>
        <v>0.55210000000000004</v>
      </c>
      <c r="L121" s="3110">
        <f t="shared" si="36"/>
        <v>0.55210000000000004</v>
      </c>
      <c r="M121" s="3111">
        <f t="shared" si="36"/>
        <v>0.55210000000000004</v>
      </c>
      <c r="N121" s="3096"/>
    </row>
    <row r="122" spans="1:14">
      <c r="A122" s="3112" t="s">
        <v>2607</v>
      </c>
      <c r="B122" s="3088">
        <f>ROUND(0.9404-0.0106*B116,4)</f>
        <v>0.91900000000000004</v>
      </c>
      <c r="C122" s="3088">
        <f>B122</f>
        <v>0.91900000000000004</v>
      </c>
      <c r="D122" s="3088">
        <f>ROUND(0.8955-0.0135*B116,4)</f>
        <v>0.86819999999999997</v>
      </c>
      <c r="E122" s="3088">
        <f t="shared" ref="E122:H122" si="38">D122</f>
        <v>0.86819999999999997</v>
      </c>
      <c r="F122" s="3088">
        <f t="shared" si="38"/>
        <v>0.86819999999999997</v>
      </c>
      <c r="G122" s="3088">
        <f t="shared" si="38"/>
        <v>0.86819999999999997</v>
      </c>
      <c r="H122" s="3088">
        <f t="shared" si="38"/>
        <v>0.86819999999999997</v>
      </c>
      <c r="I122" s="3088">
        <f>ROUND(0.7632-0.0166*B116,4)</f>
        <v>0.72970000000000002</v>
      </c>
      <c r="J122" s="3088">
        <f t="shared" si="36"/>
        <v>0.72970000000000002</v>
      </c>
      <c r="K122" s="3088">
        <f t="shared" si="36"/>
        <v>0.72970000000000002</v>
      </c>
      <c r="L122" s="3088">
        <f t="shared" si="36"/>
        <v>0.72970000000000002</v>
      </c>
      <c r="M122" s="3108">
        <f t="shared" si="36"/>
        <v>0.72970000000000002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2589</v>
      </c>
      <c r="B1" s="2810" t="s">
        <v>2590</v>
      </c>
      <c r="C1" s="2810" t="s">
        <v>2591</v>
      </c>
      <c r="D1" s="2810" t="s">
        <v>2592</v>
      </c>
      <c r="E1" s="2810" t="s">
        <v>2593</v>
      </c>
      <c r="F1" s="2810" t="s">
        <v>2594</v>
      </c>
      <c r="G1" s="2810" t="s">
        <v>2595</v>
      </c>
      <c r="H1" s="2810" t="s">
        <v>2596</v>
      </c>
      <c r="I1" s="2810" t="s">
        <v>2597</v>
      </c>
      <c r="J1" s="2810" t="s">
        <v>2598</v>
      </c>
      <c r="K1" s="2810" t="s">
        <v>2599</v>
      </c>
      <c r="L1" s="2810" t="s">
        <v>2600</v>
      </c>
      <c r="M1" s="2811" t="s">
        <v>2601</v>
      </c>
    </row>
    <row r="2" spans="1:13" ht="19.5" customHeight="1">
      <c r="A2" s="2813" t="s">
        <v>2602</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2603</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2604</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2605</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2606</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2607</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2608</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2609</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2610</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2611</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2612</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2613</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2614</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2615</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2616</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2617</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2618</v>
      </c>
      <c r="B18" s="2835"/>
      <c r="C18" s="2836"/>
      <c r="D18" s="2836"/>
      <c r="E18" s="2835"/>
      <c r="F18" s="2836"/>
      <c r="G18" s="2836"/>
    </row>
    <row r="19" spans="1:13" ht="19.5" customHeight="1" thickBot="1">
      <c r="A19" s="2833" t="s">
        <v>2619</v>
      </c>
      <c r="B19" s="2838" t="s">
        <v>2620</v>
      </c>
      <c r="C19" s="2838" t="s">
        <v>2621</v>
      </c>
      <c r="D19" s="2839"/>
      <c r="E19" s="2833" t="s">
        <v>2622</v>
      </c>
      <c r="F19" s="2840"/>
      <c r="G19" s="2840"/>
    </row>
    <row r="20" spans="1:13" ht="19.5" customHeight="1">
      <c r="A20" s="3487" t="s">
        <v>2602</v>
      </c>
      <c r="B20" s="3480" t="s">
        <v>2623</v>
      </c>
      <c r="C20" s="2841" t="s">
        <v>2434</v>
      </c>
      <c r="D20" s="2842"/>
      <c r="E20" s="2843">
        <v>1</v>
      </c>
      <c r="F20" s="2844" t="s">
        <v>2435</v>
      </c>
      <c r="G20" s="2844"/>
    </row>
    <row r="21" spans="1:13" ht="19.5" customHeight="1">
      <c r="A21" s="3488"/>
      <c r="B21" s="3481"/>
      <c r="C21" s="2845" t="s">
        <v>2436</v>
      </c>
      <c r="D21" s="2846"/>
      <c r="E21" s="2847">
        <v>1</v>
      </c>
      <c r="F21" s="2844" t="s">
        <v>2437</v>
      </c>
      <c r="G21" s="2844"/>
    </row>
    <row r="22" spans="1:13" ht="19.5" customHeight="1">
      <c r="A22" s="3488"/>
      <c r="B22" s="3481"/>
      <c r="C22" s="2845" t="s">
        <v>2438</v>
      </c>
      <c r="D22" s="2846"/>
      <c r="E22" s="2847">
        <v>0.9</v>
      </c>
      <c r="F22" s="2844" t="s">
        <v>2439</v>
      </c>
      <c r="G22" s="2844"/>
    </row>
    <row r="23" spans="1:13" ht="19.5" customHeight="1">
      <c r="A23" s="3488"/>
      <c r="B23" s="3481"/>
      <c r="C23" s="2845" t="s">
        <v>2440</v>
      </c>
      <c r="D23" s="2846"/>
      <c r="E23" s="2847">
        <v>0.9</v>
      </c>
      <c r="F23" s="2844" t="s">
        <v>2441</v>
      </c>
      <c r="G23" s="2844"/>
    </row>
    <row r="24" spans="1:13" ht="19.5" customHeight="1">
      <c r="A24" s="3488"/>
      <c r="B24" s="3481"/>
      <c r="C24" s="2845" t="s">
        <v>2442</v>
      </c>
      <c r="D24" s="2846"/>
      <c r="E24" s="2847">
        <v>0.8</v>
      </c>
      <c r="F24" s="2844" t="s">
        <v>2443</v>
      </c>
      <c r="G24" s="2844"/>
    </row>
    <row r="25" spans="1:13" ht="19.5" customHeight="1" thickBot="1">
      <c r="A25" s="3489"/>
      <c r="B25" s="3482"/>
      <c r="C25" s="2848" t="s">
        <v>2444</v>
      </c>
      <c r="D25" s="2849"/>
      <c r="E25" s="2850">
        <v>0.8</v>
      </c>
      <c r="F25" s="2844" t="s">
        <v>2445</v>
      </c>
      <c r="G25" s="2844"/>
    </row>
    <row r="26" spans="1:13" ht="19.5" customHeight="1" thickBot="1">
      <c r="A26" s="2851" t="s">
        <v>2624</v>
      </c>
      <c r="B26" s="2852" t="s">
        <v>2623</v>
      </c>
      <c r="C26" s="2853" t="s">
        <v>2625</v>
      </c>
      <c r="D26" s="2854"/>
      <c r="E26" s="2855">
        <v>1</v>
      </c>
      <c r="F26" s="2844" t="s">
        <v>2446</v>
      </c>
      <c r="G26" s="2844"/>
    </row>
    <row r="27" spans="1:13" ht="19.5" customHeight="1">
      <c r="A27" s="3483" t="s">
        <v>2626</v>
      </c>
      <c r="B27" s="3480" t="s">
        <v>2607</v>
      </c>
      <c r="C27" s="2841" t="s">
        <v>2447</v>
      </c>
      <c r="D27" s="2842"/>
      <c r="E27" s="2843">
        <v>1</v>
      </c>
      <c r="F27" s="2844" t="s">
        <v>2448</v>
      </c>
      <c r="G27" s="2844"/>
    </row>
    <row r="28" spans="1:13" ht="19.5" customHeight="1">
      <c r="A28" s="3484"/>
      <c r="B28" s="3481"/>
      <c r="C28" s="2845" t="s">
        <v>2449</v>
      </c>
      <c r="D28" s="2846"/>
      <c r="E28" s="2847">
        <v>1</v>
      </c>
      <c r="F28" s="2844" t="s">
        <v>2450</v>
      </c>
      <c r="G28" s="2844"/>
    </row>
    <row r="29" spans="1:13" ht="19.5" customHeight="1">
      <c r="A29" s="3484"/>
      <c r="B29" s="3481"/>
      <c r="C29" s="2845" t="s">
        <v>2451</v>
      </c>
      <c r="D29" s="2846"/>
      <c r="E29" s="2847">
        <v>0.8</v>
      </c>
      <c r="F29" s="2844" t="s">
        <v>2452</v>
      </c>
      <c r="G29" s="2844"/>
    </row>
    <row r="30" spans="1:13" ht="19.5" customHeight="1">
      <c r="A30" s="3484"/>
      <c r="B30" s="3481"/>
      <c r="C30" s="2845" t="s">
        <v>2453</v>
      </c>
      <c r="D30" s="2846"/>
      <c r="E30" s="2847">
        <v>0.8</v>
      </c>
      <c r="F30" s="2844" t="s">
        <v>2454</v>
      </c>
      <c r="G30" s="2844"/>
    </row>
    <row r="31" spans="1:13" ht="19.5" customHeight="1">
      <c r="A31" s="3484"/>
      <c r="B31" s="3481"/>
      <c r="C31" s="2845" t="s">
        <v>2455</v>
      </c>
      <c r="D31" s="2846"/>
      <c r="E31" s="2847">
        <v>0.8</v>
      </c>
      <c r="F31" s="2844" t="s">
        <v>2456</v>
      </c>
      <c r="G31" s="2844"/>
    </row>
    <row r="32" spans="1:13" ht="19.5" customHeight="1">
      <c r="A32" s="3484"/>
      <c r="B32" s="3481"/>
      <c r="C32" s="2845" t="s">
        <v>2457</v>
      </c>
      <c r="D32" s="2846"/>
      <c r="E32" s="2847">
        <v>0.7</v>
      </c>
      <c r="F32" s="2844" t="s">
        <v>2458</v>
      </c>
      <c r="G32" s="2844"/>
    </row>
    <row r="33" spans="1:7" ht="19.5" customHeight="1">
      <c r="A33" s="3484"/>
      <c r="B33" s="3481"/>
      <c r="C33" s="2845" t="s">
        <v>2459</v>
      </c>
      <c r="D33" s="2846"/>
      <c r="E33" s="2847">
        <v>0.8</v>
      </c>
      <c r="F33" s="2844" t="s">
        <v>2460</v>
      </c>
      <c r="G33" s="2844"/>
    </row>
    <row r="34" spans="1:7" ht="19.5" customHeight="1">
      <c r="A34" s="3484"/>
      <c r="B34" s="3481"/>
      <c r="C34" s="2845" t="s">
        <v>2461</v>
      </c>
      <c r="D34" s="2846"/>
      <c r="E34" s="2847">
        <v>0.6</v>
      </c>
      <c r="F34" s="2844" t="s">
        <v>2462</v>
      </c>
      <c r="G34" s="2844"/>
    </row>
    <row r="35" spans="1:7" ht="19.5" customHeight="1">
      <c r="A35" s="3484"/>
      <c r="B35" s="3481"/>
      <c r="C35" s="2845" t="s">
        <v>2463</v>
      </c>
      <c r="D35" s="2846"/>
      <c r="E35" s="2847">
        <v>0.2</v>
      </c>
      <c r="F35" s="2844" t="s">
        <v>2464</v>
      </c>
      <c r="G35" s="2844"/>
    </row>
    <row r="36" spans="1:7" ht="19.5" customHeight="1">
      <c r="A36" s="3484"/>
      <c r="B36" s="3481"/>
      <c r="C36" s="2845" t="s">
        <v>2465</v>
      </c>
      <c r="D36" s="2846"/>
      <c r="E36" s="2847">
        <v>0.2</v>
      </c>
      <c r="F36" s="2844" t="s">
        <v>2466</v>
      </c>
      <c r="G36" s="2844"/>
    </row>
    <row r="37" spans="1:7" ht="19.5" customHeight="1">
      <c r="A37" s="3484"/>
      <c r="B37" s="3486" t="s">
        <v>2627</v>
      </c>
      <c r="C37" s="2845" t="s">
        <v>2467</v>
      </c>
      <c r="D37" s="2846"/>
      <c r="E37" s="2847">
        <v>0.6</v>
      </c>
      <c r="F37" s="2844" t="s">
        <v>2468</v>
      </c>
      <c r="G37" s="2844"/>
    </row>
    <row r="38" spans="1:7" ht="19.5" customHeight="1">
      <c r="A38" s="3484"/>
      <c r="B38" s="3481"/>
      <c r="C38" s="2845" t="s">
        <v>2469</v>
      </c>
      <c r="D38" s="2846"/>
      <c r="E38" s="2847">
        <v>0.6</v>
      </c>
      <c r="F38" s="2844" t="s">
        <v>2470</v>
      </c>
      <c r="G38" s="2844"/>
    </row>
    <row r="39" spans="1:7" ht="19.5" customHeight="1" thickBot="1">
      <c r="A39" s="3485"/>
      <c r="B39" s="3482"/>
      <c r="C39" s="2848" t="s">
        <v>2471</v>
      </c>
      <c r="D39" s="2849"/>
      <c r="E39" s="2850">
        <v>0.6</v>
      </c>
      <c r="F39" s="2844" t="s">
        <v>2472</v>
      </c>
      <c r="G39" s="2844"/>
    </row>
    <row r="40" spans="1:7" ht="19.5" customHeight="1" thickBot="1">
      <c r="A40" s="2851" t="s">
        <v>2604</v>
      </c>
      <c r="B40" s="2852" t="s">
        <v>2604</v>
      </c>
      <c r="C40" s="2853" t="s">
        <v>2628</v>
      </c>
      <c r="D40" s="2854"/>
      <c r="E40" s="2855">
        <v>1</v>
      </c>
      <c r="F40" s="2844" t="s">
        <v>2473</v>
      </c>
      <c r="G40" s="2844"/>
    </row>
    <row r="41" spans="1:7" ht="19.5" customHeight="1">
      <c r="A41" s="3487" t="s">
        <v>2605</v>
      </c>
      <c r="B41" s="3480" t="s">
        <v>2629</v>
      </c>
      <c r="C41" s="2841" t="s">
        <v>2474</v>
      </c>
      <c r="D41" s="2842"/>
      <c r="E41" s="2843">
        <v>1</v>
      </c>
      <c r="F41" s="2844" t="s">
        <v>2475</v>
      </c>
      <c r="G41" s="2844"/>
    </row>
    <row r="42" spans="1:7" ht="19.5" customHeight="1">
      <c r="A42" s="3488"/>
      <c r="B42" s="3481"/>
      <c r="C42" s="2845" t="s">
        <v>2476</v>
      </c>
      <c r="D42" s="2846"/>
      <c r="E42" s="2847">
        <v>1</v>
      </c>
      <c r="F42" s="2844" t="s">
        <v>2477</v>
      </c>
      <c r="G42" s="2844"/>
    </row>
    <row r="43" spans="1:7" ht="19.5" customHeight="1">
      <c r="A43" s="3488"/>
      <c r="B43" s="3490"/>
      <c r="C43" s="2845" t="s">
        <v>2478</v>
      </c>
      <c r="D43" s="2846"/>
      <c r="E43" s="2847">
        <v>1.5</v>
      </c>
      <c r="F43" s="2844" t="s">
        <v>2479</v>
      </c>
      <c r="G43" s="2844"/>
    </row>
    <row r="44" spans="1:7" ht="19.5" customHeight="1">
      <c r="A44" s="3488"/>
      <c r="B44" s="2856" t="s">
        <v>2630</v>
      </c>
      <c r="C44" s="2845" t="s">
        <v>2631</v>
      </c>
      <c r="D44" s="2846"/>
      <c r="E44" s="2847">
        <v>2</v>
      </c>
      <c r="F44" s="2844" t="s">
        <v>2480</v>
      </c>
      <c r="G44" s="2844"/>
    </row>
    <row r="45" spans="1:7" ht="19.5" customHeight="1">
      <c r="A45" s="3488"/>
      <c r="B45" s="3486" t="s">
        <v>2632</v>
      </c>
      <c r="C45" s="2845" t="s">
        <v>2481</v>
      </c>
      <c r="D45" s="2846"/>
      <c r="E45" s="2847">
        <v>1</v>
      </c>
      <c r="F45" s="2844" t="s">
        <v>2482</v>
      </c>
      <c r="G45" s="2844"/>
    </row>
    <row r="46" spans="1:7" ht="19.5" customHeight="1">
      <c r="A46" s="3488"/>
      <c r="B46" s="3481"/>
      <c r="C46" s="2845" t="s">
        <v>2483</v>
      </c>
      <c r="D46" s="2846"/>
      <c r="E46" s="2847">
        <v>1</v>
      </c>
      <c r="F46" s="2844" t="s">
        <v>2484</v>
      </c>
      <c r="G46" s="2844"/>
    </row>
    <row r="47" spans="1:7" ht="19.5" customHeight="1">
      <c r="A47" s="3488"/>
      <c r="B47" s="3481"/>
      <c r="C47" s="2845" t="s">
        <v>2485</v>
      </c>
      <c r="D47" s="2846"/>
      <c r="E47" s="2847">
        <v>1</v>
      </c>
      <c r="F47" s="2844" t="s">
        <v>2486</v>
      </c>
      <c r="G47" s="2844"/>
    </row>
    <row r="48" spans="1:7" ht="19.5" customHeight="1">
      <c r="A48" s="3488"/>
      <c r="B48" s="3481"/>
      <c r="C48" s="2845" t="s">
        <v>2487</v>
      </c>
      <c r="D48" s="2846"/>
      <c r="E48" s="2847">
        <v>1</v>
      </c>
      <c r="F48" s="2844" t="s">
        <v>2488</v>
      </c>
      <c r="G48" s="2844"/>
    </row>
    <row r="49" spans="1:7" ht="19.5" customHeight="1">
      <c r="A49" s="3488"/>
      <c r="B49" s="3481"/>
      <c r="C49" s="2845" t="s">
        <v>2489</v>
      </c>
      <c r="D49" s="2846"/>
      <c r="E49" s="2847">
        <v>1</v>
      </c>
      <c r="F49" s="2844" t="s">
        <v>2490</v>
      </c>
      <c r="G49" s="2844"/>
    </row>
    <row r="50" spans="1:7" ht="19.5" customHeight="1">
      <c r="A50" s="3488"/>
      <c r="B50" s="3481"/>
      <c r="C50" s="2845" t="s">
        <v>2491</v>
      </c>
      <c r="D50" s="2846"/>
      <c r="E50" s="2847">
        <v>1</v>
      </c>
      <c r="F50" s="2844" t="s">
        <v>2492</v>
      </c>
      <c r="G50" s="2844"/>
    </row>
    <row r="51" spans="1:7" ht="19.5" customHeight="1" thickBot="1">
      <c r="A51" s="3489"/>
      <c r="B51" s="3482"/>
      <c r="C51" s="2848" t="s">
        <v>2493</v>
      </c>
      <c r="D51" s="2849"/>
      <c r="E51" s="2850">
        <v>1</v>
      </c>
      <c r="F51" s="2844" t="s">
        <v>2494</v>
      </c>
      <c r="G51" s="2844"/>
    </row>
    <row r="52" spans="1:7" ht="19.5" customHeight="1">
      <c r="A52" s="2857"/>
      <c r="B52" s="2857"/>
      <c r="C52" s="2857"/>
      <c r="D52" s="2857"/>
      <c r="E52" s="2857"/>
      <c r="F52" s="2857"/>
      <c r="G52" s="2857"/>
    </row>
    <row r="54" spans="1:7" ht="19.5" customHeight="1">
      <c r="A54" s="2858"/>
      <c r="B54" s="2830" t="s">
        <v>2633</v>
      </c>
      <c r="C54" s="2830" t="s">
        <v>2633</v>
      </c>
      <c r="D54" s="2830" t="s">
        <v>2633</v>
      </c>
      <c r="E54" s="2833" t="s">
        <v>2633</v>
      </c>
      <c r="F54" s="2833" t="s">
        <v>2634</v>
      </c>
      <c r="G54" s="2833" t="s">
        <v>2635</v>
      </c>
    </row>
    <row r="55" spans="1:7" ht="19.5" customHeight="1">
      <c r="A55" s="2859"/>
      <c r="B55" s="2833" t="s">
        <v>2602</v>
      </c>
      <c r="C55" s="2833" t="s">
        <v>2602</v>
      </c>
      <c r="D55" s="2833" t="s">
        <v>2602</v>
      </c>
      <c r="E55" s="2830" t="s">
        <v>2603</v>
      </c>
      <c r="F55" s="2830" t="s">
        <v>2605</v>
      </c>
      <c r="G55" s="2830" t="s">
        <v>2636</v>
      </c>
    </row>
    <row r="56" spans="1:7" ht="19.5" customHeight="1">
      <c r="A56" s="2860"/>
      <c r="B56" s="2830">
        <v>1</v>
      </c>
      <c r="C56" s="2830">
        <v>2</v>
      </c>
      <c r="D56" s="2830">
        <v>3</v>
      </c>
      <c r="E56" s="2861" t="s">
        <v>2637</v>
      </c>
      <c r="F56" s="2861" t="s">
        <v>2637</v>
      </c>
      <c r="G56" s="2861" t="s">
        <v>2637</v>
      </c>
    </row>
    <row r="57" spans="1:7" ht="19.5" customHeight="1">
      <c r="A57" s="2862" t="s">
        <v>2590</v>
      </c>
      <c r="B57" s="2830">
        <v>0.7</v>
      </c>
      <c r="C57" s="2830">
        <v>0.4</v>
      </c>
      <c r="D57" s="2830">
        <v>0.3</v>
      </c>
      <c r="E57" s="2861">
        <v>0.3</v>
      </c>
      <c r="F57" s="2830">
        <v>0.3</v>
      </c>
      <c r="G57" s="2830">
        <v>0.2</v>
      </c>
    </row>
    <row r="58" spans="1:7" ht="19.5" customHeight="1">
      <c r="A58" s="2862" t="s">
        <v>2591</v>
      </c>
      <c r="B58" s="2830">
        <v>0.7</v>
      </c>
      <c r="C58" s="2830">
        <v>0.4</v>
      </c>
      <c r="D58" s="2830">
        <v>0.3</v>
      </c>
      <c r="E58" s="2830">
        <v>0.3</v>
      </c>
      <c r="F58" s="2830">
        <v>0.3</v>
      </c>
      <c r="G58" s="2830">
        <v>0.2</v>
      </c>
    </row>
    <row r="59" spans="1:7" ht="19.5" customHeight="1">
      <c r="A59" s="2862" t="s">
        <v>2592</v>
      </c>
      <c r="B59" s="2830">
        <v>0.6</v>
      </c>
      <c r="C59" s="2830">
        <v>0.3</v>
      </c>
      <c r="D59" s="2830">
        <v>0.25</v>
      </c>
      <c r="E59" s="2830">
        <v>0.25</v>
      </c>
      <c r="F59" s="2830">
        <v>0.25</v>
      </c>
      <c r="G59" s="2830">
        <v>0.15</v>
      </c>
    </row>
    <row r="60" spans="1:7" ht="19.5" customHeight="1">
      <c r="A60" s="2862" t="s">
        <v>2593</v>
      </c>
      <c r="B60" s="2830">
        <v>0.6</v>
      </c>
      <c r="C60" s="2830">
        <v>0.3</v>
      </c>
      <c r="D60" s="2830">
        <v>0.25</v>
      </c>
      <c r="E60" s="2830">
        <v>0.25</v>
      </c>
      <c r="F60" s="2830">
        <v>0.25</v>
      </c>
      <c r="G60" s="2830">
        <v>0.15</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0.5</v>
      </c>
      <c r="C64" s="2830">
        <v>0.2</v>
      </c>
      <c r="D64" s="2830">
        <v>0.2</v>
      </c>
      <c r="E64" s="2830">
        <v>0.2</v>
      </c>
      <c r="F64" s="2830">
        <v>0.2</v>
      </c>
      <c r="G64" s="2830">
        <v>0.1</v>
      </c>
    </row>
    <row r="65" spans="1:7" ht="19.5" customHeight="1">
      <c r="A65" s="2862" t="s">
        <v>2598</v>
      </c>
      <c r="B65" s="2830">
        <v>0.5</v>
      </c>
      <c r="C65" s="2830">
        <v>0.2</v>
      </c>
      <c r="D65" s="2830">
        <v>0.2</v>
      </c>
      <c r="E65" s="2830">
        <v>0.2</v>
      </c>
      <c r="F65" s="2830">
        <v>0.2</v>
      </c>
      <c r="G65" s="2830">
        <v>0.1</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70" spans="1:7" ht="19.5" customHeight="1">
      <c r="A70" s="2844"/>
      <c r="B70" s="2863"/>
      <c r="C70" s="2863"/>
      <c r="D70" s="2863" t="s">
        <v>2638</v>
      </c>
      <c r="E70" s="2863"/>
      <c r="F70" s="2863"/>
    </row>
    <row r="71" spans="1:7" ht="19.5" customHeight="1">
      <c r="A71" s="2856" t="s">
        <v>2639</v>
      </c>
      <c r="B71" s="2856" t="s">
        <v>2640</v>
      </c>
      <c r="C71" s="2856" t="s">
        <v>2641</v>
      </c>
      <c r="D71" s="2856" t="s">
        <v>2642</v>
      </c>
      <c r="E71" s="2856" t="s">
        <v>2643</v>
      </c>
      <c r="F71" s="2856" t="s">
        <v>2644</v>
      </c>
    </row>
    <row r="72" spans="1:7" ht="13.5">
      <c r="A72" s="2856"/>
      <c r="B72" s="2856"/>
      <c r="C72" s="2856" t="s">
        <v>2645</v>
      </c>
      <c r="D72" s="2856"/>
      <c r="E72" s="2856" t="s">
        <v>2616</v>
      </c>
      <c r="F72" s="2856" t="s">
        <v>2616</v>
      </c>
    </row>
    <row r="73" spans="1:7" ht="13.5">
      <c r="A73" s="2856">
        <v>1</v>
      </c>
      <c r="B73" s="3486" t="s">
        <v>2646</v>
      </c>
      <c r="C73" s="2830" t="s">
        <v>2647</v>
      </c>
      <c r="D73" s="2830" t="s">
        <v>2648</v>
      </c>
      <c r="E73" s="2856">
        <v>0.2</v>
      </c>
      <c r="F73" s="2856">
        <v>25</v>
      </c>
    </row>
    <row r="74" spans="1:7" ht="24">
      <c r="A74" s="2856">
        <v>2</v>
      </c>
      <c r="B74" s="3481"/>
      <c r="C74" s="2830" t="s">
        <v>2649</v>
      </c>
      <c r="D74" s="2830" t="s">
        <v>2650</v>
      </c>
      <c r="E74" s="2856">
        <v>0.2</v>
      </c>
      <c r="F74" s="2856">
        <v>25</v>
      </c>
    </row>
    <row r="75" spans="1:7" ht="24">
      <c r="A75" s="2856">
        <v>3</v>
      </c>
      <c r="B75" s="3481"/>
      <c r="C75" s="2830" t="s">
        <v>2651</v>
      </c>
      <c r="D75" s="2830" t="s">
        <v>2652</v>
      </c>
      <c r="E75" s="2856">
        <v>0.2</v>
      </c>
      <c r="F75" s="2856">
        <v>25</v>
      </c>
    </row>
    <row r="76" spans="1:7" ht="13.5">
      <c r="A76" s="2856">
        <v>4</v>
      </c>
      <c r="B76" s="3481"/>
      <c r="C76" s="2830" t="s">
        <v>2653</v>
      </c>
      <c r="D76" s="2830" t="s">
        <v>2654</v>
      </c>
      <c r="E76" s="2856">
        <v>0.15</v>
      </c>
      <c r="F76" s="2856">
        <v>20</v>
      </c>
    </row>
    <row r="77" spans="1:7" ht="24">
      <c r="A77" s="2856">
        <v>5</v>
      </c>
      <c r="B77" s="3481"/>
      <c r="C77" s="2830" t="s">
        <v>2655</v>
      </c>
      <c r="D77" s="2830" t="s">
        <v>2656</v>
      </c>
      <c r="E77" s="2856">
        <v>0.15</v>
      </c>
      <c r="F77" s="2856">
        <v>20</v>
      </c>
    </row>
    <row r="78" spans="1:7" ht="24">
      <c r="A78" s="2856">
        <v>6</v>
      </c>
      <c r="B78" s="3481"/>
      <c r="C78" s="2830" t="s">
        <v>2657</v>
      </c>
      <c r="D78" s="2830" t="s">
        <v>2658</v>
      </c>
      <c r="E78" s="2856">
        <v>0.15</v>
      </c>
      <c r="F78" s="2856">
        <v>20</v>
      </c>
    </row>
    <row r="79" spans="1:7" ht="24">
      <c r="A79" s="2856">
        <v>7</v>
      </c>
      <c r="B79" s="3481"/>
      <c r="C79" s="2830" t="s">
        <v>2659</v>
      </c>
      <c r="D79" s="2830" t="s">
        <v>2660</v>
      </c>
      <c r="E79" s="2856">
        <v>0.15</v>
      </c>
      <c r="F79" s="2856">
        <v>20</v>
      </c>
    </row>
    <row r="80" spans="1:7" ht="24">
      <c r="A80" s="2856">
        <v>8</v>
      </c>
      <c r="B80" s="3481"/>
      <c r="C80" s="2830" t="s">
        <v>2661</v>
      </c>
      <c r="D80" s="2830" t="s">
        <v>2662</v>
      </c>
      <c r="E80" s="2856">
        <v>0.1</v>
      </c>
      <c r="F80" s="2856">
        <v>15</v>
      </c>
    </row>
    <row r="81" spans="1:6" ht="24">
      <c r="A81" s="2856">
        <v>9</v>
      </c>
      <c r="B81" s="3481"/>
      <c r="C81" s="2830" t="s">
        <v>2663</v>
      </c>
      <c r="D81" s="2830" t="s">
        <v>2664</v>
      </c>
      <c r="E81" s="2856">
        <v>0.1</v>
      </c>
      <c r="F81" s="2856">
        <v>15</v>
      </c>
    </row>
    <row r="82" spans="1:6" ht="24">
      <c r="A82" s="2856">
        <v>10</v>
      </c>
      <c r="B82" s="3481"/>
      <c r="C82" s="2830" t="s">
        <v>2665</v>
      </c>
      <c r="D82" s="2830" t="s">
        <v>2666</v>
      </c>
      <c r="E82" s="2856">
        <v>0.1</v>
      </c>
      <c r="F82" s="2856">
        <v>15</v>
      </c>
    </row>
    <row r="83" spans="1:6" ht="24">
      <c r="A83" s="2856">
        <v>11</v>
      </c>
      <c r="B83" s="3481"/>
      <c r="C83" s="2830" t="s">
        <v>2667</v>
      </c>
      <c r="D83" s="2830" t="s">
        <v>2668</v>
      </c>
      <c r="E83" s="2856">
        <v>0.1</v>
      </c>
      <c r="F83" s="2856">
        <v>15</v>
      </c>
    </row>
    <row r="84" spans="1:6" ht="24">
      <c r="A84" s="2856">
        <v>12</v>
      </c>
      <c r="B84" s="3481"/>
      <c r="C84" s="2830" t="s">
        <v>2669</v>
      </c>
      <c r="D84" s="2830" t="s">
        <v>2670</v>
      </c>
      <c r="E84" s="2856">
        <v>0.1</v>
      </c>
      <c r="F84" s="2856">
        <v>15</v>
      </c>
    </row>
    <row r="85" spans="1:6" ht="13.5">
      <c r="A85" s="2856">
        <v>13</v>
      </c>
      <c r="B85" s="3481"/>
      <c r="C85" s="2830" t="s">
        <v>2671</v>
      </c>
      <c r="D85" s="2830" t="s">
        <v>2672</v>
      </c>
      <c r="E85" s="2856">
        <v>0.1</v>
      </c>
      <c r="F85" s="2856">
        <v>15</v>
      </c>
    </row>
    <row r="86" spans="1:6" ht="13.5">
      <c r="A86" s="2856">
        <v>14</v>
      </c>
      <c r="B86" s="3481"/>
      <c r="C86" s="2830" t="s">
        <v>2673</v>
      </c>
      <c r="D86" s="2830" t="s">
        <v>2674</v>
      </c>
      <c r="E86" s="2856">
        <v>0.1</v>
      </c>
      <c r="F86" s="2856">
        <v>15</v>
      </c>
    </row>
    <row r="87" spans="1:6" ht="13.5">
      <c r="A87" s="2856">
        <v>15</v>
      </c>
      <c r="B87" s="3481"/>
      <c r="C87" s="2830" t="s">
        <v>2675</v>
      </c>
      <c r="D87" s="2830" t="s">
        <v>2676</v>
      </c>
      <c r="E87" s="2856">
        <v>0.1</v>
      </c>
      <c r="F87" s="2856">
        <v>15</v>
      </c>
    </row>
    <row r="88" spans="1:6" ht="24">
      <c r="A88" s="2856">
        <v>16</v>
      </c>
      <c r="B88" s="3481"/>
      <c r="C88" s="2830" t="s">
        <v>2677</v>
      </c>
      <c r="D88" s="2830" t="s">
        <v>2678</v>
      </c>
      <c r="E88" s="2856">
        <v>0.1</v>
      </c>
      <c r="F88" s="2856">
        <v>15</v>
      </c>
    </row>
    <row r="89" spans="1:6" ht="24">
      <c r="A89" s="2856">
        <v>17</v>
      </c>
      <c r="B89" s="3490"/>
      <c r="C89" s="2830" t="s">
        <v>2679</v>
      </c>
      <c r="D89" s="2830" t="s">
        <v>2680</v>
      </c>
      <c r="E89" s="2856">
        <v>0.1</v>
      </c>
      <c r="F89" s="2856">
        <v>15</v>
      </c>
    </row>
    <row r="90" spans="1:6" ht="13.5">
      <c r="A90" s="2856">
        <v>18</v>
      </c>
      <c r="B90" s="3486" t="s">
        <v>2681</v>
      </c>
      <c r="C90" s="2830" t="s">
        <v>2682</v>
      </c>
      <c r="D90" s="2830" t="s">
        <v>2683</v>
      </c>
      <c r="E90" s="2856">
        <v>0.2</v>
      </c>
      <c r="F90" s="2856">
        <v>25</v>
      </c>
    </row>
    <row r="91" spans="1:6" ht="24">
      <c r="A91" s="2856">
        <v>19</v>
      </c>
      <c r="B91" s="3481"/>
      <c r="C91" s="2830" t="s">
        <v>2684</v>
      </c>
      <c r="D91" s="2830" t="s">
        <v>2685</v>
      </c>
      <c r="E91" s="2856">
        <v>0.2</v>
      </c>
      <c r="F91" s="2856">
        <v>25</v>
      </c>
    </row>
    <row r="92" spans="1:6" ht="13.5">
      <c r="A92" s="2856">
        <v>20</v>
      </c>
      <c r="B92" s="3481"/>
      <c r="C92" s="2830" t="s">
        <v>2686</v>
      </c>
      <c r="D92" s="2830" t="s">
        <v>2687</v>
      </c>
      <c r="E92" s="2856">
        <v>0.15</v>
      </c>
      <c r="F92" s="2856">
        <v>20</v>
      </c>
    </row>
    <row r="93" spans="1:6" ht="13.5">
      <c r="A93" s="2856">
        <v>21</v>
      </c>
      <c r="B93" s="3481"/>
      <c r="C93" s="2830" t="s">
        <v>2688</v>
      </c>
      <c r="D93" s="2830" t="s">
        <v>2689</v>
      </c>
      <c r="E93" s="2856">
        <v>0.15</v>
      </c>
      <c r="F93" s="2856">
        <v>20</v>
      </c>
    </row>
    <row r="94" spans="1:6" ht="13.5">
      <c r="A94" s="2856">
        <v>22</v>
      </c>
      <c r="B94" s="3481"/>
      <c r="C94" s="2830" t="s">
        <v>2690</v>
      </c>
      <c r="D94" s="2830" t="s">
        <v>2691</v>
      </c>
      <c r="E94" s="2856">
        <v>0.15</v>
      </c>
      <c r="F94" s="2856">
        <v>20</v>
      </c>
    </row>
    <row r="95" spans="1:6" ht="36">
      <c r="A95" s="2856">
        <v>23</v>
      </c>
      <c r="B95" s="3481"/>
      <c r="C95" s="2830" t="s">
        <v>2692</v>
      </c>
      <c r="D95" s="2830" t="s">
        <v>2693</v>
      </c>
      <c r="E95" s="2856">
        <v>0.15</v>
      </c>
      <c r="F95" s="2856">
        <v>20</v>
      </c>
    </row>
    <row r="96" spans="1:6" ht="13.5">
      <c r="A96" s="2856">
        <v>24</v>
      </c>
      <c r="B96" s="3481"/>
      <c r="C96" s="2830" t="s">
        <v>2694</v>
      </c>
      <c r="D96" s="2830" t="s">
        <v>2695</v>
      </c>
      <c r="E96" s="2856">
        <v>0.1</v>
      </c>
      <c r="F96" s="2856">
        <v>15</v>
      </c>
    </row>
    <row r="97" spans="1:6" ht="13.5">
      <c r="A97" s="2856">
        <v>25</v>
      </c>
      <c r="B97" s="3481"/>
      <c r="C97" s="2830" t="s">
        <v>2696</v>
      </c>
      <c r="D97" s="2830" t="s">
        <v>2697</v>
      </c>
      <c r="E97" s="2856">
        <v>0.1</v>
      </c>
      <c r="F97" s="2856">
        <v>15</v>
      </c>
    </row>
    <row r="98" spans="1:6" ht="24">
      <c r="A98" s="2856">
        <v>26</v>
      </c>
      <c r="B98" s="3481"/>
      <c r="C98" s="2830" t="s">
        <v>2698</v>
      </c>
      <c r="D98" s="2830" t="s">
        <v>2699</v>
      </c>
      <c r="E98" s="2856">
        <v>0.1</v>
      </c>
      <c r="F98" s="2856">
        <v>15</v>
      </c>
    </row>
    <row r="99" spans="1:6" ht="24">
      <c r="A99" s="2856">
        <v>27</v>
      </c>
      <c r="B99" s="3481"/>
      <c r="C99" s="2830" t="s">
        <v>2700</v>
      </c>
      <c r="D99" s="2830" t="s">
        <v>2701</v>
      </c>
      <c r="E99" s="2856">
        <v>0.1</v>
      </c>
      <c r="F99" s="2856">
        <v>15</v>
      </c>
    </row>
    <row r="100" spans="1:6" ht="13.5">
      <c r="A100" s="2856">
        <v>28</v>
      </c>
      <c r="B100" s="3481"/>
      <c r="C100" s="2830" t="s">
        <v>2702</v>
      </c>
      <c r="D100" s="2830" t="s">
        <v>2703</v>
      </c>
      <c r="E100" s="2856">
        <v>0.1</v>
      </c>
      <c r="F100" s="2856">
        <v>15</v>
      </c>
    </row>
    <row r="101" spans="1:6" ht="13.5">
      <c r="A101" s="2856">
        <v>29</v>
      </c>
      <c r="B101" s="3481"/>
      <c r="C101" s="2830" t="s">
        <v>2704</v>
      </c>
      <c r="D101" s="2830" t="s">
        <v>2705</v>
      </c>
      <c r="E101" s="2856">
        <v>0.1</v>
      </c>
      <c r="F101" s="2856">
        <v>15</v>
      </c>
    </row>
    <row r="102" spans="1:6" ht="13.5">
      <c r="A102" s="2856">
        <v>30</v>
      </c>
      <c r="B102" s="3481"/>
      <c r="C102" s="2830" t="s">
        <v>2706</v>
      </c>
      <c r="D102" s="2830" t="s">
        <v>2707</v>
      </c>
      <c r="E102" s="2856">
        <v>0.1</v>
      </c>
      <c r="F102" s="2856">
        <v>15</v>
      </c>
    </row>
    <row r="103" spans="1:6" ht="24">
      <c r="A103" s="2856">
        <v>31</v>
      </c>
      <c r="B103" s="3481"/>
      <c r="C103" s="2830" t="s">
        <v>2708</v>
      </c>
      <c r="D103" s="2830" t="s">
        <v>2709</v>
      </c>
      <c r="E103" s="2856">
        <v>0.1</v>
      </c>
      <c r="F103" s="2856">
        <v>15</v>
      </c>
    </row>
    <row r="104" spans="1:6" ht="24">
      <c r="A104" s="2856">
        <v>32</v>
      </c>
      <c r="B104" s="3481"/>
      <c r="C104" s="2830" t="s">
        <v>2710</v>
      </c>
      <c r="D104" s="2830" t="s">
        <v>2711</v>
      </c>
      <c r="E104" s="2856">
        <v>0.1</v>
      </c>
      <c r="F104" s="2856">
        <v>15</v>
      </c>
    </row>
    <row r="105" spans="1:6" ht="24">
      <c r="A105" s="2856">
        <v>33</v>
      </c>
      <c r="B105" s="3481"/>
      <c r="C105" s="2830" t="s">
        <v>2712</v>
      </c>
      <c r="D105" s="2830" t="s">
        <v>2713</v>
      </c>
      <c r="E105" s="2856">
        <v>0.1</v>
      </c>
      <c r="F105" s="2856">
        <v>15</v>
      </c>
    </row>
    <row r="106" spans="1:6" ht="24">
      <c r="A106" s="2856">
        <v>34</v>
      </c>
      <c r="B106" s="3490"/>
      <c r="C106" s="2830" t="s">
        <v>2714</v>
      </c>
      <c r="D106" s="2830" t="s">
        <v>2715</v>
      </c>
      <c r="E106" s="2856">
        <v>0.1</v>
      </c>
      <c r="F106" s="2856">
        <v>15</v>
      </c>
    </row>
    <row r="107" spans="1:6" ht="24">
      <c r="A107" s="2856">
        <v>35</v>
      </c>
      <c r="B107" s="3486" t="s">
        <v>2716</v>
      </c>
      <c r="C107" s="2856" t="s">
        <v>2717</v>
      </c>
      <c r="D107" s="2830" t="s">
        <v>2718</v>
      </c>
      <c r="E107" s="2856">
        <v>0.15</v>
      </c>
      <c r="F107" s="2856">
        <v>20</v>
      </c>
    </row>
    <row r="108" spans="1:6" ht="13.5">
      <c r="A108" s="2856">
        <v>36</v>
      </c>
      <c r="B108" s="3481"/>
      <c r="C108" s="2856" t="s">
        <v>2719</v>
      </c>
      <c r="D108" s="2830" t="s">
        <v>2720</v>
      </c>
      <c r="E108" s="2856">
        <v>0.15</v>
      </c>
      <c r="F108" s="2856">
        <v>20</v>
      </c>
    </row>
    <row r="109" spans="1:6" ht="13.5">
      <c r="A109" s="2856">
        <v>37</v>
      </c>
      <c r="B109" s="3481"/>
      <c r="C109" s="2856" t="s">
        <v>2721</v>
      </c>
      <c r="D109" s="2830" t="s">
        <v>2722</v>
      </c>
      <c r="E109" s="2856">
        <v>0.15</v>
      </c>
      <c r="F109" s="2856">
        <v>20</v>
      </c>
    </row>
    <row r="110" spans="1:6" ht="13.5">
      <c r="A110" s="2856">
        <v>38</v>
      </c>
      <c r="B110" s="3481"/>
      <c r="C110" s="2856" t="s">
        <v>2723</v>
      </c>
      <c r="D110" s="2830" t="s">
        <v>2724</v>
      </c>
      <c r="E110" s="2856">
        <v>0.1</v>
      </c>
      <c r="F110" s="2856">
        <v>15</v>
      </c>
    </row>
    <row r="111" spans="1:6" ht="24">
      <c r="A111" s="2856">
        <v>39</v>
      </c>
      <c r="B111" s="3481"/>
      <c r="C111" s="2856" t="s">
        <v>2725</v>
      </c>
      <c r="D111" s="2830" t="s">
        <v>2726</v>
      </c>
      <c r="E111" s="2856">
        <v>0.1</v>
      </c>
      <c r="F111" s="2856">
        <v>15</v>
      </c>
    </row>
    <row r="112" spans="1:6" ht="24">
      <c r="A112" s="2856">
        <v>40</v>
      </c>
      <c r="B112" s="3490"/>
      <c r="C112" s="2856" t="s">
        <v>2727</v>
      </c>
      <c r="D112" s="2830" t="s">
        <v>2728</v>
      </c>
      <c r="E112" s="2856">
        <v>0.1</v>
      </c>
      <c r="F112" s="2856">
        <v>15</v>
      </c>
    </row>
    <row r="113" spans="1:6" ht="13.5">
      <c r="A113" s="2856">
        <v>41</v>
      </c>
      <c r="B113" s="3491" t="s">
        <v>2729</v>
      </c>
      <c r="C113" s="2856" t="s">
        <v>2730</v>
      </c>
      <c r="D113" s="2830" t="s">
        <v>2731</v>
      </c>
      <c r="E113" s="2856">
        <v>0.1</v>
      </c>
      <c r="F113" s="2856">
        <v>15</v>
      </c>
    </row>
    <row r="114" spans="1:6" ht="13.5">
      <c r="A114" s="2856">
        <v>42</v>
      </c>
      <c r="B114" s="3491"/>
      <c r="C114" s="2856" t="s">
        <v>2732</v>
      </c>
      <c r="D114" s="2830" t="s">
        <v>2733</v>
      </c>
      <c r="E114" s="2856">
        <v>0.1</v>
      </c>
      <c r="F114" s="2856">
        <v>15</v>
      </c>
    </row>
    <row r="115" spans="1:6" ht="24">
      <c r="A115" s="2856">
        <v>43</v>
      </c>
      <c r="B115" s="3491"/>
      <c r="C115" s="2856" t="s">
        <v>2734</v>
      </c>
      <c r="D115" s="2830" t="s">
        <v>2735</v>
      </c>
      <c r="E115" s="2856">
        <v>0.1</v>
      </c>
      <c r="F115" s="2856">
        <v>15</v>
      </c>
    </row>
    <row r="116" spans="1:6" ht="13.5">
      <c r="A116" s="2856">
        <v>44</v>
      </c>
      <c r="B116" s="3486" t="s">
        <v>2736</v>
      </c>
      <c r="C116" s="2856" t="s">
        <v>2737</v>
      </c>
      <c r="D116" s="2830" t="s">
        <v>2738</v>
      </c>
      <c r="E116" s="2856">
        <v>0.1</v>
      </c>
      <c r="F116" s="2856">
        <v>15</v>
      </c>
    </row>
    <row r="117" spans="1:6" ht="24">
      <c r="A117" s="2856">
        <v>45</v>
      </c>
      <c r="B117" s="3490"/>
      <c r="C117" s="2830" t="s">
        <v>2739</v>
      </c>
      <c r="D117" s="2830" t="s">
        <v>2740</v>
      </c>
      <c r="E117" s="2856">
        <v>0.1</v>
      </c>
      <c r="F117" s="2856">
        <v>15</v>
      </c>
    </row>
    <row r="118" spans="1:6" ht="24">
      <c r="A118" s="2856">
        <v>46</v>
      </c>
      <c r="B118" s="3486" t="s">
        <v>2741</v>
      </c>
      <c r="C118" s="2856" t="s">
        <v>2742</v>
      </c>
      <c r="D118" s="2830" t="s">
        <v>2743</v>
      </c>
      <c r="E118" s="2856">
        <v>0.1</v>
      </c>
      <c r="F118" s="2856">
        <v>15</v>
      </c>
    </row>
    <row r="119" spans="1:6" ht="24">
      <c r="A119" s="2856">
        <v>47</v>
      </c>
      <c r="B119" s="3490"/>
      <c r="C119" s="2856" t="s">
        <v>2744</v>
      </c>
      <c r="D119" s="2830" t="s">
        <v>2745</v>
      </c>
      <c r="E119" s="2856">
        <v>0.1</v>
      </c>
      <c r="F119" s="2856">
        <v>15</v>
      </c>
    </row>
    <row r="120" spans="1:6" ht="13.5">
      <c r="A120" s="2856">
        <v>48</v>
      </c>
      <c r="B120" s="3486" t="s">
        <v>2746</v>
      </c>
      <c r="C120" s="2856" t="s">
        <v>2747</v>
      </c>
      <c r="D120" s="2830" t="s">
        <v>2748</v>
      </c>
      <c r="E120" s="2856">
        <v>0.1</v>
      </c>
      <c r="F120" s="2856">
        <v>15</v>
      </c>
    </row>
    <row r="121" spans="1:6" ht="13.5">
      <c r="A121" s="2856">
        <v>49</v>
      </c>
      <c r="B121" s="3490"/>
      <c r="C121" s="2856" t="s">
        <v>2749</v>
      </c>
      <c r="D121" s="2830" t="s">
        <v>2750</v>
      </c>
      <c r="E121" s="2856">
        <v>0.1</v>
      </c>
      <c r="F121" s="2856">
        <v>15</v>
      </c>
    </row>
    <row r="122" spans="1:6" ht="24">
      <c r="A122" s="2856">
        <v>50</v>
      </c>
      <c r="B122" s="3491" t="s">
        <v>2751</v>
      </c>
      <c r="C122" s="2856" t="s">
        <v>2752</v>
      </c>
      <c r="D122" s="2830" t="s">
        <v>2753</v>
      </c>
      <c r="E122" s="2856">
        <v>0.1</v>
      </c>
      <c r="F122" s="2856">
        <v>15</v>
      </c>
    </row>
    <row r="123" spans="1:6" ht="24">
      <c r="A123" s="2856">
        <v>51</v>
      </c>
      <c r="B123" s="3491"/>
      <c r="C123" s="2856" t="s">
        <v>2754</v>
      </c>
      <c r="D123" s="2830" t="s">
        <v>2755</v>
      </c>
      <c r="E123" s="2856">
        <v>0.1</v>
      </c>
      <c r="F123" s="2856">
        <v>15</v>
      </c>
    </row>
    <row r="124" spans="1:6" ht="24">
      <c r="A124" s="2856">
        <v>52</v>
      </c>
      <c r="B124" s="3491" t="s">
        <v>2756</v>
      </c>
      <c r="C124" s="2856" t="s">
        <v>2757</v>
      </c>
      <c r="D124" s="2830" t="s">
        <v>2758</v>
      </c>
      <c r="E124" s="2856">
        <v>0.1</v>
      </c>
      <c r="F124" s="2856">
        <v>15</v>
      </c>
    </row>
    <row r="125" spans="1:6" ht="24">
      <c r="A125" s="2856">
        <v>53</v>
      </c>
      <c r="B125" s="3491"/>
      <c r="C125" s="2856" t="s">
        <v>2759</v>
      </c>
      <c r="D125" s="2830" t="s">
        <v>2760</v>
      </c>
      <c r="E125" s="2856">
        <v>0.1</v>
      </c>
      <c r="F125" s="2856">
        <v>15</v>
      </c>
    </row>
    <row r="126" spans="1:6" ht="13.5">
      <c r="A126" s="2856">
        <v>54</v>
      </c>
      <c r="B126" s="2856" t="s">
        <v>2761</v>
      </c>
      <c r="C126" s="2856" t="s">
        <v>2762</v>
      </c>
      <c r="D126" s="2830" t="s">
        <v>2763</v>
      </c>
      <c r="E126" s="2856">
        <v>0.1</v>
      </c>
      <c r="F126" s="2856">
        <v>15</v>
      </c>
    </row>
    <row r="127" spans="1:6" ht="13.5">
      <c r="A127" s="2856">
        <v>55</v>
      </c>
      <c r="B127" s="3491" t="s">
        <v>2764</v>
      </c>
      <c r="C127" s="2856" t="s">
        <v>2765</v>
      </c>
      <c r="D127" s="2830" t="s">
        <v>2766</v>
      </c>
      <c r="E127" s="2856">
        <v>0.1</v>
      </c>
      <c r="F127" s="2856">
        <v>15</v>
      </c>
    </row>
    <row r="128" spans="1:6" ht="13.5">
      <c r="A128" s="2856">
        <v>56</v>
      </c>
      <c r="B128" s="3491"/>
      <c r="C128" s="2856" t="s">
        <v>2767</v>
      </c>
      <c r="D128" s="2830" t="s">
        <v>2768</v>
      </c>
      <c r="E128" s="2856">
        <v>0.1</v>
      </c>
      <c r="F128" s="2856">
        <v>15</v>
      </c>
    </row>
    <row r="129" spans="1:6" ht="24">
      <c r="A129" s="2856">
        <v>57</v>
      </c>
      <c r="B129" s="3491"/>
      <c r="C129" s="2856" t="s">
        <v>2769</v>
      </c>
      <c r="D129" s="2830" t="s">
        <v>2770</v>
      </c>
      <c r="E129" s="2856">
        <v>0.1</v>
      </c>
      <c r="F129" s="2856">
        <v>15</v>
      </c>
    </row>
    <row r="130" spans="1:6" ht="24">
      <c r="A130" s="2856">
        <v>58</v>
      </c>
      <c r="B130" s="3491" t="s">
        <v>2771</v>
      </c>
      <c r="C130" s="2856" t="s">
        <v>2772</v>
      </c>
      <c r="D130" s="2830" t="s">
        <v>2773</v>
      </c>
      <c r="E130" s="2856">
        <v>0.1</v>
      </c>
      <c r="F130" s="2856">
        <v>15</v>
      </c>
    </row>
    <row r="131" spans="1:6" ht="13.5">
      <c r="A131" s="2856">
        <v>59</v>
      </c>
      <c r="B131" s="3491"/>
      <c r="C131" s="2856" t="s">
        <v>2774</v>
      </c>
      <c r="D131" s="2830" t="s">
        <v>2775</v>
      </c>
      <c r="E131" s="2856">
        <v>0.1</v>
      </c>
      <c r="F131" s="2856">
        <v>15</v>
      </c>
    </row>
    <row r="132" spans="1:6" ht="13.5">
      <c r="A132" s="2856">
        <v>60</v>
      </c>
      <c r="B132" s="3486" t="s">
        <v>2776</v>
      </c>
      <c r="C132" s="2856" t="s">
        <v>2777</v>
      </c>
      <c r="D132" s="2830" t="s">
        <v>2778</v>
      </c>
      <c r="E132" s="2856">
        <v>0.1</v>
      </c>
      <c r="F132" s="2856">
        <v>15</v>
      </c>
    </row>
    <row r="133" spans="1:6" ht="13.5">
      <c r="A133" s="2856">
        <v>61</v>
      </c>
      <c r="B133" s="3490"/>
      <c r="C133" s="2856" t="s">
        <v>2779</v>
      </c>
      <c r="D133" s="2830" t="s">
        <v>2780</v>
      </c>
      <c r="E133" s="2856">
        <v>0.1</v>
      </c>
      <c r="F133" s="2856">
        <v>15</v>
      </c>
    </row>
    <row r="134" spans="1:6" ht="24">
      <c r="A134" s="2856">
        <v>62</v>
      </c>
      <c r="B134" s="2856" t="s">
        <v>2781</v>
      </c>
      <c r="C134" s="2856" t="s">
        <v>2782</v>
      </c>
      <c r="D134" s="2830" t="s">
        <v>2783</v>
      </c>
      <c r="E134" s="2856">
        <v>0.1</v>
      </c>
      <c r="F134" s="2856">
        <v>15</v>
      </c>
    </row>
    <row r="135" spans="1:6" ht="13.5">
      <c r="A135" s="2856">
        <v>63</v>
      </c>
      <c r="B135" s="3491" t="s">
        <v>2784</v>
      </c>
      <c r="C135" s="2856" t="s">
        <v>2785</v>
      </c>
      <c r="D135" s="2830" t="s">
        <v>2786</v>
      </c>
      <c r="E135" s="2856">
        <v>0.1</v>
      </c>
      <c r="F135" s="2856">
        <v>15</v>
      </c>
    </row>
    <row r="136" spans="1:6" ht="13.5">
      <c r="A136" s="2856">
        <v>64</v>
      </c>
      <c r="B136" s="3491"/>
      <c r="C136" s="2856" t="s">
        <v>2787</v>
      </c>
      <c r="D136" s="2830" t="s">
        <v>2788</v>
      </c>
      <c r="E136" s="2856">
        <v>0.1</v>
      </c>
      <c r="F136" s="2856">
        <v>15</v>
      </c>
    </row>
    <row r="137" spans="1:6" ht="13.5">
      <c r="A137" s="2856">
        <v>65</v>
      </c>
      <c r="B137" s="2856" t="s">
        <v>2789</v>
      </c>
      <c r="C137" s="2856" t="s">
        <v>2790</v>
      </c>
      <c r="D137" s="2830" t="s">
        <v>2791</v>
      </c>
      <c r="E137" s="2856">
        <v>0.1</v>
      </c>
      <c r="F137" s="2856">
        <v>15</v>
      </c>
    </row>
    <row r="138" spans="1:6" ht="13.5">
      <c r="A138" s="2856"/>
      <c r="B138" s="2856"/>
      <c r="C138" s="2856"/>
      <c r="D138" s="2856"/>
      <c r="E138" s="2856" t="s">
        <v>2792</v>
      </c>
      <c r="F138" s="285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2793</v>
      </c>
      <c r="B1" s="2864"/>
      <c r="C1" s="2864"/>
      <c r="D1" s="2864"/>
      <c r="E1" s="2864"/>
      <c r="F1" s="2864"/>
      <c r="G1" s="2864"/>
      <c r="H1" s="2864"/>
      <c r="I1" s="2864"/>
      <c r="J1" s="2864"/>
      <c r="K1" s="2864"/>
      <c r="L1" s="2864"/>
      <c r="M1" s="2864"/>
      <c r="N1" s="707"/>
    </row>
    <row r="2" spans="1:20">
      <c r="A2" s="2865" t="s">
        <v>2794</v>
      </c>
      <c r="B2" s="2866" t="s">
        <v>2590</v>
      </c>
      <c r="C2" s="2866" t="s">
        <v>2591</v>
      </c>
      <c r="D2" s="2866" t="s">
        <v>2592</v>
      </c>
      <c r="E2" s="2866" t="s">
        <v>2593</v>
      </c>
      <c r="F2" s="2866" t="s">
        <v>2594</v>
      </c>
      <c r="G2" s="2866" t="s">
        <v>2595</v>
      </c>
      <c r="H2" s="2867" t="s">
        <v>2596</v>
      </c>
      <c r="I2" s="2867" t="s">
        <v>2597</v>
      </c>
      <c r="J2" s="2868" t="s">
        <v>2598</v>
      </c>
      <c r="K2" s="2868" t="s">
        <v>2599</v>
      </c>
      <c r="L2" s="2868" t="s">
        <v>2600</v>
      </c>
      <c r="M2" s="2869" t="s">
        <v>2601</v>
      </c>
      <c r="Q2" s="2879" t="s">
        <v>2799</v>
      </c>
      <c r="R2" s="2879" t="s">
        <v>2800</v>
      </c>
      <c r="S2" s="2879" t="s">
        <v>2801</v>
      </c>
      <c r="T2" s="2879" t="s">
        <v>2802</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2795</v>
      </c>
      <c r="B93" s="2864"/>
      <c r="C93" s="2864"/>
      <c r="D93" s="2864"/>
      <c r="E93" s="2864"/>
      <c r="F93" s="2864"/>
      <c r="G93" s="2864"/>
      <c r="H93" s="2864"/>
      <c r="I93" s="2864"/>
      <c r="J93" s="2864"/>
      <c r="K93" s="2864"/>
      <c r="L93" s="2864"/>
      <c r="M93" s="2864"/>
    </row>
    <row r="94" spans="1:20">
      <c r="A94" s="2865" t="s">
        <v>2794</v>
      </c>
      <c r="B94" s="2866" t="s">
        <v>2590</v>
      </c>
      <c r="C94" s="2866" t="s">
        <v>2591</v>
      </c>
      <c r="D94" s="2866" t="s">
        <v>2592</v>
      </c>
      <c r="E94" s="2866" t="s">
        <v>2593</v>
      </c>
      <c r="F94" s="2866" t="s">
        <v>2594</v>
      </c>
      <c r="G94" s="2866" t="s">
        <v>2595</v>
      </c>
      <c r="H94" s="2867" t="s">
        <v>2596</v>
      </c>
      <c r="I94" s="2867" t="s">
        <v>2597</v>
      </c>
      <c r="J94" s="2868" t="s">
        <v>2598</v>
      </c>
      <c r="K94" s="2868" t="s">
        <v>2599</v>
      </c>
      <c r="L94" s="2868" t="s">
        <v>2600</v>
      </c>
      <c r="M94" s="2869" t="s">
        <v>2601</v>
      </c>
      <c r="N94">
        <f>SUMPRODUCT((A95:A184=ROUNDDOWN(基准地价修正!G3,1))*(B94:M94=基准地价修正!G2)*(B95:M184))</f>
        <v>1.0512999999999999</v>
      </c>
      <c r="Q94" s="2879" t="s">
        <v>2799</v>
      </c>
      <c r="R94" s="2879" t="s">
        <v>2800</v>
      </c>
      <c r="S94" s="2879" t="s">
        <v>2801</v>
      </c>
      <c r="T94" s="2879" t="s">
        <v>2802</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2796</v>
      </c>
      <c r="B185" s="2864"/>
      <c r="C185" s="2864"/>
      <c r="D185" s="2864"/>
      <c r="E185" s="2864"/>
      <c r="F185" s="2864"/>
      <c r="G185" s="2864"/>
      <c r="H185" s="2864"/>
      <c r="I185" s="2864"/>
      <c r="J185" s="2864"/>
      <c r="K185" s="2864"/>
      <c r="L185" s="2864"/>
      <c r="M185" s="2864"/>
    </row>
    <row r="186" spans="1:20">
      <c r="A186" s="2865" t="s">
        <v>2794</v>
      </c>
      <c r="B186" s="2866" t="s">
        <v>2590</v>
      </c>
      <c r="C186" s="2866" t="s">
        <v>2591</v>
      </c>
      <c r="D186" s="2866" t="s">
        <v>2592</v>
      </c>
      <c r="E186" s="2866" t="s">
        <v>2593</v>
      </c>
      <c r="F186" s="2866" t="s">
        <v>2594</v>
      </c>
      <c r="G186" s="2866" t="s">
        <v>2595</v>
      </c>
      <c r="H186" s="2867" t="s">
        <v>2596</v>
      </c>
      <c r="I186" s="2867" t="s">
        <v>2597</v>
      </c>
      <c r="J186" s="2868" t="s">
        <v>2598</v>
      </c>
      <c r="K186" s="2868" t="s">
        <v>2599</v>
      </c>
      <c r="L186" s="2868" t="s">
        <v>2600</v>
      </c>
      <c r="M186" s="2869" t="s">
        <v>2601</v>
      </c>
      <c r="Q186" s="2879" t="s">
        <v>2799</v>
      </c>
      <c r="R186" s="2879" t="s">
        <v>2800</v>
      </c>
      <c r="S186" s="2879" t="s">
        <v>2801</v>
      </c>
      <c r="T186" s="2879" t="s">
        <v>2802</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2797</v>
      </c>
      <c r="B277" s="2864"/>
      <c r="C277" s="2864"/>
      <c r="D277" s="2864"/>
      <c r="E277" s="2864"/>
      <c r="F277" s="2864"/>
      <c r="G277" s="2864"/>
      <c r="H277" s="2864"/>
      <c r="I277" s="2864"/>
      <c r="J277" s="2864"/>
      <c r="K277" s="2864"/>
      <c r="L277" s="2864"/>
      <c r="M277" s="2864"/>
    </row>
    <row r="278" spans="1:21">
      <c r="A278" s="2865" t="s">
        <v>2794</v>
      </c>
      <c r="B278" s="2866" t="s">
        <v>2590</v>
      </c>
      <c r="C278" s="2866" t="s">
        <v>2591</v>
      </c>
      <c r="D278" s="2866" t="s">
        <v>2592</v>
      </c>
      <c r="E278" s="2866" t="s">
        <v>2593</v>
      </c>
      <c r="F278" s="2866" t="s">
        <v>2594</v>
      </c>
      <c r="G278" s="2866" t="s">
        <v>2595</v>
      </c>
      <c r="H278" s="2867" t="s">
        <v>2596</v>
      </c>
      <c r="I278" s="2867" t="s">
        <v>2597</v>
      </c>
      <c r="J278" s="2868" t="s">
        <v>2598</v>
      </c>
      <c r="K278" s="2868" t="s">
        <v>2599</v>
      </c>
      <c r="L278" s="2868" t="s">
        <v>2600</v>
      </c>
      <c r="M278" s="2869" t="s">
        <v>2601</v>
      </c>
      <c r="Q278" s="2879" t="s">
        <v>2799</v>
      </c>
      <c r="R278" s="2879" t="s">
        <v>2800</v>
      </c>
      <c r="S278" s="2879" t="s">
        <v>2803</v>
      </c>
      <c r="T278" s="2879" t="s">
        <v>2804</v>
      </c>
      <c r="U278" s="2879" t="s">
        <v>2802</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2798</v>
      </c>
      <c r="B369" s="2877"/>
      <c r="C369" s="2877"/>
      <c r="D369" s="2877"/>
      <c r="E369" s="2877"/>
      <c r="F369" s="2877"/>
      <c r="G369" s="2877"/>
      <c r="H369" s="2877"/>
      <c r="I369" s="2877"/>
      <c r="J369" s="2877"/>
      <c r="K369" s="2877"/>
      <c r="L369" s="2877"/>
      <c r="M369" s="2877"/>
    </row>
    <row r="370" spans="1:20">
      <c r="A370" s="2865" t="s">
        <v>2794</v>
      </c>
      <c r="B370" s="2866" t="s">
        <v>2590</v>
      </c>
      <c r="C370" s="2866" t="s">
        <v>2591</v>
      </c>
      <c r="D370" s="2866" t="s">
        <v>2592</v>
      </c>
      <c r="E370" s="2866" t="s">
        <v>2593</v>
      </c>
      <c r="F370" s="2866" t="s">
        <v>2594</v>
      </c>
      <c r="G370" s="2866" t="s">
        <v>2595</v>
      </c>
      <c r="H370" s="2867" t="s">
        <v>2596</v>
      </c>
      <c r="I370" s="2867" t="s">
        <v>2597</v>
      </c>
      <c r="J370" s="2868" t="s">
        <v>2598</v>
      </c>
      <c r="K370" s="2868" t="s">
        <v>2599</v>
      </c>
      <c r="L370" s="2868" t="s">
        <v>2600</v>
      </c>
      <c r="M370" s="2869" t="s">
        <v>2601</v>
      </c>
      <c r="N370">
        <f>SUMPRODUCT((A371:A460=ROUNDDOWN(基准地价修正!G3,1))*(B370:M370=基准地价修正!G2)*(B371:M460))</f>
        <v>1</v>
      </c>
      <c r="Q370" s="2879" t="s">
        <v>2799</v>
      </c>
      <c r="R370" s="2879" t="s">
        <v>2800</v>
      </c>
      <c r="S370" s="2879" t="s">
        <v>2801</v>
      </c>
      <c r="T370" s="2879" t="s">
        <v>2802</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28859</v>
      </c>
      <c r="C2" s="2" t="s">
        <v>106</v>
      </c>
      <c r="D2" s="191"/>
      <c r="E2" s="191"/>
      <c r="F2" s="191"/>
      <c r="G2" s="191"/>
    </row>
    <row r="3" spans="1:7" s="192" customFormat="1" ht="18" customHeight="1" thickBot="1">
      <c r="A3" s="195" t="s">
        <v>58</v>
      </c>
      <c r="B3" s="196">
        <f ca="1">ROUND(B2*10000/'数据-汇总表'!E3,0)</f>
        <v>73625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78</v>
      </c>
      <c r="D10" s="795">
        <f>'数据-汇总表'!E6</f>
        <v>3919.71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78</v>
      </c>
      <c r="D19" s="204">
        <f>'数据-汇总表'!E3</f>
        <v>3919.71</v>
      </c>
      <c r="E19" s="203">
        <f>'数据-取费表'!B31</f>
        <v>200</v>
      </c>
      <c r="F19" s="223"/>
      <c r="G19" s="1" t="s">
        <v>436</v>
      </c>
    </row>
    <row r="20" spans="1:7" s="206" customFormat="1" ht="13.5" customHeight="1">
      <c r="A20" s="731" t="s">
        <v>419</v>
      </c>
      <c r="B20" s="202" t="s">
        <v>77</v>
      </c>
      <c r="C20" s="224">
        <f>ROUND((C5+C19)*F20,0)</f>
        <v>621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1322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2131</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2131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27100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1568</v>
      </c>
      <c r="D34" s="209"/>
      <c r="E34" s="212"/>
      <c r="F34" s="249">
        <f>IF('数据-取费表'!B24=0,1,'数据-取费表'!N16)</f>
        <v>1</v>
      </c>
      <c r="G34" s="211" t="s">
        <v>89</v>
      </c>
    </row>
    <row r="35" spans="1:7" ht="13.5" customHeight="1">
      <c r="A35" s="734" t="s">
        <v>351</v>
      </c>
      <c r="B35" s="207" t="s">
        <v>33</v>
      </c>
      <c r="C35" s="212">
        <f>ROUND(C34*F35,0)</f>
        <v>47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78</v>
      </c>
      <c r="D37" s="209">
        <f>'数据-汇总表'!E3</f>
        <v>3919.71</v>
      </c>
      <c r="E37" s="241">
        <f>'数据-取费表'!B35</f>
        <v>200</v>
      </c>
      <c r="F37" s="251"/>
      <c r="G37" s="253" t="s">
        <v>92</v>
      </c>
    </row>
    <row r="38" spans="1:7" ht="13.5" customHeight="1">
      <c r="A38" s="734" t="s">
        <v>354</v>
      </c>
      <c r="B38" s="207" t="s">
        <v>36</v>
      </c>
      <c r="C38" s="212">
        <f>ROUND(C34*F38,0)</f>
        <v>31</v>
      </c>
      <c r="D38" s="212"/>
      <c r="E38" s="212"/>
      <c r="F38" s="251">
        <f>'数据-取费表'!B36</f>
        <v>0.02</v>
      </c>
      <c r="G38" s="211" t="s">
        <v>90</v>
      </c>
    </row>
    <row r="39" spans="1:7" s="206" customFormat="1" ht="13.5" customHeight="1">
      <c r="A39" s="731" t="s">
        <v>338</v>
      </c>
      <c r="B39" s="202" t="s">
        <v>77</v>
      </c>
      <c r="C39" s="224">
        <f>ROUND(C33*F20,0)</f>
        <v>52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55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53</v>
      </c>
      <c r="D42" s="230"/>
      <c r="E42" s="230"/>
      <c r="F42" s="231"/>
      <c r="G42" s="3356" t="s">
        <v>94</v>
      </c>
    </row>
    <row r="43" spans="1:7" ht="13.5" customHeight="1">
      <c r="A43" s="734" t="s">
        <v>347</v>
      </c>
      <c r="B43" s="207" t="s">
        <v>426</v>
      </c>
      <c r="C43" s="230">
        <f ca="1">ROUND(IF('数据-取费表'!B22&lt;=1,C39*F22*'数据-取费表'!B21/2,C39*(POWER((1+F22),'数据-取费表'!B21/2)-1)),0)</f>
        <v>2</v>
      </c>
      <c r="D43" s="230"/>
      <c r="E43" s="230"/>
      <c r="F43" s="231"/>
      <c r="G43" s="3357"/>
    </row>
    <row r="44" spans="1:7" ht="13.5" customHeight="1">
      <c r="A44" s="734" t="s">
        <v>348</v>
      </c>
      <c r="B44" s="207" t="s">
        <v>428</v>
      </c>
      <c r="C44" s="230">
        <f ca="1">ROUND(IF('数据-取费表'!B22&lt;=1,C40*F22*'数据-取费表'!B21/2,C40*(POWER((1+F22),'数据-取费表'!B21/2)-1)),4)</f>
        <v>8.9999999999999998E-4</v>
      </c>
      <c r="D44" s="230"/>
      <c r="E44" s="230"/>
      <c r="F44" s="231"/>
      <c r="G44" s="3358"/>
    </row>
    <row r="45" spans="1:7" s="206" customFormat="1" ht="13.5" customHeight="1">
      <c r="A45" s="731" t="s">
        <v>341</v>
      </c>
      <c r="B45" s="236" t="s">
        <v>85</v>
      </c>
      <c r="C45" s="237">
        <f>C46</f>
        <v>178</v>
      </c>
      <c r="D45" s="227">
        <f>C47</f>
        <v>3.0000000000000001E-3</v>
      </c>
      <c r="E45" s="228" t="s">
        <v>102</v>
      </c>
      <c r="F45" s="238"/>
      <c r="G45" s="239" t="s">
        <v>434</v>
      </c>
    </row>
    <row r="46" spans="1:7" s="206" customFormat="1" ht="13.5" customHeight="1">
      <c r="A46" s="734" t="s">
        <v>349</v>
      </c>
      <c r="B46" s="240" t="s">
        <v>427</v>
      </c>
      <c r="C46" s="241">
        <f>ROUND((C33+C39)*F27,0)</f>
        <v>178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2199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1759</v>
      </c>
      <c r="D51" s="224"/>
      <c r="E51" s="224"/>
      <c r="F51" s="256"/>
      <c r="G51" s="226" t="s">
        <v>37</v>
      </c>
    </row>
    <row r="52" spans="1:7" s="200" customFormat="1" ht="16.5" thickBot="1">
      <c r="A52" s="257" t="s">
        <v>38</v>
      </c>
      <c r="B52" s="258"/>
      <c r="C52" s="259">
        <f ca="1">C31+C51</f>
        <v>28859</v>
      </c>
      <c r="D52" s="258"/>
      <c r="E52" s="258"/>
      <c r="F52" s="258"/>
      <c r="G52" s="260"/>
    </row>
    <row r="55" spans="1:7" ht="15">
      <c r="B55" s="262" t="s">
        <v>39</v>
      </c>
      <c r="C55" s="263"/>
    </row>
    <row r="56" spans="1:7">
      <c r="B56" s="265" t="s">
        <v>40</v>
      </c>
      <c r="C56" s="266">
        <f ca="1">ROUND(C51/C52,3)</f>
        <v>6.0999999999999999E-2</v>
      </c>
    </row>
    <row r="57" spans="1:7">
      <c r="B57" s="265" t="s">
        <v>41</v>
      </c>
      <c r="C57" s="267">
        <f ca="1">1-C56</f>
        <v>0.93900000000000006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f ca="1">结果表!H101</f>
        <v>2430</v>
      </c>
    </row>
    <row r="6" spans="1:5" ht="15.75">
      <c r="B6" s="3176"/>
      <c r="C6" s="1392" t="s">
        <v>911</v>
      </c>
      <c r="D6" s="797" t="str">
        <f ca="1">NUMBERSTRING(INT(D5*10000),2)&amp;"元整"</f>
        <v>贰仟肆佰叁拾万元整</v>
      </c>
    </row>
    <row r="7" spans="1:5" ht="15.75">
      <c r="B7" s="3181"/>
      <c r="C7" s="1393" t="s">
        <v>912</v>
      </c>
      <c r="D7" s="798">
        <f ca="1">结果表!H102</f>
        <v>6199</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f ca="1">结果表!H107</f>
        <v>2430</v>
      </c>
    </row>
    <row r="14" spans="1:5" ht="15.75">
      <c r="B14" s="3176"/>
      <c r="C14" s="1392" t="s">
        <v>911</v>
      </c>
      <c r="D14" s="797" t="str">
        <f ca="1">NUMBERSTRING(INT(D13*10000),2)&amp;"元整"</f>
        <v>贰仟肆佰叁拾万元整</v>
      </c>
    </row>
    <row r="15" spans="1:5" ht="15">
      <c r="B15" s="3181"/>
      <c r="C15" s="1393" t="s">
        <v>921</v>
      </c>
      <c r="D15" s="806">
        <f ca="1">结果表!H108</f>
        <v>6199</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2" t="s">
        <v>3176</v>
      </c>
      <c r="B1" s="3492"/>
    </row>
    <row r="2" spans="1:7" ht="14.25" thickBot="1">
      <c r="A2" s="2967"/>
      <c r="B2" s="2967"/>
    </row>
    <row r="3" spans="1:7" ht="14.25" thickBot="1">
      <c r="A3" s="2967"/>
      <c r="B3" s="2967"/>
      <c r="C3" s="2968" t="s">
        <v>2806</v>
      </c>
      <c r="D3" s="2968" t="s">
        <v>2862</v>
      </c>
      <c r="E3" s="2968" t="s">
        <v>2808</v>
      </c>
      <c r="F3" s="2968" t="s">
        <v>2863</v>
      </c>
      <c r="G3" s="2968" t="s">
        <v>2626</v>
      </c>
    </row>
    <row r="4" spans="1:7" ht="14.25" thickBot="1">
      <c r="A4" s="2969" t="s">
        <v>2861</v>
      </c>
      <c r="B4" s="2970" t="s">
        <v>2867</v>
      </c>
      <c r="C4" s="2968"/>
      <c r="D4" s="2968"/>
      <c r="E4" s="2968"/>
      <c r="F4" s="2968"/>
      <c r="G4" s="2968"/>
    </row>
    <row r="5" spans="1:7">
      <c r="A5" s="2971" t="s">
        <v>2835</v>
      </c>
      <c r="B5" s="2972" t="s">
        <v>2849</v>
      </c>
      <c r="C5" s="2973">
        <v>9.8000000000000004E-2</v>
      </c>
      <c r="D5" s="2973">
        <v>8.6999999999999994E-2</v>
      </c>
      <c r="E5" s="2973">
        <v>8.6999999999999994E-2</v>
      </c>
      <c r="F5" s="2973">
        <v>9.8000000000000004E-2</v>
      </c>
      <c r="G5" s="2974">
        <v>9.5000000000000001E-2</v>
      </c>
    </row>
    <row r="6" spans="1:7">
      <c r="A6" s="2975" t="s">
        <v>144</v>
      </c>
      <c r="B6" s="2976" t="s">
        <v>2864</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2850</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2900</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2918</v>
      </c>
      <c r="C29" s="2985"/>
      <c r="D29" s="2981">
        <v>5.1999999999999998E-2</v>
      </c>
      <c r="E29" s="2981">
        <v>7.0000000000000007E-2</v>
      </c>
      <c r="F29" s="2985"/>
      <c r="G29" s="2983">
        <v>7.0999999999999994E-2</v>
      </c>
    </row>
    <row r="30" spans="1:7">
      <c r="A30" s="2986" t="s">
        <v>296</v>
      </c>
      <c r="B30" s="2972" t="s">
        <v>2851</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2837</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2921</v>
      </c>
      <c r="C50" s="2977">
        <v>9.8000000000000004E-2</v>
      </c>
      <c r="D50" s="2977">
        <v>7.2999999999999995E-2</v>
      </c>
      <c r="E50" s="2977">
        <v>7.0999999999999994E-2</v>
      </c>
      <c r="F50" s="2988"/>
      <c r="G50" s="2978">
        <v>7.2999999999999995E-2</v>
      </c>
    </row>
    <row r="51" spans="1:7">
      <c r="A51" s="2987" t="s">
        <v>296</v>
      </c>
      <c r="B51" s="2976" t="s">
        <v>2923</v>
      </c>
      <c r="C51" s="2977">
        <v>9.9000000000000005E-2</v>
      </c>
      <c r="D51" s="2977">
        <v>8.5000000000000006E-2</v>
      </c>
      <c r="E51" s="2977">
        <v>6.3E-2</v>
      </c>
      <c r="F51" s="2988"/>
      <c r="G51" s="2978">
        <v>9.6000000000000002E-2</v>
      </c>
    </row>
    <row r="52" spans="1:7">
      <c r="A52" s="2987" t="s">
        <v>296</v>
      </c>
      <c r="B52" s="2976" t="s">
        <v>2927</v>
      </c>
      <c r="C52" s="2977">
        <v>7.3999999999999996E-2</v>
      </c>
      <c r="D52" s="2977">
        <v>9.6000000000000002E-2</v>
      </c>
      <c r="E52" s="2977">
        <v>0.05</v>
      </c>
      <c r="F52" s="2988"/>
      <c r="G52" s="2978">
        <v>9.8000000000000004E-2</v>
      </c>
    </row>
    <row r="53" spans="1:7">
      <c r="A53" s="2987" t="s">
        <v>296</v>
      </c>
      <c r="B53" s="2976" t="s">
        <v>2932</v>
      </c>
      <c r="C53" s="2977">
        <v>8.5999999999999993E-2</v>
      </c>
      <c r="D53" s="2988"/>
      <c r="E53" s="2977">
        <v>9.1999999999999998E-2</v>
      </c>
      <c r="F53" s="2988"/>
      <c r="G53" s="2989"/>
    </row>
    <row r="54" spans="1:7" ht="14.25" thickBot="1">
      <c r="A54" s="2990" t="s">
        <v>296</v>
      </c>
      <c r="B54" s="2980" t="s">
        <v>2935</v>
      </c>
      <c r="C54" s="2981">
        <v>9.6000000000000002E-2</v>
      </c>
      <c r="D54" s="2982"/>
      <c r="E54" s="2991"/>
      <c r="F54" s="2982"/>
      <c r="G54" s="2992"/>
    </row>
    <row r="55" spans="1:7">
      <c r="A55" s="2986" t="s">
        <v>110</v>
      </c>
      <c r="B55" s="2972" t="s">
        <v>2852</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2933</v>
      </c>
      <c r="C78" s="2977">
        <v>0.1</v>
      </c>
      <c r="D78" s="2977">
        <v>8.5000000000000006E-2</v>
      </c>
      <c r="E78" s="2977">
        <v>9.6000000000000002E-2</v>
      </c>
      <c r="F78" s="2988"/>
      <c r="G78" s="2978">
        <v>9.6000000000000002E-2</v>
      </c>
    </row>
    <row r="79" spans="1:7">
      <c r="A79" s="2987" t="s">
        <v>110</v>
      </c>
      <c r="B79" s="2976" t="s">
        <v>2936</v>
      </c>
      <c r="C79" s="2977">
        <v>0.05</v>
      </c>
      <c r="D79" s="2977">
        <v>9.6000000000000002E-2</v>
      </c>
      <c r="E79" s="2977">
        <v>9.5000000000000001E-2</v>
      </c>
      <c r="F79" s="2988"/>
      <c r="G79" s="2978">
        <v>9.8000000000000004E-2</v>
      </c>
    </row>
    <row r="80" spans="1:7">
      <c r="A80" s="2987" t="s">
        <v>110</v>
      </c>
      <c r="B80" s="2976" t="s">
        <v>2940</v>
      </c>
      <c r="C80" s="2977">
        <v>8.5999999999999993E-2</v>
      </c>
      <c r="D80" s="2993"/>
      <c r="E80" s="2977">
        <v>0.1</v>
      </c>
      <c r="F80" s="2988"/>
      <c r="G80" s="2989"/>
    </row>
    <row r="81" spans="1:7">
      <c r="A81" s="2987" t="s">
        <v>110</v>
      </c>
      <c r="B81" s="2976" t="s">
        <v>2945</v>
      </c>
      <c r="C81" s="2977">
        <v>9.6000000000000002E-2</v>
      </c>
      <c r="D81" s="2988"/>
      <c r="E81" s="2977">
        <v>9.8000000000000004E-2</v>
      </c>
      <c r="F81" s="2988"/>
      <c r="G81" s="2989"/>
    </row>
    <row r="82" spans="1:7">
      <c r="A82" s="2987" t="s">
        <v>110</v>
      </c>
      <c r="B82" s="2976" t="s">
        <v>2952</v>
      </c>
      <c r="C82" s="2993"/>
      <c r="D82" s="2988"/>
      <c r="E82" s="2977">
        <v>7.6999999999999999E-2</v>
      </c>
      <c r="F82" s="2988"/>
      <c r="G82" s="2989"/>
    </row>
    <row r="83" spans="1:7">
      <c r="A83" s="2987" t="s">
        <v>110</v>
      </c>
      <c r="B83" s="2976" t="s">
        <v>2958</v>
      </c>
      <c r="C83" s="2988"/>
      <c r="D83" s="2988"/>
      <c r="E83" s="2988"/>
      <c r="F83" s="2977">
        <v>0.1</v>
      </c>
      <c r="G83" s="2994"/>
    </row>
    <row r="84" spans="1:7">
      <c r="A84" s="2987" t="s">
        <v>110</v>
      </c>
      <c r="B84" s="2976" t="s">
        <v>2965</v>
      </c>
      <c r="C84" s="2988"/>
      <c r="D84" s="2988"/>
      <c r="E84" s="2988"/>
      <c r="F84" s="2977">
        <v>0.1</v>
      </c>
      <c r="G84" s="2994"/>
    </row>
    <row r="85" spans="1:7">
      <c r="A85" s="2987" t="s">
        <v>110</v>
      </c>
      <c r="B85" s="2976" t="s">
        <v>2972</v>
      </c>
      <c r="C85" s="2988"/>
      <c r="D85" s="2988"/>
      <c r="E85" s="2988"/>
      <c r="F85" s="2977">
        <v>0.1</v>
      </c>
      <c r="G85" s="2994"/>
    </row>
    <row r="86" spans="1:7" ht="14.25" thickBot="1">
      <c r="A86" s="2990" t="s">
        <v>110</v>
      </c>
      <c r="B86" s="2980" t="s">
        <v>2977</v>
      </c>
      <c r="C86" s="2981">
        <v>9.8000000000000004E-2</v>
      </c>
      <c r="D86" s="2981">
        <v>9.8000000000000004E-2</v>
      </c>
      <c r="E86" s="2981">
        <v>9.6000000000000002E-2</v>
      </c>
      <c r="F86" s="2991"/>
      <c r="G86" s="2983">
        <v>0.1</v>
      </c>
    </row>
    <row r="87" spans="1:7">
      <c r="A87" s="2986" t="s">
        <v>303</v>
      </c>
      <c r="B87" s="2972" t="s">
        <v>2853</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2946</v>
      </c>
      <c r="C113" s="2977">
        <v>0.1</v>
      </c>
      <c r="D113" s="2977">
        <v>0.1</v>
      </c>
      <c r="E113" s="2988"/>
      <c r="F113" s="2988"/>
      <c r="G113" s="2978">
        <v>0.1</v>
      </c>
    </row>
    <row r="114" spans="1:7">
      <c r="A114" s="2987" t="s">
        <v>303</v>
      </c>
      <c r="B114" s="2976" t="s">
        <v>2953</v>
      </c>
      <c r="C114" s="2977">
        <v>9.7000000000000003E-2</v>
      </c>
      <c r="D114" s="2977">
        <v>9.7000000000000003E-2</v>
      </c>
      <c r="E114" s="2988"/>
      <c r="F114" s="2988"/>
      <c r="G114" s="2978">
        <v>9.9000000000000005E-2</v>
      </c>
    </row>
    <row r="115" spans="1:7">
      <c r="A115" s="2987" t="s">
        <v>303</v>
      </c>
      <c r="B115" s="2976" t="s">
        <v>2959</v>
      </c>
      <c r="C115" s="2977">
        <v>0.1</v>
      </c>
      <c r="D115" s="2977">
        <v>0.1</v>
      </c>
      <c r="E115" s="2988"/>
      <c r="F115" s="2988"/>
      <c r="G115" s="2978">
        <v>0.1</v>
      </c>
    </row>
    <row r="116" spans="1:7">
      <c r="A116" s="2987" t="s">
        <v>303</v>
      </c>
      <c r="B116" s="2976" t="s">
        <v>2966</v>
      </c>
      <c r="C116" s="2977">
        <v>0.1</v>
      </c>
      <c r="D116" s="2977">
        <v>0.1</v>
      </c>
      <c r="E116" s="2988"/>
      <c r="F116" s="2988"/>
      <c r="G116" s="2978">
        <v>0.1</v>
      </c>
    </row>
    <row r="117" spans="1:7">
      <c r="A117" s="2987" t="s">
        <v>303</v>
      </c>
      <c r="B117" s="2976" t="s">
        <v>2973</v>
      </c>
      <c r="C117" s="2977">
        <v>9.7000000000000003E-2</v>
      </c>
      <c r="D117" s="2977">
        <v>9.7000000000000003E-2</v>
      </c>
      <c r="E117" s="2988"/>
      <c r="F117" s="2988"/>
      <c r="G117" s="2978">
        <v>9.7000000000000003E-2</v>
      </c>
    </row>
    <row r="118" spans="1:7">
      <c r="A118" s="2987" t="s">
        <v>303</v>
      </c>
      <c r="B118" s="2976" t="s">
        <v>2978</v>
      </c>
      <c r="C118" s="2977">
        <v>0.1</v>
      </c>
      <c r="D118" s="2977">
        <v>0.1</v>
      </c>
      <c r="E118" s="2988"/>
      <c r="F118" s="2988"/>
      <c r="G118" s="2978">
        <v>0.1</v>
      </c>
    </row>
    <row r="119" spans="1:7">
      <c r="A119" s="2987" t="s">
        <v>303</v>
      </c>
      <c r="B119" s="2976" t="s">
        <v>2982</v>
      </c>
      <c r="C119" s="2977">
        <v>5.0999999999999997E-2</v>
      </c>
      <c r="D119" s="2977">
        <v>5.1999999999999998E-2</v>
      </c>
      <c r="E119" s="2988"/>
      <c r="F119" s="2993"/>
      <c r="G119" s="2978">
        <v>0.06</v>
      </c>
    </row>
    <row r="120" spans="1:7">
      <c r="A120" s="2987" t="s">
        <v>303</v>
      </c>
      <c r="B120" s="2976" t="s">
        <v>2986</v>
      </c>
      <c r="C120" s="2988"/>
      <c r="D120" s="2988"/>
      <c r="E120" s="2988"/>
      <c r="F120" s="2977">
        <v>0.1</v>
      </c>
      <c r="G120" s="2994"/>
    </row>
    <row r="121" spans="1:7">
      <c r="A121" s="2987" t="s">
        <v>303</v>
      </c>
      <c r="B121" s="2976" t="s">
        <v>2991</v>
      </c>
      <c r="C121" s="2988"/>
      <c r="D121" s="2988"/>
      <c r="E121" s="2988"/>
      <c r="F121" s="2977">
        <v>0.1</v>
      </c>
      <c r="G121" s="2994"/>
    </row>
    <row r="122" spans="1:7">
      <c r="A122" s="2987" t="s">
        <v>303</v>
      </c>
      <c r="B122" s="2976" t="s">
        <v>2996</v>
      </c>
      <c r="C122" s="2977">
        <v>0.1</v>
      </c>
      <c r="D122" s="2977">
        <v>0.1</v>
      </c>
      <c r="E122" s="2977">
        <v>9.8000000000000004E-2</v>
      </c>
      <c r="F122" s="2977">
        <v>0.1</v>
      </c>
      <c r="G122" s="2978">
        <v>0.1</v>
      </c>
    </row>
    <row r="123" spans="1:7">
      <c r="A123" s="2987" t="s">
        <v>303</v>
      </c>
      <c r="B123" s="2976" t="s">
        <v>3001</v>
      </c>
      <c r="C123" s="2977">
        <v>0.1</v>
      </c>
      <c r="D123" s="2977">
        <v>0.1</v>
      </c>
      <c r="E123" s="2977">
        <v>9.8000000000000004E-2</v>
      </c>
      <c r="F123" s="2977">
        <v>0.1</v>
      </c>
      <c r="G123" s="2978">
        <v>0.1</v>
      </c>
    </row>
    <row r="124" spans="1:7">
      <c r="A124" s="2987" t="s">
        <v>303</v>
      </c>
      <c r="B124" s="2976" t="s">
        <v>3006</v>
      </c>
      <c r="C124" s="2977">
        <v>0.1</v>
      </c>
      <c r="D124" s="2977">
        <v>0.1</v>
      </c>
      <c r="E124" s="2977">
        <v>9.8000000000000004E-2</v>
      </c>
      <c r="F124" s="2993"/>
      <c r="G124" s="2978">
        <v>0.1</v>
      </c>
    </row>
    <row r="125" spans="1:7">
      <c r="A125" s="2987" t="s">
        <v>303</v>
      </c>
      <c r="B125" s="2976" t="s">
        <v>3011</v>
      </c>
      <c r="C125" s="2977">
        <v>9.8000000000000004E-2</v>
      </c>
      <c r="D125" s="2977">
        <v>9.8000000000000004E-2</v>
      </c>
      <c r="E125" s="2977">
        <v>9.6000000000000002E-2</v>
      </c>
      <c r="F125" s="2993"/>
      <c r="G125" s="2978">
        <v>0.1</v>
      </c>
    </row>
    <row r="126" spans="1:7" ht="14.25" thickBot="1">
      <c r="A126" s="2990" t="s">
        <v>303</v>
      </c>
      <c r="B126" s="2980" t="s">
        <v>3177</v>
      </c>
      <c r="C126" s="2981">
        <v>0.1</v>
      </c>
      <c r="D126" s="2981">
        <v>0.1</v>
      </c>
      <c r="E126" s="2981">
        <v>9.8000000000000004E-2</v>
      </c>
      <c r="F126" s="2981">
        <v>0.1</v>
      </c>
      <c r="G126" s="2983">
        <v>0.1</v>
      </c>
    </row>
    <row r="127" spans="1:7">
      <c r="A127" s="2986" t="s">
        <v>29</v>
      </c>
      <c r="B127" s="2972" t="s">
        <v>2854</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2924</v>
      </c>
      <c r="C148" s="2977">
        <v>0.13</v>
      </c>
      <c r="D148" s="2977">
        <v>0.13</v>
      </c>
      <c r="E148" s="2977">
        <v>0.13</v>
      </c>
      <c r="F148" s="2988"/>
      <c r="G148" s="2978">
        <v>0.13</v>
      </c>
    </row>
    <row r="149" spans="1:7">
      <c r="A149" s="2987" t="s">
        <v>29</v>
      </c>
      <c r="B149" s="2976" t="s">
        <v>2928</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2947</v>
      </c>
      <c r="C153" s="2977">
        <v>0.13</v>
      </c>
      <c r="D153" s="2977">
        <v>0.13</v>
      </c>
      <c r="E153" s="2977">
        <v>0.13</v>
      </c>
      <c r="F153" s="2977">
        <v>0.13</v>
      </c>
      <c r="G153" s="2978">
        <v>0.13</v>
      </c>
    </row>
    <row r="154" spans="1:7">
      <c r="A154" s="2987" t="s">
        <v>29</v>
      </c>
      <c r="B154" s="2976" t="s">
        <v>2954</v>
      </c>
      <c r="C154" s="2977">
        <v>0.121</v>
      </c>
      <c r="D154" s="2977">
        <v>0.121</v>
      </c>
      <c r="E154" s="2977">
        <v>0.105</v>
      </c>
      <c r="F154" s="2977">
        <v>0.121</v>
      </c>
      <c r="G154" s="2978">
        <v>0.123</v>
      </c>
    </row>
    <row r="155" spans="1:7">
      <c r="A155" s="2987" t="s">
        <v>29</v>
      </c>
      <c r="B155" s="2976" t="s">
        <v>2960</v>
      </c>
      <c r="C155" s="2977">
        <v>0.1</v>
      </c>
      <c r="D155" s="2977">
        <v>0.1</v>
      </c>
      <c r="E155" s="2977">
        <v>0.1</v>
      </c>
      <c r="F155" s="2977">
        <v>0.1</v>
      </c>
      <c r="G155" s="2978">
        <v>0.1</v>
      </c>
    </row>
    <row r="156" spans="1:7">
      <c r="A156" s="2987" t="s">
        <v>29</v>
      </c>
      <c r="B156" s="2976" t="s">
        <v>2967</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2987</v>
      </c>
      <c r="C160" s="2977">
        <v>0.13</v>
      </c>
      <c r="D160" s="2977">
        <v>0.13</v>
      </c>
      <c r="E160" s="2977">
        <v>0.124</v>
      </c>
      <c r="F160" s="2977">
        <v>0.126</v>
      </c>
      <c r="G160" s="2978">
        <v>0.13</v>
      </c>
    </row>
    <row r="161" spans="1:7">
      <c r="A161" s="2987" t="s">
        <v>29</v>
      </c>
      <c r="B161" s="2976" t="s">
        <v>2992</v>
      </c>
      <c r="C161" s="2977">
        <v>0.13</v>
      </c>
      <c r="D161" s="2977">
        <v>0.13</v>
      </c>
      <c r="E161" s="2977">
        <v>0.124</v>
      </c>
      <c r="F161" s="2977">
        <v>0.127</v>
      </c>
      <c r="G161" s="2978">
        <v>0.13</v>
      </c>
    </row>
    <row r="162" spans="1:7">
      <c r="A162" s="2987" t="s">
        <v>29</v>
      </c>
      <c r="B162" s="2976" t="s">
        <v>2997</v>
      </c>
      <c r="C162" s="2977">
        <v>0.1</v>
      </c>
      <c r="D162" s="2977">
        <v>0.1</v>
      </c>
      <c r="E162" s="2977">
        <v>0.1</v>
      </c>
      <c r="F162" s="2977">
        <v>0.121</v>
      </c>
      <c r="G162" s="2978">
        <v>0.105</v>
      </c>
    </row>
    <row r="163" spans="1:7">
      <c r="A163" s="2987" t="s">
        <v>29</v>
      </c>
      <c r="B163" s="2976" t="s">
        <v>3002</v>
      </c>
      <c r="C163" s="2977">
        <v>0.1</v>
      </c>
      <c r="D163" s="2977">
        <v>0.1</v>
      </c>
      <c r="E163" s="2977">
        <v>0.1</v>
      </c>
      <c r="F163" s="2977">
        <v>0.1</v>
      </c>
      <c r="G163" s="2978">
        <v>0.1</v>
      </c>
    </row>
    <row r="164" spans="1:7">
      <c r="A164" s="2987" t="s">
        <v>29</v>
      </c>
      <c r="B164" s="2976" t="s">
        <v>3007</v>
      </c>
      <c r="C164" s="2993"/>
      <c r="D164" s="2993"/>
      <c r="E164" s="2993"/>
      <c r="F164" s="2977">
        <v>0.1</v>
      </c>
      <c r="G164" s="2989"/>
    </row>
    <row r="165" spans="1:7">
      <c r="A165" s="2987" t="s">
        <v>29</v>
      </c>
      <c r="B165" s="2976" t="s">
        <v>3178</v>
      </c>
      <c r="C165" s="2977">
        <v>0.126</v>
      </c>
      <c r="D165" s="2977">
        <v>0.126</v>
      </c>
      <c r="E165" s="2977">
        <v>0.11899999999999999</v>
      </c>
      <c r="F165" s="2977">
        <v>0.13</v>
      </c>
      <c r="G165" s="2978">
        <v>0.128</v>
      </c>
    </row>
    <row r="166" spans="1:7">
      <c r="A166" s="2987" t="s">
        <v>29</v>
      </c>
      <c r="B166" s="2976" t="s">
        <v>3017</v>
      </c>
      <c r="C166" s="2977">
        <v>0.129</v>
      </c>
      <c r="D166" s="2977">
        <v>0.129</v>
      </c>
      <c r="E166" s="2977">
        <v>0.123</v>
      </c>
      <c r="F166" s="2977">
        <v>0.128</v>
      </c>
      <c r="G166" s="2978">
        <v>0.13</v>
      </c>
    </row>
    <row r="167" spans="1:7">
      <c r="A167" s="2987" t="s">
        <v>29</v>
      </c>
      <c r="B167" s="2976" t="s">
        <v>3021</v>
      </c>
      <c r="C167" s="2977">
        <v>0.125</v>
      </c>
      <c r="D167" s="2977">
        <v>0.125</v>
      </c>
      <c r="E167" s="2977">
        <v>0.11700000000000001</v>
      </c>
      <c r="F167" s="2977">
        <v>0.13</v>
      </c>
      <c r="G167" s="2978">
        <v>0.126</v>
      </c>
    </row>
    <row r="168" spans="1:7">
      <c r="A168" s="2987" t="s">
        <v>29</v>
      </c>
      <c r="B168" s="2976" t="s">
        <v>3026</v>
      </c>
      <c r="C168" s="2977">
        <v>0.128</v>
      </c>
      <c r="D168" s="2977">
        <v>0.128</v>
      </c>
      <c r="E168" s="2977">
        <v>0.123</v>
      </c>
      <c r="F168" s="2988"/>
      <c r="G168" s="2978">
        <v>0.13</v>
      </c>
    </row>
    <row r="169" spans="1:7">
      <c r="A169" s="2987" t="s">
        <v>29</v>
      </c>
      <c r="B169" s="2976" t="s">
        <v>3179</v>
      </c>
      <c r="C169" s="2993"/>
      <c r="D169" s="2993"/>
      <c r="E169" s="2993"/>
      <c r="F169" s="2977">
        <v>0.05</v>
      </c>
      <c r="G169" s="2989"/>
    </row>
    <row r="170" spans="1:7">
      <c r="A170" s="2987" t="s">
        <v>29</v>
      </c>
      <c r="B170" s="2976" t="s">
        <v>3180</v>
      </c>
      <c r="C170" s="2993"/>
      <c r="D170" s="2993"/>
      <c r="E170" s="2993"/>
      <c r="F170" s="2977">
        <v>0.05</v>
      </c>
      <c r="G170" s="2989"/>
    </row>
    <row r="171" spans="1:7">
      <c r="A171" s="2987" t="s">
        <v>29</v>
      </c>
      <c r="B171" s="2976" t="s">
        <v>3181</v>
      </c>
      <c r="C171" s="2993"/>
      <c r="D171" s="2993"/>
      <c r="E171" s="2993"/>
      <c r="F171" s="2977">
        <v>0.05</v>
      </c>
      <c r="G171" s="2994"/>
    </row>
    <row r="172" spans="1:7">
      <c r="A172" s="2987" t="s">
        <v>29</v>
      </c>
      <c r="B172" s="2976" t="s">
        <v>3182</v>
      </c>
      <c r="C172" s="2993"/>
      <c r="D172" s="2993"/>
      <c r="E172" s="2993"/>
      <c r="F172" s="2977">
        <v>0.05</v>
      </c>
      <c r="G172" s="2994"/>
    </row>
    <row r="173" spans="1:7">
      <c r="A173" s="2987" t="s">
        <v>29</v>
      </c>
      <c r="B173" s="2976" t="s">
        <v>3183</v>
      </c>
      <c r="C173" s="2993"/>
      <c r="D173" s="2993"/>
      <c r="E173" s="2993"/>
      <c r="F173" s="2977">
        <v>0.05</v>
      </c>
      <c r="G173" s="2989"/>
    </row>
    <row r="174" spans="1:7">
      <c r="A174" s="2987" t="s">
        <v>29</v>
      </c>
      <c r="B174" s="2976" t="s">
        <v>3184</v>
      </c>
      <c r="C174" s="2993"/>
      <c r="D174" s="2993"/>
      <c r="E174" s="2993"/>
      <c r="F174" s="2977">
        <v>0.05</v>
      </c>
      <c r="G174" s="2989"/>
    </row>
    <row r="175" spans="1:7">
      <c r="A175" s="2987" t="s">
        <v>29</v>
      </c>
      <c r="B175" s="2976" t="s">
        <v>3185</v>
      </c>
      <c r="C175" s="2993"/>
      <c r="D175" s="2993"/>
      <c r="E175" s="2993"/>
      <c r="F175" s="2977">
        <v>0.05</v>
      </c>
      <c r="G175" s="2989"/>
    </row>
    <row r="176" spans="1:7">
      <c r="A176" s="2987" t="s">
        <v>29</v>
      </c>
      <c r="B176" s="2976" t="s">
        <v>3186</v>
      </c>
      <c r="C176" s="2993"/>
      <c r="D176" s="2993"/>
      <c r="E176" s="2993"/>
      <c r="F176" s="2977">
        <v>0.05</v>
      </c>
      <c r="G176" s="2989"/>
    </row>
    <row r="177" spans="1:7">
      <c r="A177" s="2987" t="s">
        <v>29</v>
      </c>
      <c r="B177" s="2976" t="s">
        <v>3187</v>
      </c>
      <c r="C177" s="2988"/>
      <c r="D177" s="2988"/>
      <c r="E177" s="2988"/>
      <c r="F177" s="2977">
        <v>0.05</v>
      </c>
      <c r="G177" s="2994"/>
    </row>
    <row r="178" spans="1:7">
      <c r="A178" s="2987" t="s">
        <v>29</v>
      </c>
      <c r="B178" s="2976" t="s">
        <v>3188</v>
      </c>
      <c r="C178" s="2988"/>
      <c r="D178" s="2988"/>
      <c r="E178" s="2988"/>
      <c r="F178" s="2977">
        <v>0.05</v>
      </c>
      <c r="G178" s="2994"/>
    </row>
    <row r="179" spans="1:7">
      <c r="A179" s="2987" t="s">
        <v>29</v>
      </c>
      <c r="B179" s="2976" t="s">
        <v>3189</v>
      </c>
      <c r="C179" s="2988"/>
      <c r="D179" s="2988"/>
      <c r="E179" s="2988"/>
      <c r="F179" s="2977">
        <v>0.05</v>
      </c>
      <c r="G179" s="2994"/>
    </row>
    <row r="180" spans="1:7">
      <c r="A180" s="2987" t="s">
        <v>29</v>
      </c>
      <c r="B180" s="2976" t="s">
        <v>3190</v>
      </c>
      <c r="C180" s="2988"/>
      <c r="D180" s="2988"/>
      <c r="E180" s="2988"/>
      <c r="F180" s="2977">
        <v>0.05</v>
      </c>
      <c r="G180" s="2994"/>
    </row>
    <row r="181" spans="1:7">
      <c r="A181" s="2987" t="s">
        <v>29</v>
      </c>
      <c r="B181" s="2976" t="s">
        <v>3191</v>
      </c>
      <c r="C181" s="2988"/>
      <c r="D181" s="2988"/>
      <c r="E181" s="2988"/>
      <c r="F181" s="2977">
        <v>0.05</v>
      </c>
      <c r="G181" s="2994"/>
    </row>
    <row r="182" spans="1:7">
      <c r="A182" s="2987" t="s">
        <v>29</v>
      </c>
      <c r="B182" s="2976" t="s">
        <v>3192</v>
      </c>
      <c r="C182" s="2988"/>
      <c r="D182" s="2988"/>
      <c r="E182" s="2988"/>
      <c r="F182" s="2977">
        <v>0.05</v>
      </c>
      <c r="G182" s="2994"/>
    </row>
    <row r="183" spans="1:7">
      <c r="A183" s="2987" t="s">
        <v>29</v>
      </c>
      <c r="B183" s="2976" t="s">
        <v>3193</v>
      </c>
      <c r="C183" s="2988"/>
      <c r="D183" s="2988"/>
      <c r="E183" s="2988"/>
      <c r="F183" s="2977">
        <v>0.05</v>
      </c>
      <c r="G183" s="2994"/>
    </row>
    <row r="184" spans="1:7">
      <c r="A184" s="2987" t="s">
        <v>29</v>
      </c>
      <c r="B184" s="2976" t="s">
        <v>3194</v>
      </c>
      <c r="C184" s="2988"/>
      <c r="D184" s="2988"/>
      <c r="E184" s="2988"/>
      <c r="F184" s="2977">
        <v>0.05</v>
      </c>
      <c r="G184" s="2994"/>
    </row>
    <row r="185" spans="1:7">
      <c r="A185" s="2987" t="s">
        <v>29</v>
      </c>
      <c r="B185" s="2976" t="s">
        <v>3195</v>
      </c>
      <c r="C185" s="2988"/>
      <c r="D185" s="2988"/>
      <c r="E185" s="2988"/>
      <c r="F185" s="2977">
        <v>0.05</v>
      </c>
      <c r="G185" s="2994"/>
    </row>
    <row r="186" spans="1:7">
      <c r="A186" s="2987" t="s">
        <v>29</v>
      </c>
      <c r="B186" s="2976" t="s">
        <v>3196</v>
      </c>
      <c r="C186" s="2988"/>
      <c r="D186" s="2988"/>
      <c r="E186" s="2988"/>
      <c r="F186" s="2977">
        <v>0.05</v>
      </c>
      <c r="G186" s="2994"/>
    </row>
    <row r="187" spans="1:7">
      <c r="A187" s="2987" t="s">
        <v>29</v>
      </c>
      <c r="B187" s="2976" t="s">
        <v>3197</v>
      </c>
      <c r="C187" s="2988"/>
      <c r="D187" s="2988"/>
      <c r="E187" s="2988"/>
      <c r="F187" s="2977">
        <v>0.05</v>
      </c>
      <c r="G187" s="2994"/>
    </row>
    <row r="188" spans="1:7">
      <c r="A188" s="2987" t="s">
        <v>29</v>
      </c>
      <c r="B188" s="2976" t="s">
        <v>3198</v>
      </c>
      <c r="C188" s="2988"/>
      <c r="D188" s="2988"/>
      <c r="E188" s="2988"/>
      <c r="F188" s="2977">
        <v>0.05</v>
      </c>
      <c r="G188" s="2994"/>
    </row>
    <row r="189" spans="1:7" ht="14.25" thickBot="1">
      <c r="A189" s="2990" t="s">
        <v>29</v>
      </c>
      <c r="B189" s="2980" t="s">
        <v>3199</v>
      </c>
      <c r="C189" s="2982"/>
      <c r="D189" s="2982"/>
      <c r="E189" s="2982"/>
      <c r="F189" s="2981">
        <v>0.05</v>
      </c>
      <c r="G189" s="2995"/>
    </row>
    <row r="190" spans="1:7">
      <c r="A190" s="2986" t="s">
        <v>304</v>
      </c>
      <c r="B190" s="2972" t="s">
        <v>2855</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2891</v>
      </c>
      <c r="C199" s="2977">
        <v>0.13</v>
      </c>
      <c r="D199" s="2977">
        <v>0.13</v>
      </c>
      <c r="E199" s="2977">
        <v>0.13</v>
      </c>
      <c r="F199" s="2977">
        <v>0.13</v>
      </c>
      <c r="G199" s="2978">
        <v>0.13</v>
      </c>
    </row>
    <row r="200" spans="1:7">
      <c r="A200" s="2987" t="s">
        <v>304</v>
      </c>
      <c r="B200" s="2976" t="s">
        <v>2894</v>
      </c>
      <c r="C200" s="2993"/>
      <c r="D200" s="2993"/>
      <c r="E200" s="2993"/>
      <c r="F200" s="2977">
        <v>0.13</v>
      </c>
      <c r="G200" s="2989"/>
    </row>
    <row r="201" spans="1:7">
      <c r="A201" s="2987" t="s">
        <v>304</v>
      </c>
      <c r="B201" s="2976" t="s">
        <v>2899</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2902</v>
      </c>
      <c r="C203" s="2977">
        <v>0.129</v>
      </c>
      <c r="D203" s="2977">
        <v>0.129</v>
      </c>
      <c r="E203" s="2977">
        <v>0.13</v>
      </c>
      <c r="F203" s="2977">
        <v>0.13</v>
      </c>
      <c r="G203" s="2978">
        <v>0.13</v>
      </c>
    </row>
    <row r="204" spans="1:7">
      <c r="A204" s="2987" t="s">
        <v>304</v>
      </c>
      <c r="B204" s="2976" t="s">
        <v>2905</v>
      </c>
      <c r="C204" s="2977">
        <v>0.129</v>
      </c>
      <c r="D204" s="2977">
        <v>0.129</v>
      </c>
      <c r="E204" s="2977">
        <v>0.123</v>
      </c>
      <c r="F204" s="2977">
        <v>0.13</v>
      </c>
      <c r="G204" s="2978">
        <v>0.13</v>
      </c>
    </row>
    <row r="205" spans="1:7">
      <c r="A205" s="2987" t="s">
        <v>304</v>
      </c>
      <c r="B205" s="2976" t="s">
        <v>2907</v>
      </c>
      <c r="C205" s="2977">
        <v>0.13</v>
      </c>
      <c r="D205" s="2977">
        <v>0.13</v>
      </c>
      <c r="E205" s="2977">
        <v>0.13</v>
      </c>
      <c r="F205" s="2977">
        <v>0.13</v>
      </c>
      <c r="G205" s="2978">
        <v>0.13</v>
      </c>
    </row>
    <row r="206" spans="1:7">
      <c r="A206" s="2987" t="s">
        <v>304</v>
      </c>
      <c r="B206" s="2976" t="s">
        <v>2910</v>
      </c>
      <c r="C206" s="2977">
        <v>0.13</v>
      </c>
      <c r="D206" s="2977">
        <v>0.13</v>
      </c>
      <c r="E206" s="2977">
        <v>0.13</v>
      </c>
      <c r="F206" s="2977">
        <v>0.128</v>
      </c>
      <c r="G206" s="2978">
        <v>0.13</v>
      </c>
    </row>
    <row r="207" spans="1:7">
      <c r="A207" s="2987" t="s">
        <v>304</v>
      </c>
      <c r="B207" s="2976" t="s">
        <v>2912</v>
      </c>
      <c r="C207" s="2977">
        <v>0.13</v>
      </c>
      <c r="D207" s="2977">
        <v>0.13</v>
      </c>
      <c r="E207" s="2977">
        <v>0.13</v>
      </c>
      <c r="F207" s="2977">
        <v>0.13</v>
      </c>
      <c r="G207" s="2978">
        <v>0.13</v>
      </c>
    </row>
    <row r="208" spans="1:7">
      <c r="A208" s="2987" t="s">
        <v>304</v>
      </c>
      <c r="B208" s="2976" t="s">
        <v>2915</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2922</v>
      </c>
      <c r="C210" s="2977">
        <v>0.121</v>
      </c>
      <c r="D210" s="2977">
        <v>0.121</v>
      </c>
      <c r="E210" s="2977">
        <v>0.125</v>
      </c>
      <c r="F210" s="2977">
        <v>0.13</v>
      </c>
      <c r="G210" s="2978">
        <v>0.123</v>
      </c>
    </row>
    <row r="211" spans="1:7">
      <c r="A211" s="2987" t="s">
        <v>304</v>
      </c>
      <c r="B211" s="2976" t="s">
        <v>2925</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2937</v>
      </c>
      <c r="C214" s="2977">
        <v>0.128</v>
      </c>
      <c r="D214" s="2977">
        <v>0.128</v>
      </c>
      <c r="E214" s="2977">
        <v>0.13</v>
      </c>
      <c r="F214" s="2977">
        <v>0.13</v>
      </c>
      <c r="G214" s="2978">
        <v>0.13</v>
      </c>
    </row>
    <row r="215" spans="1:7">
      <c r="A215" s="2987" t="s">
        <v>304</v>
      </c>
      <c r="B215" s="2976" t="s">
        <v>2941</v>
      </c>
      <c r="C215" s="2977">
        <v>0.13</v>
      </c>
      <c r="D215" s="2977">
        <v>0.13</v>
      </c>
      <c r="E215" s="2977">
        <v>0.13</v>
      </c>
      <c r="F215" s="2977">
        <v>0.129</v>
      </c>
      <c r="G215" s="2978">
        <v>0.13</v>
      </c>
    </row>
    <row r="216" spans="1:7">
      <c r="A216" s="2987" t="s">
        <v>304</v>
      </c>
      <c r="B216" s="2976" t="s">
        <v>2948</v>
      </c>
      <c r="C216" s="2977">
        <v>0.13</v>
      </c>
      <c r="D216" s="2977">
        <v>0.13</v>
      </c>
      <c r="E216" s="2977">
        <v>0.13</v>
      </c>
      <c r="F216" s="2977">
        <v>0.13</v>
      </c>
      <c r="G216" s="2978">
        <v>0.13</v>
      </c>
    </row>
    <row r="217" spans="1:7">
      <c r="A217" s="2987" t="s">
        <v>304</v>
      </c>
      <c r="B217" s="2976" t="s">
        <v>2955</v>
      </c>
      <c r="C217" s="2977">
        <v>0.129</v>
      </c>
      <c r="D217" s="2977">
        <v>0.129</v>
      </c>
      <c r="E217" s="2977">
        <v>0.13</v>
      </c>
      <c r="F217" s="2977">
        <v>0.13</v>
      </c>
      <c r="G217" s="2978">
        <v>0.13</v>
      </c>
    </row>
    <row r="218" spans="1:7">
      <c r="A218" s="2987" t="s">
        <v>304</v>
      </c>
      <c r="B218" s="2976" t="s">
        <v>2961</v>
      </c>
      <c r="C218" s="2988"/>
      <c r="D218" s="2988"/>
      <c r="E218" s="2988"/>
      <c r="F218" s="2977">
        <v>0.05</v>
      </c>
      <c r="G218" s="2994"/>
    </row>
    <row r="219" spans="1:7">
      <c r="A219" s="2987" t="s">
        <v>304</v>
      </c>
      <c r="B219" s="2976" t="s">
        <v>2968</v>
      </c>
      <c r="C219" s="2988"/>
      <c r="D219" s="2988"/>
      <c r="E219" s="2988"/>
      <c r="F219" s="2977">
        <v>0.05</v>
      </c>
      <c r="G219" s="2994"/>
    </row>
    <row r="220" spans="1:7">
      <c r="A220" s="2987" t="s">
        <v>304</v>
      </c>
      <c r="B220" s="2976" t="s">
        <v>2974</v>
      </c>
      <c r="C220" s="2988"/>
      <c r="D220" s="2988"/>
      <c r="E220" s="2988"/>
      <c r="F220" s="2977">
        <v>0.05</v>
      </c>
      <c r="G220" s="2994"/>
    </row>
    <row r="221" spans="1:7">
      <c r="A221" s="2987" t="s">
        <v>304</v>
      </c>
      <c r="B221" s="2976" t="s">
        <v>2979</v>
      </c>
      <c r="C221" s="2988"/>
      <c r="D221" s="2988"/>
      <c r="E221" s="2988"/>
      <c r="F221" s="2977">
        <v>0.05</v>
      </c>
      <c r="G221" s="2994"/>
    </row>
    <row r="222" spans="1:7">
      <c r="A222" s="2987" t="s">
        <v>304</v>
      </c>
      <c r="B222" s="2976" t="s">
        <v>2983</v>
      </c>
      <c r="C222" s="2988"/>
      <c r="D222" s="2988"/>
      <c r="E222" s="2988"/>
      <c r="F222" s="2977">
        <v>0.05</v>
      </c>
      <c r="G222" s="2994"/>
    </row>
    <row r="223" spans="1:7">
      <c r="A223" s="2987" t="s">
        <v>304</v>
      </c>
      <c r="B223" s="2976" t="s">
        <v>2988</v>
      </c>
      <c r="C223" s="2988"/>
      <c r="D223" s="2988"/>
      <c r="E223" s="2988"/>
      <c r="F223" s="2977">
        <v>0.05</v>
      </c>
      <c r="G223" s="2994"/>
    </row>
    <row r="224" spans="1:7">
      <c r="A224" s="2987" t="s">
        <v>304</v>
      </c>
      <c r="B224" s="2976" t="s">
        <v>2993</v>
      </c>
      <c r="C224" s="2988"/>
      <c r="D224" s="2988"/>
      <c r="E224" s="2988"/>
      <c r="F224" s="2977">
        <v>0.05</v>
      </c>
      <c r="G224" s="2994"/>
    </row>
    <row r="225" spans="1:7">
      <c r="A225" s="2987" t="s">
        <v>304</v>
      </c>
      <c r="B225" s="2976" t="s">
        <v>2998</v>
      </c>
      <c r="C225" s="2988"/>
      <c r="D225" s="2988"/>
      <c r="E225" s="2988"/>
      <c r="F225" s="2977">
        <v>0.05</v>
      </c>
      <c r="G225" s="2994"/>
    </row>
    <row r="226" spans="1:7">
      <c r="A226" s="2987" t="s">
        <v>304</v>
      </c>
      <c r="B226" s="2976" t="s">
        <v>3200</v>
      </c>
      <c r="C226" s="2988"/>
      <c r="D226" s="2988"/>
      <c r="E226" s="2988"/>
      <c r="F226" s="2977">
        <v>0.05</v>
      </c>
      <c r="G226" s="2994"/>
    </row>
    <row r="227" spans="1:7">
      <c r="A227" s="2987" t="s">
        <v>304</v>
      </c>
      <c r="B227" s="2976" t="s">
        <v>3201</v>
      </c>
      <c r="C227" s="2988"/>
      <c r="D227" s="2988"/>
      <c r="E227" s="2988"/>
      <c r="F227" s="2977">
        <v>0.05</v>
      </c>
      <c r="G227" s="2994"/>
    </row>
    <row r="228" spans="1:7">
      <c r="A228" s="2987" t="s">
        <v>304</v>
      </c>
      <c r="B228" s="2976" t="s">
        <v>3202</v>
      </c>
      <c r="C228" s="2988"/>
      <c r="D228" s="2988"/>
      <c r="E228" s="2988"/>
      <c r="F228" s="2977">
        <v>0.05</v>
      </c>
      <c r="G228" s="2994"/>
    </row>
    <row r="229" spans="1:7">
      <c r="A229" s="2987" t="s">
        <v>304</v>
      </c>
      <c r="B229" s="2976" t="s">
        <v>3203</v>
      </c>
      <c r="C229" s="2988"/>
      <c r="D229" s="2988"/>
      <c r="E229" s="2988"/>
      <c r="F229" s="2977">
        <v>0.05</v>
      </c>
      <c r="G229" s="2994"/>
    </row>
    <row r="230" spans="1:7">
      <c r="A230" s="2987" t="s">
        <v>304</v>
      </c>
      <c r="B230" s="2976" t="s">
        <v>3204</v>
      </c>
      <c r="C230" s="2988"/>
      <c r="D230" s="2988"/>
      <c r="E230" s="2988"/>
      <c r="F230" s="2977">
        <v>0.05</v>
      </c>
      <c r="G230" s="2994"/>
    </row>
    <row r="231" spans="1:7">
      <c r="A231" s="2987" t="s">
        <v>304</v>
      </c>
      <c r="B231" s="2976" t="s">
        <v>3205</v>
      </c>
      <c r="C231" s="2988"/>
      <c r="D231" s="2988"/>
      <c r="E231" s="2988"/>
      <c r="F231" s="2977">
        <v>0.05</v>
      </c>
      <c r="G231" s="2994"/>
    </row>
    <row r="232" spans="1:7">
      <c r="A232" s="2987" t="s">
        <v>304</v>
      </c>
      <c r="B232" s="2976" t="s">
        <v>3206</v>
      </c>
      <c r="C232" s="2988"/>
      <c r="D232" s="2988"/>
      <c r="E232" s="2988"/>
      <c r="F232" s="2977">
        <v>0.05</v>
      </c>
      <c r="G232" s="2994"/>
    </row>
    <row r="233" spans="1:7" ht="14.25" thickBot="1">
      <c r="A233" s="2990" t="s">
        <v>304</v>
      </c>
      <c r="B233" s="2980" t="s">
        <v>3207</v>
      </c>
      <c r="C233" s="2982"/>
      <c r="D233" s="2982"/>
      <c r="E233" s="2982"/>
      <c r="F233" s="2981">
        <v>0.05</v>
      </c>
      <c r="G233" s="2995"/>
    </row>
    <row r="234" spans="1:7">
      <c r="A234" s="2986" t="s">
        <v>305</v>
      </c>
      <c r="B234" s="2972" t="s">
        <v>2856</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2876</v>
      </c>
      <c r="C238" s="2977">
        <v>0.14899999999999999</v>
      </c>
      <c r="D238" s="2977">
        <v>0.14899999999999999</v>
      </c>
      <c r="E238" s="2977">
        <v>0.15</v>
      </c>
      <c r="F238" s="2977">
        <v>0.15</v>
      </c>
      <c r="G238" s="2978">
        <v>0.15</v>
      </c>
    </row>
    <row r="239" spans="1:7">
      <c r="A239" s="2987" t="s">
        <v>305</v>
      </c>
      <c r="B239" s="2976" t="s">
        <v>2880</v>
      </c>
      <c r="C239" s="2977">
        <v>0.15</v>
      </c>
      <c r="D239" s="2977">
        <v>0.15</v>
      </c>
      <c r="E239" s="2977">
        <v>0.15</v>
      </c>
      <c r="F239" s="2977">
        <v>0.15</v>
      </c>
      <c r="G239" s="2978">
        <v>0.15</v>
      </c>
    </row>
    <row r="240" spans="1:7">
      <c r="A240" s="2987" t="s">
        <v>305</v>
      </c>
      <c r="B240" s="2976" t="s">
        <v>2885</v>
      </c>
      <c r="C240" s="2977">
        <v>0.15</v>
      </c>
      <c r="D240" s="2977">
        <v>0.15</v>
      </c>
      <c r="E240" s="2977">
        <v>0.15</v>
      </c>
      <c r="F240" s="2977">
        <v>0.15</v>
      </c>
      <c r="G240" s="2978">
        <v>0.15</v>
      </c>
    </row>
    <row r="241" spans="1:7">
      <c r="A241" s="2987" t="s">
        <v>305</v>
      </c>
      <c r="B241" s="2976" t="s">
        <v>2889</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2895</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2903</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2908</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2916</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2929</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2938</v>
      </c>
      <c r="C258" s="2977">
        <v>0.14299999999999999</v>
      </c>
      <c r="D258" s="2977">
        <v>0.14299999999999999</v>
      </c>
      <c r="E258" s="2977">
        <v>0.15</v>
      </c>
      <c r="F258" s="2977">
        <v>0.14799999999999999</v>
      </c>
      <c r="G258" s="2978">
        <v>0.14599999999999999</v>
      </c>
    </row>
    <row r="259" spans="1:7">
      <c r="A259" s="2987" t="s">
        <v>305</v>
      </c>
      <c r="B259" s="2976" t="s">
        <v>2942</v>
      </c>
      <c r="C259" s="2977">
        <v>0.14399999999999999</v>
      </c>
      <c r="D259" s="2977">
        <v>0.14399999999999999</v>
      </c>
      <c r="E259" s="2977">
        <v>0.14899999999999999</v>
      </c>
      <c r="F259" s="2977">
        <v>0.14699999999999999</v>
      </c>
      <c r="G259" s="2978">
        <v>0.14599999999999999</v>
      </c>
    </row>
    <row r="260" spans="1:7">
      <c r="A260" s="2987" t="s">
        <v>305</v>
      </c>
      <c r="B260" s="2976" t="s">
        <v>2949</v>
      </c>
      <c r="C260" s="2977">
        <v>0.109</v>
      </c>
      <c r="D260" s="2977">
        <v>0.111</v>
      </c>
      <c r="E260" s="2977">
        <v>0.13100000000000001</v>
      </c>
      <c r="F260" s="2977">
        <v>0.126</v>
      </c>
      <c r="G260" s="2978">
        <v>0.11899999999999999</v>
      </c>
    </row>
    <row r="261" spans="1:7">
      <c r="A261" s="2987" t="s">
        <v>305</v>
      </c>
      <c r="B261" s="2976" t="s">
        <v>2956</v>
      </c>
      <c r="C261" s="2977">
        <v>0.1</v>
      </c>
      <c r="D261" s="2977">
        <v>0.1</v>
      </c>
      <c r="E261" s="2977">
        <v>0.11799999999999999</v>
      </c>
      <c r="F261" s="2977">
        <v>0.108</v>
      </c>
      <c r="G261" s="2978">
        <v>0.107</v>
      </c>
    </row>
    <row r="262" spans="1:7">
      <c r="A262" s="2987" t="s">
        <v>305</v>
      </c>
      <c r="B262" s="2976" t="s">
        <v>2962</v>
      </c>
      <c r="C262" s="2977">
        <v>0.1</v>
      </c>
      <c r="D262" s="2977">
        <v>0.1</v>
      </c>
      <c r="E262" s="2977">
        <v>0.1</v>
      </c>
      <c r="F262" s="2977">
        <v>0.14099999999999999</v>
      </c>
      <c r="G262" s="2978">
        <v>0.1</v>
      </c>
    </row>
    <row r="263" spans="1:7">
      <c r="A263" s="2987" t="s">
        <v>305</v>
      </c>
      <c r="B263" s="2976" t="s">
        <v>2969</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2980</v>
      </c>
      <c r="C265" s="2988"/>
      <c r="D265" s="2988"/>
      <c r="E265" s="2988"/>
      <c r="F265" s="2977">
        <v>0.05</v>
      </c>
      <c r="G265" s="2994"/>
    </row>
    <row r="266" spans="1:7">
      <c r="A266" s="2987" t="s">
        <v>305</v>
      </c>
      <c r="B266" s="2976" t="s">
        <v>2984</v>
      </c>
      <c r="C266" s="2988"/>
      <c r="D266" s="2988"/>
      <c r="E266" s="2988"/>
      <c r="F266" s="2977">
        <v>0.05</v>
      </c>
      <c r="G266" s="2994"/>
    </row>
    <row r="267" spans="1:7">
      <c r="A267" s="2987" t="s">
        <v>305</v>
      </c>
      <c r="B267" s="2976" t="s">
        <v>2989</v>
      </c>
      <c r="C267" s="2988"/>
      <c r="D267" s="2988"/>
      <c r="E267" s="2988"/>
      <c r="F267" s="2977">
        <v>0.05</v>
      </c>
      <c r="G267" s="2994"/>
    </row>
    <row r="268" spans="1:7">
      <c r="A268" s="2987" t="s">
        <v>305</v>
      </c>
      <c r="B268" s="2976" t="s">
        <v>2994</v>
      </c>
      <c r="C268" s="2988"/>
      <c r="D268" s="2988"/>
      <c r="E268" s="2988"/>
      <c r="F268" s="2977">
        <v>0.05</v>
      </c>
      <c r="G268" s="2994"/>
    </row>
    <row r="269" spans="1:7">
      <c r="A269" s="2987" t="s">
        <v>305</v>
      </c>
      <c r="B269" s="2976" t="s">
        <v>2999</v>
      </c>
      <c r="C269" s="2988"/>
      <c r="D269" s="2988"/>
      <c r="E269" s="2988"/>
      <c r="F269" s="2977">
        <v>0.05</v>
      </c>
      <c r="G269" s="2994"/>
    </row>
    <row r="270" spans="1:7">
      <c r="A270" s="2987" t="s">
        <v>305</v>
      </c>
      <c r="B270" s="2976" t="s">
        <v>3004</v>
      </c>
      <c r="C270" s="2988"/>
      <c r="D270" s="2988"/>
      <c r="E270" s="2988"/>
      <c r="F270" s="2977">
        <v>0.05</v>
      </c>
      <c r="G270" s="2994"/>
    </row>
    <row r="271" spans="1:7">
      <c r="A271" s="2987" t="s">
        <v>305</v>
      </c>
      <c r="B271" s="2976" t="s">
        <v>3208</v>
      </c>
      <c r="C271" s="2988"/>
      <c r="D271" s="2988"/>
      <c r="E271" s="2988"/>
      <c r="F271" s="2977">
        <v>0.05</v>
      </c>
      <c r="G271" s="2994"/>
    </row>
    <row r="272" spans="1:7">
      <c r="A272" s="2987" t="s">
        <v>305</v>
      </c>
      <c r="B272" s="2976" t="s">
        <v>3209</v>
      </c>
      <c r="C272" s="2988"/>
      <c r="D272" s="2988"/>
      <c r="E272" s="2988"/>
      <c r="F272" s="2977">
        <v>0.05</v>
      </c>
      <c r="G272" s="2994"/>
    </row>
    <row r="273" spans="1:7">
      <c r="A273" s="2987" t="s">
        <v>305</v>
      </c>
      <c r="B273" s="2976" t="s">
        <v>3210</v>
      </c>
      <c r="C273" s="2988"/>
      <c r="D273" s="2988"/>
      <c r="E273" s="2988"/>
      <c r="F273" s="2977">
        <v>0.05</v>
      </c>
      <c r="G273" s="2994"/>
    </row>
    <row r="274" spans="1:7">
      <c r="A274" s="2987" t="s">
        <v>305</v>
      </c>
      <c r="B274" s="2976" t="s">
        <v>3211</v>
      </c>
      <c r="C274" s="2988"/>
      <c r="D274" s="2988"/>
      <c r="E274" s="2988"/>
      <c r="F274" s="2977">
        <v>0.05</v>
      </c>
      <c r="G274" s="2994"/>
    </row>
    <row r="275" spans="1:7">
      <c r="A275" s="2987" t="s">
        <v>305</v>
      </c>
      <c r="B275" s="2976" t="s">
        <v>3212</v>
      </c>
      <c r="C275" s="2988"/>
      <c r="D275" s="2988"/>
      <c r="E275" s="2988"/>
      <c r="F275" s="2977">
        <v>0.05</v>
      </c>
      <c r="G275" s="2994"/>
    </row>
    <row r="276" spans="1:7" ht="14.25" thickBot="1">
      <c r="A276" s="2990" t="s">
        <v>305</v>
      </c>
      <c r="B276" s="2980" t="s">
        <v>3213</v>
      </c>
      <c r="C276" s="2982"/>
      <c r="D276" s="2982"/>
      <c r="E276" s="2982"/>
      <c r="F276" s="2981">
        <v>0.05</v>
      </c>
      <c r="G276" s="2995"/>
    </row>
    <row r="277" spans="1:7">
      <c r="A277" s="2986" t="s">
        <v>306</v>
      </c>
      <c r="B277" s="2972" t="s">
        <v>2857</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2869</v>
      </c>
      <c r="C279" s="2977">
        <v>0.15</v>
      </c>
      <c r="D279" s="2977">
        <v>0.15</v>
      </c>
      <c r="E279" s="2977">
        <v>0.15</v>
      </c>
      <c r="F279" s="2977">
        <v>0.15</v>
      </c>
      <c r="G279" s="2978">
        <v>0.15</v>
      </c>
    </row>
    <row r="280" spans="1:7">
      <c r="A280" s="2987" t="s">
        <v>306</v>
      </c>
      <c r="B280" s="2976" t="s">
        <v>2873</v>
      </c>
      <c r="C280" s="2977">
        <v>0.15</v>
      </c>
      <c r="D280" s="2977">
        <v>0.15</v>
      </c>
      <c r="E280" s="2977">
        <v>0.15</v>
      </c>
      <c r="F280" s="2977">
        <v>0.15</v>
      </c>
      <c r="G280" s="2978">
        <v>0.15</v>
      </c>
    </row>
    <row r="281" spans="1:7">
      <c r="A281" s="2987" t="s">
        <v>306</v>
      </c>
      <c r="B281" s="2976" t="s">
        <v>2877</v>
      </c>
      <c r="C281" s="2977">
        <v>0.15</v>
      </c>
      <c r="D281" s="2977">
        <v>0.15</v>
      </c>
      <c r="E281" s="2977">
        <v>0.15</v>
      </c>
      <c r="F281" s="2977">
        <v>0.15</v>
      </c>
      <c r="G281" s="2978">
        <v>0.15</v>
      </c>
    </row>
    <row r="282" spans="1:7">
      <c r="A282" s="2987" t="s">
        <v>306</v>
      </c>
      <c r="B282" s="2976" t="s">
        <v>2881</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2896</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2901</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2911</v>
      </c>
      <c r="C293" s="2977">
        <v>0.15</v>
      </c>
      <c r="D293" s="2977">
        <v>0.15</v>
      </c>
      <c r="E293" s="2977">
        <v>0.15</v>
      </c>
      <c r="F293" s="2977">
        <v>0.14499999999999999</v>
      </c>
      <c r="G293" s="2978">
        <v>0.15</v>
      </c>
    </row>
    <row r="294" spans="1:7">
      <c r="A294" s="2987" t="s">
        <v>306</v>
      </c>
      <c r="B294" s="2976" t="s">
        <v>2913</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2930</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2943</v>
      </c>
      <c r="C302" s="2977">
        <v>0.15</v>
      </c>
      <c r="D302" s="2977">
        <v>0.15</v>
      </c>
      <c r="E302" s="2977">
        <v>0.15</v>
      </c>
      <c r="F302" s="2977">
        <v>0.14699999999999999</v>
      </c>
      <c r="G302" s="2978">
        <v>0.15</v>
      </c>
    </row>
    <row r="303" spans="1:7">
      <c r="A303" s="2987" t="s">
        <v>306</v>
      </c>
      <c r="B303" s="2976" t="s">
        <v>2950</v>
      </c>
      <c r="C303" s="2977">
        <v>0.15</v>
      </c>
      <c r="D303" s="2977">
        <v>0.15</v>
      </c>
      <c r="E303" s="2977">
        <v>0.15</v>
      </c>
      <c r="F303" s="2977">
        <v>0.14199999999999999</v>
      </c>
      <c r="G303" s="2978">
        <v>0.15</v>
      </c>
    </row>
    <row r="304" spans="1:7">
      <c r="A304" s="2987" t="s">
        <v>306</v>
      </c>
      <c r="B304" s="2976" t="s">
        <v>2957</v>
      </c>
      <c r="C304" s="2977">
        <v>0.15</v>
      </c>
      <c r="D304" s="2977">
        <v>0.15</v>
      </c>
      <c r="E304" s="2977">
        <v>0.15</v>
      </c>
      <c r="F304" s="2977">
        <v>0.14499999999999999</v>
      </c>
      <c r="G304" s="2978">
        <v>0.15</v>
      </c>
    </row>
    <row r="305" spans="1:7">
      <c r="A305" s="2987" t="s">
        <v>306</v>
      </c>
      <c r="B305" s="2976" t="s">
        <v>2963</v>
      </c>
      <c r="C305" s="2977">
        <v>0.15</v>
      </c>
      <c r="D305" s="2977">
        <v>0.15</v>
      </c>
      <c r="E305" s="2977">
        <v>0.15</v>
      </c>
      <c r="F305" s="2977">
        <v>0.111</v>
      </c>
      <c r="G305" s="2978">
        <v>0.15</v>
      </c>
    </row>
    <row r="306" spans="1:7">
      <c r="A306" s="2987" t="s">
        <v>306</v>
      </c>
      <c r="B306" s="2976" t="s">
        <v>2970</v>
      </c>
      <c r="C306" s="2977">
        <v>0.15</v>
      </c>
      <c r="D306" s="2977">
        <v>0.15</v>
      </c>
      <c r="E306" s="2977">
        <v>0.15</v>
      </c>
      <c r="F306" s="2977">
        <v>0.126</v>
      </c>
      <c r="G306" s="2978">
        <v>0.15</v>
      </c>
    </row>
    <row r="307" spans="1:7">
      <c r="A307" s="2987" t="s">
        <v>306</v>
      </c>
      <c r="B307" s="2976" t="s">
        <v>2975</v>
      </c>
      <c r="C307" s="2977">
        <v>0.15</v>
      </c>
      <c r="D307" s="2977">
        <v>0.15</v>
      </c>
      <c r="E307" s="2977">
        <v>0.15</v>
      </c>
      <c r="F307" s="2977">
        <v>0.12</v>
      </c>
      <c r="G307" s="2978">
        <v>0.15</v>
      </c>
    </row>
    <row r="308" spans="1:7">
      <c r="A308" s="2987" t="s">
        <v>306</v>
      </c>
      <c r="B308" s="2976" t="s">
        <v>2981</v>
      </c>
      <c r="C308" s="2977">
        <v>0.15</v>
      </c>
      <c r="D308" s="2977">
        <v>0.15</v>
      </c>
      <c r="E308" s="2977">
        <v>0.15</v>
      </c>
      <c r="F308" s="2977">
        <v>0.13</v>
      </c>
      <c r="G308" s="2978">
        <v>0.15</v>
      </c>
    </row>
    <row r="309" spans="1:7">
      <c r="A309" s="2987" t="s">
        <v>306</v>
      </c>
      <c r="B309" s="2976" t="s">
        <v>2985</v>
      </c>
      <c r="C309" s="2977">
        <v>0.15</v>
      </c>
      <c r="D309" s="2977">
        <v>0.15</v>
      </c>
      <c r="E309" s="2977">
        <v>0.15</v>
      </c>
      <c r="F309" s="2977">
        <v>0.14099999999999999</v>
      </c>
      <c r="G309" s="2978">
        <v>0.15</v>
      </c>
    </row>
    <row r="310" spans="1:7">
      <c r="A310" s="2987" t="s">
        <v>306</v>
      </c>
      <c r="B310" s="2976" t="s">
        <v>2990</v>
      </c>
      <c r="C310" s="2977">
        <v>0.15</v>
      </c>
      <c r="D310" s="2977">
        <v>0.15</v>
      </c>
      <c r="E310" s="2977">
        <v>0.15</v>
      </c>
      <c r="F310" s="2977">
        <v>0.15</v>
      </c>
      <c r="G310" s="2978">
        <v>0.15</v>
      </c>
    </row>
    <row r="311" spans="1:7">
      <c r="A311" s="2987" t="s">
        <v>306</v>
      </c>
      <c r="B311" s="2976" t="s">
        <v>2995</v>
      </c>
      <c r="C311" s="2977">
        <v>0.13200000000000001</v>
      </c>
      <c r="D311" s="2977">
        <v>0.13300000000000001</v>
      </c>
      <c r="E311" s="2977">
        <v>0.14499999999999999</v>
      </c>
      <c r="F311" s="2977">
        <v>0.14199999999999999</v>
      </c>
      <c r="G311" s="2978">
        <v>0.14000000000000001</v>
      </c>
    </row>
    <row r="312" spans="1:7">
      <c r="A312" s="2987" t="s">
        <v>306</v>
      </c>
      <c r="B312" s="2976" t="s">
        <v>3000</v>
      </c>
      <c r="C312" s="2977">
        <v>0.13800000000000001</v>
      </c>
      <c r="D312" s="2977">
        <v>0.14000000000000001</v>
      </c>
      <c r="E312" s="2977">
        <v>0.14599999999999999</v>
      </c>
      <c r="F312" s="2977">
        <v>0.14899999999999999</v>
      </c>
      <c r="G312" s="2978">
        <v>0.14199999999999999</v>
      </c>
    </row>
    <row r="313" spans="1:7">
      <c r="A313" s="2987" t="s">
        <v>306</v>
      </c>
      <c r="B313" s="2976" t="s">
        <v>3005</v>
      </c>
      <c r="C313" s="2977">
        <v>0.125</v>
      </c>
      <c r="D313" s="2977">
        <v>0.127</v>
      </c>
      <c r="E313" s="2977">
        <v>0.14399999999999999</v>
      </c>
      <c r="F313" s="2977">
        <v>0.115</v>
      </c>
      <c r="G313" s="2978">
        <v>0.13600000000000001</v>
      </c>
    </row>
    <row r="314" spans="1:7">
      <c r="A314" s="2987" t="s">
        <v>306</v>
      </c>
      <c r="B314" s="2976" t="s">
        <v>3214</v>
      </c>
      <c r="C314" s="2993"/>
      <c r="D314" s="2993"/>
      <c r="E314" s="2993"/>
      <c r="F314" s="2977">
        <v>0.05</v>
      </c>
      <c r="G314" s="2994"/>
    </row>
    <row r="315" spans="1:7">
      <c r="A315" s="2987" t="s">
        <v>306</v>
      </c>
      <c r="B315" s="2976" t="s">
        <v>3215</v>
      </c>
      <c r="C315" s="2993"/>
      <c r="D315" s="2993"/>
      <c r="E315" s="2993"/>
      <c r="F315" s="2977">
        <v>0.05</v>
      </c>
      <c r="G315" s="2994"/>
    </row>
    <row r="316" spans="1:7">
      <c r="A316" s="2987" t="s">
        <v>306</v>
      </c>
      <c r="B316" s="2976" t="s">
        <v>3216</v>
      </c>
      <c r="C316" s="2988"/>
      <c r="D316" s="2988"/>
      <c r="E316" s="2988"/>
      <c r="F316" s="2977">
        <v>0.05</v>
      </c>
      <c r="G316" s="2994"/>
    </row>
    <row r="317" spans="1:7">
      <c r="A317" s="2987" t="s">
        <v>306</v>
      </c>
      <c r="B317" s="2976" t="s">
        <v>3217</v>
      </c>
      <c r="C317" s="2988"/>
      <c r="D317" s="2988"/>
      <c r="E317" s="2988"/>
      <c r="F317" s="2977">
        <v>0.05</v>
      </c>
      <c r="G317" s="2994"/>
    </row>
    <row r="318" spans="1:7">
      <c r="A318" s="2987" t="s">
        <v>306</v>
      </c>
      <c r="B318" s="2976" t="s">
        <v>3218</v>
      </c>
      <c r="C318" s="2988"/>
      <c r="D318" s="2988"/>
      <c r="E318" s="2988"/>
      <c r="F318" s="2977">
        <v>0.05</v>
      </c>
      <c r="G318" s="2994"/>
    </row>
    <row r="319" spans="1:7">
      <c r="A319" s="2987" t="s">
        <v>306</v>
      </c>
      <c r="B319" s="2976" t="s">
        <v>3219</v>
      </c>
      <c r="C319" s="2988"/>
      <c r="D319" s="2988"/>
      <c r="E319" s="2988"/>
      <c r="F319" s="2977">
        <v>0.05</v>
      </c>
      <c r="G319" s="2994"/>
    </row>
    <row r="320" spans="1:7">
      <c r="A320" s="2987" t="s">
        <v>306</v>
      </c>
      <c r="B320" s="2976" t="s">
        <v>3220</v>
      </c>
      <c r="C320" s="2988"/>
      <c r="D320" s="2988"/>
      <c r="E320" s="2988"/>
      <c r="F320" s="2977">
        <v>0.05</v>
      </c>
      <c r="G320" s="2994"/>
    </row>
    <row r="321" spans="1:7">
      <c r="A321" s="2987" t="s">
        <v>306</v>
      </c>
      <c r="B321" s="2976" t="s">
        <v>3221</v>
      </c>
      <c r="C321" s="2988"/>
      <c r="D321" s="2988"/>
      <c r="E321" s="2988"/>
      <c r="F321" s="2977">
        <v>0.05</v>
      </c>
      <c r="G321" s="2994"/>
    </row>
    <row r="322" spans="1:7">
      <c r="A322" s="2987" t="s">
        <v>306</v>
      </c>
      <c r="B322" s="2976" t="s">
        <v>3222</v>
      </c>
      <c r="C322" s="2988"/>
      <c r="D322" s="2988"/>
      <c r="E322" s="2988"/>
      <c r="F322" s="2977">
        <v>0.05</v>
      </c>
      <c r="G322" s="2994"/>
    </row>
    <row r="323" spans="1:7">
      <c r="A323" s="2987" t="s">
        <v>306</v>
      </c>
      <c r="B323" s="2976" t="s">
        <v>3223</v>
      </c>
      <c r="C323" s="2988"/>
      <c r="D323" s="2988"/>
      <c r="E323" s="2988"/>
      <c r="F323" s="2977">
        <v>0.05</v>
      </c>
      <c r="G323" s="2994"/>
    </row>
    <row r="324" spans="1:7">
      <c r="A324" s="2987" t="s">
        <v>306</v>
      </c>
      <c r="B324" s="2976" t="s">
        <v>3224</v>
      </c>
      <c r="C324" s="2988"/>
      <c r="D324" s="2988"/>
      <c r="E324" s="2988"/>
      <c r="F324" s="2977">
        <v>0.05</v>
      </c>
      <c r="G324" s="2994"/>
    </row>
    <row r="325" spans="1:7">
      <c r="A325" s="2987" t="s">
        <v>306</v>
      </c>
      <c r="B325" s="2976" t="s">
        <v>3225</v>
      </c>
      <c r="C325" s="2988"/>
      <c r="D325" s="2988"/>
      <c r="E325" s="2988"/>
      <c r="F325" s="2977">
        <v>0.05</v>
      </c>
      <c r="G325" s="2994"/>
    </row>
    <row r="326" spans="1:7" ht="14.25" thickBot="1">
      <c r="A326" s="2990" t="s">
        <v>306</v>
      </c>
      <c r="B326" s="2980" t="s">
        <v>3226</v>
      </c>
      <c r="C326" s="2982"/>
      <c r="D326" s="2982"/>
      <c r="E326" s="2982"/>
      <c r="F326" s="2981">
        <v>0.05</v>
      </c>
      <c r="G326" s="2995"/>
    </row>
    <row r="327" spans="1:7">
      <c r="A327" s="2986" t="s">
        <v>307</v>
      </c>
      <c r="B327" s="2972" t="s">
        <v>2858</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2870</v>
      </c>
      <c r="C329" s="2977">
        <v>0.15</v>
      </c>
      <c r="D329" s="2977">
        <v>0.15</v>
      </c>
      <c r="E329" s="2977">
        <v>0.15</v>
      </c>
      <c r="F329" s="2977">
        <v>0.15</v>
      </c>
      <c r="G329" s="2978">
        <v>0.15</v>
      </c>
    </row>
    <row r="330" spans="1:7">
      <c r="A330" s="2987" t="s">
        <v>307</v>
      </c>
      <c r="B330" s="2976" t="s">
        <v>2874</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2882</v>
      </c>
      <c r="C332" s="2977">
        <v>0.15</v>
      </c>
      <c r="D332" s="2977">
        <v>0.15</v>
      </c>
      <c r="E332" s="2977">
        <v>0.15</v>
      </c>
      <c r="F332" s="2977">
        <v>0.15</v>
      </c>
      <c r="G332" s="2978">
        <v>0.15</v>
      </c>
    </row>
    <row r="333" spans="1:7">
      <c r="A333" s="2987" t="s">
        <v>307</v>
      </c>
      <c r="B333" s="2976" t="s">
        <v>2886</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2892</v>
      </c>
      <c r="C336" s="2977">
        <v>0.15</v>
      </c>
      <c r="D336" s="2977">
        <v>0.15</v>
      </c>
      <c r="E336" s="2977">
        <v>0.15</v>
      </c>
      <c r="F336" s="2977">
        <v>0.14199999999999999</v>
      </c>
      <c r="G336" s="2978">
        <v>0.15</v>
      </c>
    </row>
    <row r="337" spans="1:7">
      <c r="A337" s="2987" t="s">
        <v>307</v>
      </c>
      <c r="B337" s="2976" t="s">
        <v>2897</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2904</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2909</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2917</v>
      </c>
      <c r="C345" s="2977">
        <v>0.15</v>
      </c>
      <c r="D345" s="2977">
        <v>0.15</v>
      </c>
      <c r="E345" s="2977">
        <v>0.15</v>
      </c>
      <c r="F345" s="2977">
        <v>0.13800000000000001</v>
      </c>
      <c r="G345" s="2978">
        <v>0.15</v>
      </c>
    </row>
    <row r="346" spans="1:7">
      <c r="A346" s="2987" t="s">
        <v>307</v>
      </c>
      <c r="B346" s="2976" t="s">
        <v>2919</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2926</v>
      </c>
      <c r="C348" s="2977">
        <v>0.15</v>
      </c>
      <c r="D348" s="2977">
        <v>0.15</v>
      </c>
      <c r="E348" s="2977">
        <v>0.15</v>
      </c>
      <c r="F348" s="2977">
        <v>0.14399999999999999</v>
      </c>
      <c r="G348" s="2978">
        <v>0.15</v>
      </c>
    </row>
    <row r="349" spans="1:7">
      <c r="A349" s="2987" t="s">
        <v>307</v>
      </c>
      <c r="B349" s="2976" t="s">
        <v>2931</v>
      </c>
      <c r="C349" s="2977">
        <v>0.15</v>
      </c>
      <c r="D349" s="2977">
        <v>0.15</v>
      </c>
      <c r="E349" s="2977">
        <v>0.15</v>
      </c>
      <c r="F349" s="2977">
        <v>0.15</v>
      </c>
      <c r="G349" s="2978">
        <v>0.15</v>
      </c>
    </row>
    <row r="350" spans="1:7">
      <c r="A350" s="2987" t="s">
        <v>307</v>
      </c>
      <c r="B350" s="2976" t="s">
        <v>2934</v>
      </c>
      <c r="C350" s="2977">
        <v>0.15</v>
      </c>
      <c r="D350" s="2977">
        <v>0.15</v>
      </c>
      <c r="E350" s="2977">
        <v>0.15</v>
      </c>
      <c r="F350" s="2977">
        <v>0.14699999999999999</v>
      </c>
      <c r="G350" s="2978">
        <v>0.15</v>
      </c>
    </row>
    <row r="351" spans="1:7">
      <c r="A351" s="2987" t="s">
        <v>307</v>
      </c>
      <c r="B351" s="2976" t="s">
        <v>2939</v>
      </c>
      <c r="C351" s="2977">
        <v>0.15</v>
      </c>
      <c r="D351" s="2977">
        <v>0.15</v>
      </c>
      <c r="E351" s="2977">
        <v>0.15</v>
      </c>
      <c r="F351" s="2977">
        <v>0.13</v>
      </c>
      <c r="G351" s="2978">
        <v>0.15</v>
      </c>
    </row>
    <row r="352" spans="1:7">
      <c r="A352" s="2987" t="s">
        <v>307</v>
      </c>
      <c r="B352" s="2976" t="s">
        <v>2944</v>
      </c>
      <c r="C352" s="2977">
        <v>0.15</v>
      </c>
      <c r="D352" s="2977">
        <v>0.15</v>
      </c>
      <c r="E352" s="2977">
        <v>0.15</v>
      </c>
      <c r="F352" s="2977">
        <v>0.14599999999999999</v>
      </c>
      <c r="G352" s="2978">
        <v>0.15</v>
      </c>
    </row>
    <row r="353" spans="1:7">
      <c r="A353" s="2987" t="s">
        <v>307</v>
      </c>
      <c r="B353" s="2976" t="s">
        <v>2951</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2964</v>
      </c>
      <c r="C355" s="2977">
        <v>0.15</v>
      </c>
      <c r="D355" s="2977">
        <v>0.15</v>
      </c>
      <c r="E355" s="2977">
        <v>0.15</v>
      </c>
      <c r="F355" s="2977">
        <v>0.15</v>
      </c>
      <c r="G355" s="2978">
        <v>0.15</v>
      </c>
    </row>
    <row r="356" spans="1:7">
      <c r="A356" s="2987" t="s">
        <v>307</v>
      </c>
      <c r="B356" s="2976" t="s">
        <v>2971</v>
      </c>
      <c r="C356" s="2977">
        <v>0.15</v>
      </c>
      <c r="D356" s="2977">
        <v>0.15</v>
      </c>
      <c r="E356" s="2977">
        <v>0.15</v>
      </c>
      <c r="F356" s="2977">
        <v>0.15</v>
      </c>
      <c r="G356" s="2978">
        <v>0.15</v>
      </c>
    </row>
    <row r="357" spans="1:7" ht="14.25" thickBot="1">
      <c r="A357" s="2990" t="s">
        <v>307</v>
      </c>
      <c r="B357" s="2980" t="s">
        <v>2976</v>
      </c>
      <c r="C357" s="2981">
        <v>0.126</v>
      </c>
      <c r="D357" s="2981">
        <v>0.127</v>
      </c>
      <c r="E357" s="2981">
        <v>0.14299999999999999</v>
      </c>
      <c r="F357" s="2981">
        <v>0.125</v>
      </c>
      <c r="G357" s="2983">
        <v>0.129</v>
      </c>
    </row>
    <row r="358" spans="1:7">
      <c r="A358" s="2986" t="s">
        <v>2845</v>
      </c>
      <c r="B358" s="2972" t="s">
        <v>2859</v>
      </c>
      <c r="C358" s="2973">
        <v>0.15</v>
      </c>
      <c r="D358" s="2973">
        <v>0.15</v>
      </c>
      <c r="E358" s="2973">
        <v>0.15</v>
      </c>
      <c r="F358" s="2973">
        <v>0.15</v>
      </c>
      <c r="G358" s="2974">
        <v>0.15</v>
      </c>
    </row>
    <row r="359" spans="1:7">
      <c r="A359" s="2987" t="s">
        <v>2845</v>
      </c>
      <c r="B359" s="2976" t="s">
        <v>2865</v>
      </c>
      <c r="C359" s="2977">
        <v>0.1</v>
      </c>
      <c r="D359" s="2977">
        <v>0.1</v>
      </c>
      <c r="E359" s="2977">
        <v>0.1</v>
      </c>
      <c r="F359" s="2977">
        <v>0.1</v>
      </c>
      <c r="G359" s="2978">
        <v>0.1</v>
      </c>
    </row>
    <row r="360" spans="1:7">
      <c r="A360" s="2987" t="s">
        <v>2845</v>
      </c>
      <c r="B360" s="2976" t="s">
        <v>2871</v>
      </c>
      <c r="C360" s="2977">
        <v>0.15</v>
      </c>
      <c r="D360" s="2977">
        <v>0.15</v>
      </c>
      <c r="E360" s="2977">
        <v>0.15</v>
      </c>
      <c r="F360" s="2977">
        <v>0.14899999999999999</v>
      </c>
      <c r="G360" s="2978">
        <v>0.15</v>
      </c>
    </row>
    <row r="361" spans="1:7">
      <c r="A361" s="2987" t="s">
        <v>2845</v>
      </c>
      <c r="B361" s="2976" t="s">
        <v>153</v>
      </c>
      <c r="C361" s="2977">
        <v>0.15</v>
      </c>
      <c r="D361" s="2977">
        <v>0.15</v>
      </c>
      <c r="E361" s="2977">
        <v>0.15</v>
      </c>
      <c r="F361" s="2977">
        <v>0.115</v>
      </c>
      <c r="G361" s="2978">
        <v>0.15</v>
      </c>
    </row>
    <row r="362" spans="1:7">
      <c r="A362" s="2987" t="s">
        <v>2845</v>
      </c>
      <c r="B362" s="2976" t="s">
        <v>2878</v>
      </c>
      <c r="C362" s="2977">
        <v>0.15</v>
      </c>
      <c r="D362" s="2977">
        <v>0.15</v>
      </c>
      <c r="E362" s="2977">
        <v>0.15</v>
      </c>
      <c r="F362" s="2977">
        <v>0.106</v>
      </c>
      <c r="G362" s="2978">
        <v>0.15</v>
      </c>
    </row>
    <row r="363" spans="1:7">
      <c r="A363" s="2987" t="s">
        <v>2845</v>
      </c>
      <c r="B363" s="2976" t="s">
        <v>2883</v>
      </c>
      <c r="C363" s="2977">
        <v>0.15</v>
      </c>
      <c r="D363" s="2977">
        <v>0.15</v>
      </c>
      <c r="E363" s="2977">
        <v>0.15</v>
      </c>
      <c r="F363" s="2977">
        <v>0.14699999999999999</v>
      </c>
      <c r="G363" s="2978">
        <v>0.15</v>
      </c>
    </row>
    <row r="364" spans="1:7">
      <c r="A364" s="2987" t="s">
        <v>2845</v>
      </c>
      <c r="B364" s="2976" t="s">
        <v>2887</v>
      </c>
      <c r="C364" s="2977">
        <v>0.15</v>
      </c>
      <c r="D364" s="2977">
        <v>0.15</v>
      </c>
      <c r="E364" s="2977">
        <v>0.15</v>
      </c>
      <c r="F364" s="2977">
        <v>0.14799999999999999</v>
      </c>
      <c r="G364" s="2978">
        <v>0.15</v>
      </c>
    </row>
    <row r="365" spans="1:7">
      <c r="A365" s="2987" t="s">
        <v>2845</v>
      </c>
      <c r="B365" s="2976" t="s">
        <v>200</v>
      </c>
      <c r="C365" s="2977">
        <v>0.15</v>
      </c>
      <c r="D365" s="2977">
        <v>0.15</v>
      </c>
      <c r="E365" s="2977">
        <v>0.15</v>
      </c>
      <c r="F365" s="2977">
        <v>0.15</v>
      </c>
      <c r="G365" s="2978">
        <v>0.15</v>
      </c>
    </row>
    <row r="366" spans="1:7">
      <c r="A366" s="2987" t="s">
        <v>2845</v>
      </c>
      <c r="B366" s="2976" t="s">
        <v>2890</v>
      </c>
      <c r="C366" s="2977">
        <v>0.15</v>
      </c>
      <c r="D366" s="2977">
        <v>0.15</v>
      </c>
      <c r="E366" s="2977">
        <v>0.15</v>
      </c>
      <c r="F366" s="2977">
        <v>0.15</v>
      </c>
      <c r="G366" s="2978">
        <v>0.15</v>
      </c>
    </row>
    <row r="367" spans="1:7">
      <c r="A367" s="2987" t="s">
        <v>2845</v>
      </c>
      <c r="B367" s="2976" t="s">
        <v>2893</v>
      </c>
      <c r="C367" s="2977">
        <v>0.15</v>
      </c>
      <c r="D367" s="2977">
        <v>0.15</v>
      </c>
      <c r="E367" s="2977">
        <v>0.15</v>
      </c>
      <c r="F367" s="2977">
        <v>0.14699999999999999</v>
      </c>
      <c r="G367" s="2978">
        <v>0.15</v>
      </c>
    </row>
    <row r="368" spans="1:7">
      <c r="A368" s="2987" t="s">
        <v>2845</v>
      </c>
      <c r="B368" s="2976" t="s">
        <v>2898</v>
      </c>
      <c r="C368" s="2977">
        <v>0.15</v>
      </c>
      <c r="D368" s="2977">
        <v>0.15</v>
      </c>
      <c r="E368" s="2977">
        <v>0.15</v>
      </c>
      <c r="F368" s="2977">
        <v>0.13600000000000001</v>
      </c>
      <c r="G368" s="2978">
        <v>0.15</v>
      </c>
    </row>
    <row r="369" spans="1:7">
      <c r="A369" s="2987" t="s">
        <v>2845</v>
      </c>
      <c r="B369" s="2976" t="s">
        <v>214</v>
      </c>
      <c r="C369" s="2977">
        <v>0.15</v>
      </c>
      <c r="D369" s="2977">
        <v>0.15</v>
      </c>
      <c r="E369" s="2977">
        <v>0.15</v>
      </c>
      <c r="F369" s="2977">
        <v>0.14399999999999999</v>
      </c>
      <c r="G369" s="2978">
        <v>0.15</v>
      </c>
    </row>
    <row r="370" spans="1:7">
      <c r="A370" s="2987" t="s">
        <v>2845</v>
      </c>
      <c r="B370" s="2976" t="s">
        <v>221</v>
      </c>
      <c r="C370" s="2977">
        <v>0.15</v>
      </c>
      <c r="D370" s="2977">
        <v>0.15</v>
      </c>
      <c r="E370" s="2977">
        <v>0.15</v>
      </c>
      <c r="F370" s="2977">
        <v>0.14599999999999999</v>
      </c>
      <c r="G370" s="2978">
        <v>0.15</v>
      </c>
    </row>
    <row r="371" spans="1:7">
      <c r="A371" s="2987" t="s">
        <v>2845</v>
      </c>
      <c r="B371" s="2976" t="s">
        <v>229</v>
      </c>
      <c r="C371" s="2977">
        <v>0.15</v>
      </c>
      <c r="D371" s="2977">
        <v>0.15</v>
      </c>
      <c r="E371" s="2977">
        <v>0.15</v>
      </c>
      <c r="F371" s="2977">
        <v>0.12</v>
      </c>
      <c r="G371" s="2978">
        <v>0.15</v>
      </c>
    </row>
    <row r="372" spans="1:7">
      <c r="A372" s="2987" t="s">
        <v>2845</v>
      </c>
      <c r="B372" s="2976" t="s">
        <v>2906</v>
      </c>
      <c r="C372" s="2977">
        <v>0.15</v>
      </c>
      <c r="D372" s="2977">
        <v>0.15</v>
      </c>
      <c r="E372" s="2977">
        <v>0.15</v>
      </c>
      <c r="F372" s="2977">
        <v>0.14299999999999999</v>
      </c>
      <c r="G372" s="2978">
        <v>0.15</v>
      </c>
    </row>
    <row r="373" spans="1:7">
      <c r="A373" s="2987" t="s">
        <v>2845</v>
      </c>
      <c r="B373" s="2976" t="s">
        <v>258</v>
      </c>
      <c r="C373" s="2977">
        <v>0.15</v>
      </c>
      <c r="D373" s="2977">
        <v>0.15</v>
      </c>
      <c r="E373" s="2977">
        <v>0.15</v>
      </c>
      <c r="F373" s="2977">
        <v>0.14599999999999999</v>
      </c>
      <c r="G373" s="2978">
        <v>0.15</v>
      </c>
    </row>
    <row r="374" spans="1:7">
      <c r="A374" s="2987" t="s">
        <v>2845</v>
      </c>
      <c r="B374" s="2976" t="s">
        <v>266</v>
      </c>
      <c r="C374" s="2977">
        <v>0.15</v>
      </c>
      <c r="D374" s="2977">
        <v>0.15</v>
      </c>
      <c r="E374" s="2977">
        <v>0.15</v>
      </c>
      <c r="F374" s="2977">
        <v>0.14399999999999999</v>
      </c>
      <c r="G374" s="2978">
        <v>0.15</v>
      </c>
    </row>
    <row r="375" spans="1:7">
      <c r="A375" s="2987" t="s">
        <v>2845</v>
      </c>
      <c r="B375" s="2976" t="s">
        <v>2914</v>
      </c>
      <c r="C375" s="2977">
        <v>0.15</v>
      </c>
      <c r="D375" s="2977">
        <v>0.15</v>
      </c>
      <c r="E375" s="2977">
        <v>0.15</v>
      </c>
      <c r="F375" s="2977">
        <v>0.13</v>
      </c>
      <c r="G375" s="2978">
        <v>0.15</v>
      </c>
    </row>
    <row r="376" spans="1:7">
      <c r="A376" s="2987" t="s">
        <v>2845</v>
      </c>
      <c r="B376" s="2976" t="s">
        <v>277</v>
      </c>
      <c r="C376" s="2977">
        <v>0.15</v>
      </c>
      <c r="D376" s="2977">
        <v>0.15</v>
      </c>
      <c r="E376" s="2977">
        <v>0.15</v>
      </c>
      <c r="F376" s="2977">
        <v>0.14199999999999999</v>
      </c>
      <c r="G376" s="2978">
        <v>0.15</v>
      </c>
    </row>
    <row r="377" spans="1:7" ht="14.25" thickBot="1">
      <c r="A377" s="2990" t="s">
        <v>2845</v>
      </c>
      <c r="B377" s="2980" t="s">
        <v>2920</v>
      </c>
      <c r="C377" s="2981">
        <v>0.15</v>
      </c>
      <c r="D377" s="2981">
        <v>0.15</v>
      </c>
      <c r="E377" s="2981">
        <v>0.15</v>
      </c>
      <c r="F377" s="2981">
        <v>0.14000000000000001</v>
      </c>
      <c r="G377" s="2983">
        <v>0.15</v>
      </c>
    </row>
    <row r="378" spans="1:7">
      <c r="A378" s="2986" t="s">
        <v>2846</v>
      </c>
      <c r="B378" s="2972" t="s">
        <v>2860</v>
      </c>
      <c r="C378" s="2973">
        <v>0.15</v>
      </c>
      <c r="D378" s="2973">
        <v>0.15</v>
      </c>
      <c r="E378" s="2973">
        <v>0.15</v>
      </c>
      <c r="F378" s="2973">
        <v>0.107</v>
      </c>
      <c r="G378" s="2974">
        <v>0.15</v>
      </c>
    </row>
    <row r="379" spans="1:7">
      <c r="A379" s="2987" t="s">
        <v>2846</v>
      </c>
      <c r="B379" s="2976" t="s">
        <v>2866</v>
      </c>
      <c r="C379" s="2977">
        <v>0.15</v>
      </c>
      <c r="D379" s="2977">
        <v>0.15</v>
      </c>
      <c r="E379" s="2977">
        <v>0.15</v>
      </c>
      <c r="F379" s="2977">
        <v>0.115</v>
      </c>
      <c r="G379" s="2978">
        <v>0.14899999999999999</v>
      </c>
    </row>
    <row r="380" spans="1:7">
      <c r="A380" s="2987" t="s">
        <v>2846</v>
      </c>
      <c r="B380" s="2976" t="s">
        <v>2872</v>
      </c>
      <c r="C380" s="2977">
        <v>0.15</v>
      </c>
      <c r="D380" s="2977">
        <v>0.15</v>
      </c>
      <c r="E380" s="2977">
        <v>0.15</v>
      </c>
      <c r="F380" s="2977">
        <v>0.1</v>
      </c>
      <c r="G380" s="2978">
        <v>0.14799999999999999</v>
      </c>
    </row>
    <row r="381" spans="1:7">
      <c r="A381" s="2987" t="s">
        <v>2846</v>
      </c>
      <c r="B381" s="2976" t="s">
        <v>2875</v>
      </c>
      <c r="C381" s="2977">
        <v>0.15</v>
      </c>
      <c r="D381" s="2977">
        <v>0.15</v>
      </c>
      <c r="E381" s="2977">
        <v>0.15</v>
      </c>
      <c r="F381" s="2977">
        <v>0.126</v>
      </c>
      <c r="G381" s="2978">
        <v>0.15</v>
      </c>
    </row>
    <row r="382" spans="1:7">
      <c r="A382" s="2987" t="s">
        <v>2846</v>
      </c>
      <c r="B382" s="2976" t="s">
        <v>2879</v>
      </c>
      <c r="C382" s="2977">
        <v>0.15</v>
      </c>
      <c r="D382" s="2977">
        <v>0.15</v>
      </c>
      <c r="E382" s="2977">
        <v>0.15</v>
      </c>
      <c r="F382" s="2977">
        <v>0.15</v>
      </c>
      <c r="G382" s="2978">
        <v>0.15</v>
      </c>
    </row>
    <row r="383" spans="1:7">
      <c r="A383" s="2987" t="s">
        <v>2846</v>
      </c>
      <c r="B383" s="2976" t="s">
        <v>2884</v>
      </c>
      <c r="C383" s="2977">
        <v>0.15</v>
      </c>
      <c r="D383" s="2977">
        <v>0.15</v>
      </c>
      <c r="E383" s="2977">
        <v>0.15</v>
      </c>
      <c r="F383" s="2977">
        <v>0.14699999999999999</v>
      </c>
      <c r="G383" s="2978">
        <v>0.15</v>
      </c>
    </row>
    <row r="384" spans="1:7" ht="14.25" thickBot="1">
      <c r="A384" s="2997" t="s">
        <v>2846</v>
      </c>
      <c r="B384" s="2998" t="s">
        <v>2888</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3" t="s">
        <v>3227</v>
      </c>
      <c r="B1" s="3493"/>
      <c r="C1" s="3493"/>
      <c r="D1" s="3493"/>
      <c r="E1" s="3493"/>
      <c r="F1" s="3494"/>
    </row>
    <row r="2" spans="1:6">
      <c r="A2" s="3001" t="s">
        <v>3228</v>
      </c>
    </row>
    <row r="3" spans="1:6">
      <c r="A3" s="3001" t="s">
        <v>3229</v>
      </c>
      <c r="F3" s="3002" t="s">
        <v>3230</v>
      </c>
    </row>
    <row r="4" spans="1:6">
      <c r="A4" s="3003" t="s">
        <v>672</v>
      </c>
      <c r="B4" s="3003" t="s">
        <v>673</v>
      </c>
      <c r="C4" s="3003" t="s">
        <v>21</v>
      </c>
      <c r="D4" s="3003" t="s">
        <v>674</v>
      </c>
      <c r="E4" s="3003" t="s">
        <v>3</v>
      </c>
      <c r="F4" s="3003" t="s">
        <v>3231</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33.880000000000003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2263.6261</v>
      </c>
      <c r="C2" s="1289" t="s">
        <v>879</v>
      </c>
      <c r="D2" s="1375">
        <f ca="1">C40+J29+L46</f>
        <v>22636261</v>
      </c>
      <c r="E2" s="1295" t="s">
        <v>880</v>
      </c>
      <c r="F2" s="1296"/>
      <c r="G2" s="2477"/>
      <c r="H2" s="2467"/>
      <c r="I2" s="2467"/>
      <c r="J2" s="2467"/>
      <c r="K2" s="2468"/>
      <c r="L2" s="2467"/>
      <c r="M2" s="2467"/>
    </row>
    <row r="3" spans="1:37" ht="18" customHeight="1" thickBot="1">
      <c r="A3" s="1297" t="s">
        <v>881</v>
      </c>
      <c r="B3" s="1298">
        <f ca="1">IF(ISERROR(D2/F43),0,ROUND(D2/F43,0))</f>
        <v>5775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1461132</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1459308</v>
      </c>
      <c r="D6" s="147" t="s">
        <v>2105</v>
      </c>
      <c r="E6" s="294" t="s">
        <v>696</v>
      </c>
      <c r="F6" s="295">
        <f ca="1">INDIRECT("'数据-取费表'!u"&amp;$G$1)</f>
        <v>1.2</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3919.71</v>
      </c>
      <c r="G7" s="1292"/>
      <c r="H7" s="296"/>
      <c r="I7" s="3362"/>
      <c r="J7" s="298"/>
      <c r="K7" s="299"/>
      <c r="L7" s="294" t="s">
        <v>697</v>
      </c>
      <c r="M7" s="295">
        <f ca="1">F7</f>
        <v>3919.71</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0.15</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1824</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17591092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15678840</v>
      </c>
      <c r="D14" s="1257" t="s">
        <v>708</v>
      </c>
      <c r="E14" s="1255"/>
      <c r="F14" s="311"/>
      <c r="G14" s="1292"/>
      <c r="H14" s="928" t="s">
        <v>398</v>
      </c>
      <c r="I14" s="294" t="s">
        <v>709</v>
      </c>
      <c r="J14" s="21">
        <f ca="1">C29</f>
        <v>21988865</v>
      </c>
      <c r="K14" s="12"/>
      <c r="L14" s="759"/>
      <c r="M14" s="760"/>
    </row>
    <row r="15" spans="1:37" s="1304" customFormat="1" ht="18" customHeight="1" thickBot="1">
      <c r="A15" s="928" t="s">
        <v>399</v>
      </c>
      <c r="B15" s="294" t="s">
        <v>710</v>
      </c>
      <c r="C15" s="21">
        <f ca="1">ROUND(C14*F15,0)</f>
        <v>470365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68881</v>
      </c>
      <c r="K16" s="1024" t="s">
        <v>715</v>
      </c>
      <c r="L16" s="1025"/>
      <c r="M16" s="1009"/>
    </row>
    <row r="17" spans="1:37" s="1304" customFormat="1" ht="18" customHeight="1">
      <c r="A17" s="928" t="s">
        <v>681</v>
      </c>
      <c r="B17" s="294" t="s">
        <v>716</v>
      </c>
      <c r="C17" s="21">
        <f ca="1">ROUND(F17*(F43+INDIRECT("'数据-取费表'!S"&amp;$G$1)),0)</f>
        <v>783942</v>
      </c>
      <c r="D17" s="294" t="s">
        <v>717</v>
      </c>
      <c r="E17" s="294" t="s">
        <v>718</v>
      </c>
      <c r="F17" s="23">
        <f>'数据-取费表'!B35</f>
        <v>200</v>
      </c>
      <c r="G17" s="1303"/>
      <c r="H17" s="928" t="s">
        <v>398</v>
      </c>
      <c r="I17" s="294" t="s">
        <v>719</v>
      </c>
      <c r="J17" s="2140">
        <f ca="1">ROUND(IF(AND(项目基本情况!B11="自然人",项目基本情况!B10="北京市"),J6*M17/(1+'数据-取费表'!C42),J18+J19+J20),0)</f>
        <v>2914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313577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17246724</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517402</v>
      </c>
      <c r="D20" s="315" t="s">
        <v>729</v>
      </c>
      <c r="E20" s="294" t="s">
        <v>712</v>
      </c>
      <c r="F20" s="314">
        <f>'数据-取费表'!B37</f>
        <v>0.03</v>
      </c>
      <c r="G20" s="1303"/>
      <c r="H20" s="928" t="s">
        <v>680</v>
      </c>
      <c r="I20" s="147" t="s">
        <v>730</v>
      </c>
      <c r="J20" s="22">
        <f ca="1">ROUND(M20*M21,0)</f>
        <v>2914</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1942.76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65967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550687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-68881</v>
      </c>
      <c r="K25" s="1032" t="s">
        <v>753</v>
      </c>
      <c r="L25" s="1033"/>
      <c r="M25" s="1034"/>
    </row>
    <row r="26" spans="1:37" ht="18" customHeight="1">
      <c r="A26" s="928" t="s">
        <v>397</v>
      </c>
      <c r="B26" s="294" t="s">
        <v>754</v>
      </c>
      <c r="C26" s="21">
        <f ca="1">ROUND((C19+C20)*F26,0)</f>
        <v>1776413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21988865</v>
      </c>
      <c r="D29" s="1029"/>
      <c r="E29" s="1027"/>
      <c r="F29" s="1030"/>
      <c r="G29" s="1303"/>
      <c r="H29" s="325" t="s">
        <v>396</v>
      </c>
      <c r="I29" s="326" t="s">
        <v>768</v>
      </c>
      <c r="J29" s="327">
        <f ca="1">ROUND(J26/(1+F40)^F41,0)</f>
        <v>0</v>
      </c>
      <c r="K29" s="328" t="s">
        <v>769</v>
      </c>
      <c r="L29" s="329"/>
      <c r="M29" s="330">
        <f ca="1">INDIRECT("'数据-取费表'!k"&amp;$G$1)</f>
        <v>3919.71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336996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246132</v>
      </c>
      <c r="D31" s="1257" t="s">
        <v>720</v>
      </c>
      <c r="E31" s="1256" t="s">
        <v>770</v>
      </c>
      <c r="F31" s="2139" t="str">
        <f>IF(项目基本情况!B11="企业","——",IF(M47="住宅",IF(F6*F7*F8/12/(1+'数据-取费表'!F30)&gt;100000,4%,2.5%),IF(F6*F7*F8/12/(1+'数据-取费表'!F30)&gt;100000,12%,7%)))</f>
        <v>——</v>
      </c>
      <c r="G31" s="1292"/>
      <c r="H31" s="2568" t="s">
        <v>2301</v>
      </c>
      <c r="I31" s="1305"/>
      <c r="J31" s="1306"/>
      <c r="K31" s="121"/>
      <c r="L31" s="2470"/>
      <c r="M31" s="2471"/>
    </row>
    <row r="32" spans="1:37" ht="18" customHeight="1">
      <c r="A32" s="928" t="s">
        <v>397</v>
      </c>
      <c r="B32" s="294" t="s">
        <v>723</v>
      </c>
      <c r="C32" s="21">
        <f ca="1">IF(项目基本情况!B11="自然人","——",ROUND(C6*F32/(1+'数据-取费表'!C42),0))</f>
        <v>76440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166778</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2914</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1942.76</v>
      </c>
      <c r="G35" s="1292"/>
      <c r="H35" s="2469"/>
      <c r="I35" s="1305"/>
      <c r="J35" s="1306"/>
      <c r="K35" s="2473"/>
      <c r="L35" s="2472"/>
      <c r="M35" s="2472"/>
    </row>
    <row r="36" spans="1:18" ht="18" customHeight="1">
      <c r="A36" s="1039" t="s">
        <v>402</v>
      </c>
      <c r="B36" s="294" t="s">
        <v>738</v>
      </c>
      <c r="C36" s="21">
        <f ca="1">ROUND(C29*F36,0)</f>
        <v>65967</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17591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7306</v>
      </c>
      <c r="D38" s="1029" t="s">
        <v>748</v>
      </c>
      <c r="E38" s="1027" t="s">
        <v>744</v>
      </c>
      <c r="F38" s="1023">
        <f ca="1">INDIRECT("'数据-取费表'!Am"&amp;$G$1)</f>
        <v>5.0000000000000001E-3</v>
      </c>
      <c r="G38" s="1292"/>
      <c r="H38" s="2472"/>
      <c r="I38" s="1305">
        <f ca="1">C39/C5</f>
        <v>0.76935964717766769</v>
      </c>
      <c r="J38" s="1306"/>
      <c r="K38" s="2470"/>
      <c r="L38" s="2472"/>
      <c r="M38" s="2472"/>
    </row>
    <row r="39" spans="1:18" ht="24.6" customHeight="1" thickTop="1">
      <c r="A39" s="1016" t="s">
        <v>394</v>
      </c>
      <c r="B39" s="1031" t="s">
        <v>772</v>
      </c>
      <c r="C39" s="302">
        <f ca="1">C5-C30</f>
        <v>1124136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21877432</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33.880000000000003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5581</v>
      </c>
      <c r="D43" s="328" t="s">
        <v>777</v>
      </c>
      <c r="E43" s="329" t="s">
        <v>778</v>
      </c>
      <c r="F43" s="330">
        <f ca="1">INDIRECT("'数据-取费表'!k"&amp;$G$1)</f>
        <v>3919.71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-2319.3366999999998</v>
      </c>
      <c r="D45" s="3129" t="s">
        <v>3348</v>
      </c>
      <c r="E45" s="1307"/>
      <c r="F45" s="1307"/>
      <c r="O45" s="1310" t="s">
        <v>808</v>
      </c>
      <c r="P45" s="1366"/>
      <c r="Q45" s="1366"/>
      <c r="R45" s="1366"/>
    </row>
    <row r="46" spans="1:18" s="1292" customFormat="1" ht="13.5" thickBot="1">
      <c r="A46" s="1311" t="s">
        <v>809</v>
      </c>
      <c r="C46" s="1312">
        <f ca="1">ROUND(C45,0)</f>
        <v>-2319</v>
      </c>
      <c r="D46" s="1313" t="str">
        <f>C2</f>
        <v>万元</v>
      </c>
      <c r="I46" s="1314" t="s">
        <v>810</v>
      </c>
      <c r="J46" s="1315"/>
      <c r="K46" s="1316"/>
      <c r="L46" s="1317">
        <f ca="1">IF(M47="住宅",0,IF(L48&gt;J51,L60,J60))</f>
        <v>758829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21877432</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33.880000000000003</v>
      </c>
      <c r="O48" s="1325" t="s">
        <v>404</v>
      </c>
      <c r="P48" s="1326" t="s">
        <v>821</v>
      </c>
      <c r="Q48" s="1327">
        <f ca="1">J60</f>
        <v>758829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21988865</v>
      </c>
      <c r="R49" s="1327" t="s">
        <v>818</v>
      </c>
    </row>
    <row r="50" spans="1:18" s="1292" customFormat="1" ht="13.5" thickBot="1">
      <c r="A50" s="922"/>
      <c r="B50" s="925"/>
      <c r="C50" s="926"/>
      <c r="D50" s="899"/>
      <c r="E50" s="993" t="s">
        <v>697</v>
      </c>
      <c r="F50" s="994">
        <f ca="1">F7</f>
        <v>3919.71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-1938602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33.880000000000003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33.880000000000003</v>
      </c>
      <c r="K53" s="3359" t="s">
        <v>837</v>
      </c>
      <c r="L53" s="3360"/>
      <c r="O53" s="1325" t="s">
        <v>409</v>
      </c>
      <c r="P53" s="1326" t="s">
        <v>838</v>
      </c>
      <c r="Q53" s="1327">
        <f ca="1">Q47+Q48</f>
        <v>22636261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17591092</v>
      </c>
      <c r="D56" s="1352"/>
      <c r="E56" s="1353"/>
      <c r="F56" s="1345"/>
      <c r="I56" s="1354" t="s">
        <v>842</v>
      </c>
      <c r="J56" s="1355" t="s">
        <v>3411</v>
      </c>
      <c r="K56" s="1328" t="s">
        <v>843</v>
      </c>
      <c r="L56" s="1331" t="str">
        <f ca="1">IF(L48&lt;J51,"——",L48-J51)</f>
        <v>——</v>
      </c>
      <c r="O56" s="1325" t="s">
        <v>403</v>
      </c>
      <c r="P56" s="1326" t="s">
        <v>817</v>
      </c>
      <c r="Q56" s="1327">
        <f ca="1">C40+J29</f>
        <v>21877432</v>
      </c>
      <c r="R56" s="1327" t="s">
        <v>818</v>
      </c>
    </row>
    <row r="57" spans="1:18" s="1292" customFormat="1" ht="24.75" thickBot="1">
      <c r="A57" s="1356"/>
      <c r="B57" s="896" t="s">
        <v>767</v>
      </c>
      <c r="C57" s="230">
        <f ca="1">C29</f>
        <v>21988865</v>
      </c>
      <c r="D57" s="1357"/>
      <c r="E57" s="1358"/>
      <c r="F57" s="1359"/>
      <c r="I57" s="1360" t="s">
        <v>844</v>
      </c>
      <c r="J57" s="1361">
        <f ca="1">IF(OR(M47="住宅",J51&lt;L48,J56="是"),"——",J51-L48)</f>
        <v>14.119999999999997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86472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2914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8795546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758829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2914</v>
      </c>
      <c r="D62" s="911" t="s">
        <v>786</v>
      </c>
      <c r="E62" s="896" t="s">
        <v>787</v>
      </c>
      <c r="F62" s="317">
        <f t="shared" si="0"/>
        <v>1.5</v>
      </c>
      <c r="I62" s="1367" t="s">
        <v>858</v>
      </c>
      <c r="J62" s="610" t="s">
        <v>859</v>
      </c>
      <c r="K62" s="610" t="s">
        <v>860</v>
      </c>
      <c r="L62" s="610" t="s">
        <v>861</v>
      </c>
      <c r="M62" s="1368" t="s">
        <v>862</v>
      </c>
      <c r="O62" s="1325" t="s">
        <v>409</v>
      </c>
      <c r="P62" s="1326" t="s">
        <v>863</v>
      </c>
      <c r="Q62" s="1327">
        <f ca="1">Q56+Q57</f>
        <v>21877432</v>
      </c>
      <c r="R62" s="1327" t="s">
        <v>410</v>
      </c>
    </row>
    <row r="63" spans="1:18" s="1292" customFormat="1" ht="13.5" thickBot="1">
      <c r="A63" s="318"/>
      <c r="B63" s="902"/>
      <c r="C63" s="26"/>
      <c r="D63" s="912"/>
      <c r="E63" s="896" t="s">
        <v>788</v>
      </c>
      <c r="F63" s="295">
        <f t="shared" ca="1" si="0"/>
        <v>1942.76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65967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17591</v>
      </c>
      <c r="D65" s="910" t="s">
        <v>743</v>
      </c>
      <c r="E65" s="896" t="s">
        <v>744</v>
      </c>
      <c r="F65" s="321">
        <f t="shared" ca="1" si="0"/>
        <v>1E-3</v>
      </c>
      <c r="I65" s="1367" t="s">
        <v>867</v>
      </c>
      <c r="J65" s="610">
        <v>40</v>
      </c>
      <c r="K65" s="610">
        <v>30</v>
      </c>
      <c r="L65" s="610">
        <v>50</v>
      </c>
      <c r="M65" s="1369">
        <v>0.02</v>
      </c>
      <c r="O65" s="1325" t="s">
        <v>403</v>
      </c>
      <c r="P65" s="1326" t="s">
        <v>868</v>
      </c>
      <c r="Q65" s="1327">
        <f ca="1">C40+J29</f>
        <v>21877432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-86472</v>
      </c>
      <c r="D67" s="909" t="s">
        <v>753</v>
      </c>
      <c r="E67" s="914"/>
      <c r="F67" s="915"/>
      <c r="O67" s="1334" t="s">
        <v>405</v>
      </c>
      <c r="P67" s="1326" t="s">
        <v>850</v>
      </c>
      <c r="Q67" s="1370">
        <f ca="1">L51</f>
        <v>-1938602</v>
      </c>
      <c r="R67" s="1327" t="s">
        <v>870</v>
      </c>
    </row>
    <row r="68" spans="1:18" s="1292" customFormat="1" ht="16.5" thickBot="1">
      <c r="A68" s="893" t="s">
        <v>395</v>
      </c>
      <c r="B68" s="894" t="s">
        <v>774</v>
      </c>
      <c r="C68" s="293">
        <f ca="1">ROUND(C67*(1-((1+F70)/(1+F68))^F69)/(F68-F70),0)</f>
        <v>-1315935</v>
      </c>
      <c r="D68" s="911" t="s">
        <v>758</v>
      </c>
      <c r="E68" s="896" t="s">
        <v>759</v>
      </c>
      <c r="F68" s="304">
        <f ca="1">F40</f>
        <v>5.5E-2</v>
      </c>
      <c r="O68" s="1334" t="s">
        <v>406</v>
      </c>
      <c r="P68" s="1371" t="s">
        <v>871</v>
      </c>
      <c r="Q68" s="1327">
        <f ca="1">ROUND(Q69-Q70*Q71,0)</f>
        <v>-107240</v>
      </c>
      <c r="R68" s="1327" t="s">
        <v>414</v>
      </c>
    </row>
    <row r="69" spans="1:18" s="1292" customFormat="1" ht="13.5" thickBot="1">
      <c r="A69" s="897"/>
      <c r="B69" s="898"/>
      <c r="C69" s="298"/>
      <c r="D69" s="916" t="s">
        <v>762</v>
      </c>
      <c r="E69" s="896" t="s">
        <v>763</v>
      </c>
      <c r="F69" s="324">
        <f ca="1">F41</f>
        <v>33.880000000000003</v>
      </c>
      <c r="O69" s="1334" t="s">
        <v>411</v>
      </c>
      <c r="P69" s="1371" t="s">
        <v>872</v>
      </c>
      <c r="Q69" s="1327">
        <f ca="1">C39</f>
        <v>1124136</v>
      </c>
      <c r="R69" s="1327" t="s">
        <v>818</v>
      </c>
    </row>
    <row r="70" spans="1:18" s="1292" customFormat="1" ht="13.5" thickBot="1">
      <c r="A70" s="900"/>
      <c r="B70" s="901"/>
      <c r="C70" s="302"/>
      <c r="D70" s="912"/>
      <c r="E70" s="896" t="s">
        <v>766</v>
      </c>
      <c r="F70" s="991"/>
      <c r="O70" s="1334" t="s">
        <v>412</v>
      </c>
      <c r="P70" s="1371" t="s">
        <v>873</v>
      </c>
      <c r="Q70" s="1327">
        <f ca="1">C13</f>
        <v>17591092</v>
      </c>
      <c r="R70" s="1327" t="s">
        <v>818</v>
      </c>
    </row>
    <row r="71" spans="1:18" s="1292" customFormat="1" ht="13.5" thickBot="1">
      <c r="A71" s="917" t="s">
        <v>396</v>
      </c>
      <c r="B71" s="918" t="s">
        <v>776</v>
      </c>
      <c r="C71" s="327">
        <f ca="1">ROUND(C68/F71,0)</f>
        <v>-336</v>
      </c>
      <c r="D71" s="919" t="s">
        <v>777</v>
      </c>
      <c r="E71" s="920" t="s">
        <v>778</v>
      </c>
      <c r="F71" s="330">
        <f ca="1">F43</f>
        <v>3919.71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1231376</v>
      </c>
      <c r="D75" s="1292"/>
      <c r="E75" s="1292"/>
      <c r="F75" s="1292"/>
      <c r="K75" s="1309"/>
      <c r="L75" s="1292"/>
      <c r="O75" s="1325" t="s">
        <v>409</v>
      </c>
      <c r="P75" s="1326" t="s">
        <v>838</v>
      </c>
      <c r="Q75" s="1327">
        <f ca="1">Q65+Q66</f>
        <v>21877432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-9.4999999999999973E-2</v>
      </c>
    </row>
    <row r="80" spans="1:18">
      <c r="B80" s="331" t="s">
        <v>800</v>
      </c>
      <c r="C80" s="266">
        <f ca="1">ROUND(C75/C39,3)</f>
        <v>1.095</v>
      </c>
    </row>
    <row r="81" spans="2:3">
      <c r="B81" s="262" t="s">
        <v>801</v>
      </c>
      <c r="C81" s="230"/>
    </row>
    <row r="82" spans="2:3">
      <c r="B82" s="265" t="s">
        <v>802</v>
      </c>
      <c r="C82" s="267">
        <f ca="1">1-C83</f>
        <v>0.19599999999999995</v>
      </c>
    </row>
    <row r="83" spans="2:3">
      <c r="B83" s="265" t="s">
        <v>803</v>
      </c>
      <c r="C83" s="266">
        <f ca="1">ROUND(C13/C40,3)</f>
        <v>0.80400000000000005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H105" sqref="H105"/>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30"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3291.7725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8398</v>
      </c>
      <c r="C3" s="344" t="s">
        <v>1768</v>
      </c>
      <c r="D3" s="343">
        <f>IF(D1="",'数据-汇总表'!E3,SUMIF('数据-汇总表'!$C19:$C33,D1,'数据-汇总表'!$E19:$E33))</f>
        <v>3919.71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5" t="s">
        <v>1771</v>
      </c>
      <c r="S4" s="3376"/>
      <c r="T4" s="3375" t="s">
        <v>1772</v>
      </c>
      <c r="U4" s="3376"/>
      <c r="V4" s="3402" t="s">
        <v>1773</v>
      </c>
      <c r="W4" s="3402"/>
      <c r="X4" s="1809"/>
      <c r="Y4" s="3375" t="s">
        <v>1775</v>
      </c>
      <c r="Z4" s="3376"/>
      <c r="AA4" s="3370" t="s">
        <v>1771</v>
      </c>
      <c r="AB4" s="3370" t="s">
        <v>1772</v>
      </c>
      <c r="AC4" s="3387" t="s">
        <v>1773</v>
      </c>
    </row>
    <row r="5" spans="1:29" ht="13.9" customHeight="1">
      <c r="A5" s="348"/>
      <c r="B5" s="349"/>
      <c r="C5" s="3381" t="s">
        <v>1673</v>
      </c>
      <c r="D5" s="3380"/>
      <c r="E5" s="3379" t="s">
        <v>3474</v>
      </c>
      <c r="F5" s="3380"/>
      <c r="G5" s="3379" t="s">
        <v>3473</v>
      </c>
      <c r="H5" s="3380"/>
      <c r="I5" s="3379" t="str">
        <f>G5</f>
        <v>天元港</v>
      </c>
      <c r="J5" s="3380"/>
      <c r="K5" s="537"/>
      <c r="L5" s="2485"/>
      <c r="M5" s="2486"/>
      <c r="N5" s="2486"/>
      <c r="O5" s="2486"/>
      <c r="P5" s="3396"/>
      <c r="Q5" s="3397"/>
      <c r="R5" s="3377"/>
      <c r="S5" s="3378"/>
      <c r="T5" s="3377"/>
      <c r="U5" s="3378"/>
      <c r="V5" s="3403"/>
      <c r="W5" s="3403"/>
      <c r="X5" s="1265"/>
      <c r="Y5" s="3377"/>
      <c r="Z5" s="3378"/>
      <c r="AA5" s="3371"/>
      <c r="AB5" s="3371"/>
      <c r="AC5" s="3388"/>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7"/>
      <c r="S6" s="3378"/>
      <c r="T6" s="3400"/>
      <c r="U6" s="3401"/>
      <c r="V6" s="3403"/>
      <c r="W6" s="3403"/>
      <c r="X6" s="1265"/>
      <c r="Y6" s="3400"/>
      <c r="Z6" s="3401"/>
      <c r="AA6" s="3372"/>
      <c r="AB6" s="3372"/>
      <c r="AC6" s="3389"/>
    </row>
    <row r="7" spans="1:29" s="102" customFormat="1" ht="15.75" thickBot="1">
      <c r="A7" s="352" t="s">
        <v>1679</v>
      </c>
      <c r="B7" s="353"/>
      <c r="C7" s="354">
        <f>'数据-取费表'!B2</f>
        <v>45776</v>
      </c>
      <c r="D7" s="355">
        <v>100</v>
      </c>
      <c r="E7" s="356">
        <v>45748</v>
      </c>
      <c r="F7" s="357">
        <f>SUMIF(59:59,YEAR(E7)&amp;"-"&amp;MONTH(E7),60:60)</f>
        <v>100</v>
      </c>
      <c r="G7" s="356">
        <v>45748</v>
      </c>
      <c r="H7" s="355">
        <f>SUMIF(59:59,YEAR(G7)&amp;"-"&amp;MONTH(G7),60:60)</f>
        <v>100</v>
      </c>
      <c r="I7" s="356">
        <v>45748</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75" thickBot="1">
      <c r="A8" s="352" t="s">
        <v>1681</v>
      </c>
      <c r="B8" s="353"/>
      <c r="C8" s="358" t="s">
        <v>3423</v>
      </c>
      <c r="D8" s="355">
        <v>100</v>
      </c>
      <c r="E8" s="358" t="s">
        <v>3424</v>
      </c>
      <c r="F8" s="357">
        <f>SUMIF(62:62,E8,63:63)-SUMIF(62:62,C8,63:63)+100</f>
        <v>105</v>
      </c>
      <c r="G8" s="358" t="s">
        <v>3424</v>
      </c>
      <c r="H8" s="355">
        <f>SUMIF(62:62,G8,63:63)-SUMIF(62:62,C8,63:63)+100</f>
        <v>105</v>
      </c>
      <c r="I8" s="358" t="s">
        <v>3424</v>
      </c>
      <c r="J8" s="355">
        <f>SUMIF(62:62,I8,63:63)-SUMIF(62:62,C8,63:63)+100</f>
        <v>105</v>
      </c>
      <c r="K8" s="38"/>
      <c r="L8" s="2487"/>
      <c r="M8" s="2439"/>
      <c r="N8" s="2439"/>
      <c r="O8" s="2439"/>
      <c r="P8" s="3404" t="s">
        <v>1683</v>
      </c>
      <c r="Q8" s="3374"/>
      <c r="R8" s="664" t="s">
        <v>14</v>
      </c>
      <c r="S8" s="665">
        <f t="shared" si="0"/>
        <v>105</v>
      </c>
      <c r="T8" s="664" t="s">
        <v>14</v>
      </c>
      <c r="U8" s="665">
        <f t="shared" si="1"/>
        <v>105</v>
      </c>
      <c r="V8" s="664" t="s">
        <v>14</v>
      </c>
      <c r="W8" s="665">
        <f t="shared" si="2"/>
        <v>105</v>
      </c>
      <c r="X8" s="666"/>
      <c r="Y8" s="3373" t="s">
        <v>1683</v>
      </c>
      <c r="Z8" s="3374"/>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2" t="s">
        <v>3422</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5.45"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t="s">
        <v>3431</v>
      </c>
      <c r="D16" s="387"/>
      <c r="E16" s="1758" t="s">
        <v>3431</v>
      </c>
      <c r="F16" s="387"/>
      <c r="G16" s="1758" t="s">
        <v>3431</v>
      </c>
      <c r="H16" s="389"/>
      <c r="I16" s="1758" t="s">
        <v>3431</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71.25">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758" t="s">
        <v>3431</v>
      </c>
      <c r="D18" s="389"/>
      <c r="E18" s="1758" t="s">
        <v>3431</v>
      </c>
      <c r="F18" s="389"/>
      <c r="G18" s="1758" t="s">
        <v>3431</v>
      </c>
      <c r="H18" s="387"/>
      <c r="I18" s="1758" t="s">
        <v>3431</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8.5">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t="s">
        <v>3431</v>
      </c>
      <c r="D20" s="387"/>
      <c r="E20" s="1758" t="s">
        <v>3431</v>
      </c>
      <c r="F20" s="387"/>
      <c r="G20" s="1758" t="s">
        <v>3431</v>
      </c>
      <c r="H20" s="387"/>
      <c r="I20" s="1758" t="s">
        <v>3431</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8.5">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1814" t="s">
        <v>3432</v>
      </c>
      <c r="F22" s="387"/>
      <c r="G22" s="1814" t="s">
        <v>3432</v>
      </c>
      <c r="H22" s="387"/>
      <c r="I22" s="1814" t="s">
        <v>3432</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57">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t="s">
        <v>3431</v>
      </c>
      <c r="D24" s="387"/>
      <c r="E24" s="1758" t="s">
        <v>3431</v>
      </c>
      <c r="F24" s="387"/>
      <c r="G24" s="1758" t="s">
        <v>3431</v>
      </c>
      <c r="H24" s="387"/>
      <c r="I24" s="1758" t="s">
        <v>3431</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
      <c r="A27" s="367"/>
      <c r="B27" s="401" t="s">
        <v>1783</v>
      </c>
      <c r="C27" s="558" t="s">
        <v>3451</v>
      </c>
      <c r="D27" s="374">
        <v>100</v>
      </c>
      <c r="E27" s="558" t="s">
        <v>3451</v>
      </c>
      <c r="F27" s="374">
        <f>SUMIF(89:89,E27,90:90)-SUMIF(89:89,C27,90:90)+100</f>
        <v>100</v>
      </c>
      <c r="G27" s="558" t="s">
        <v>3451</v>
      </c>
      <c r="H27" s="374">
        <f>SUMIF(89:89,G27,90:90)-SUMIF(89:89,C27,90:90)+100</f>
        <v>100</v>
      </c>
      <c r="I27" s="542" t="s">
        <v>3451</v>
      </c>
      <c r="J27" s="374">
        <f>SUMIF(89:89,I27,90:90)-SUMIF(89:89,C27,90:90)+100</f>
        <v>100</v>
      </c>
      <c r="K27" s="538">
        <v>2</v>
      </c>
      <c r="L27" s="2491"/>
      <c r="M27" s="2486"/>
      <c r="N27" s="2486"/>
      <c r="O27" s="2486"/>
      <c r="P27" s="3407"/>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t="s">
        <v>3485</v>
      </c>
      <c r="D33" s="405">
        <v>100</v>
      </c>
      <c r="E33" s="1764" t="s">
        <v>3454</v>
      </c>
      <c r="F33" s="400">
        <f>SUMIF(101:101,E33,102:102)-SUMIF(101:101,C33,102:102)+100</f>
        <v>105</v>
      </c>
      <c r="G33" s="1764" t="s">
        <v>3454</v>
      </c>
      <c r="H33" s="374">
        <f>SUMIF(101:101,G33,102:102)-SUMIF(101:101,C33,102:102)+100</f>
        <v>105</v>
      </c>
      <c r="I33" s="1764" t="s">
        <v>3454</v>
      </c>
      <c r="J33" s="405">
        <f>SUMIF(101:101,I33,102:102)-SUMIF(101:101,C33,102:102)+100</f>
        <v>105</v>
      </c>
      <c r="K33" s="538">
        <v>5</v>
      </c>
      <c r="L33" s="2491"/>
      <c r="M33" s="2486"/>
      <c r="N33" s="2486"/>
      <c r="O33" s="2486"/>
      <c r="P33" s="3410" t="s">
        <v>1696</v>
      </c>
      <c r="Q33" s="1263" t="str">
        <f t="shared" si="11"/>
        <v>建筑类型</v>
      </c>
      <c r="R33" s="667" t="s">
        <v>14</v>
      </c>
      <c r="S33" s="668">
        <f t="shared" si="12"/>
        <v>105</v>
      </c>
      <c r="T33" s="667" t="s">
        <v>14</v>
      </c>
      <c r="U33" s="668">
        <f t="shared" si="13"/>
        <v>105</v>
      </c>
      <c r="V33" s="667" t="s">
        <v>14</v>
      </c>
      <c r="W33" s="668">
        <f t="shared" si="14"/>
        <v>105</v>
      </c>
      <c r="X33" s="1265"/>
      <c r="Y33" s="3413" t="s">
        <v>1696</v>
      </c>
      <c r="Z33" s="1264" t="str">
        <f t="shared" si="15"/>
        <v>建筑类型</v>
      </c>
      <c r="AA33" s="1264">
        <f t="shared" si="3"/>
        <v>0.95238095238095233</v>
      </c>
      <c r="AB33" s="1264">
        <f t="shared" si="4"/>
        <v>0.95238095238095233</v>
      </c>
      <c r="AC33" s="1812">
        <f t="shared" si="5"/>
        <v>0.95238095238095233</v>
      </c>
    </row>
    <row r="34" spans="1:29" s="408" customFormat="1" ht="15">
      <c r="A34" s="406"/>
      <c r="B34" s="364" t="s">
        <v>1697</v>
      </c>
      <c r="C34" s="407">
        <f>'数据-基础表'!I13</f>
        <v>3919.71</v>
      </c>
      <c r="D34" s="119">
        <v>100</v>
      </c>
      <c r="E34" s="407">
        <v>100</v>
      </c>
      <c r="F34" s="364">
        <f>LOOKUP(E34,104:104,105:105)-LOOKUP(C34,104:104,105:105)+100</f>
        <v>108</v>
      </c>
      <c r="G34" s="407">
        <v>100</v>
      </c>
      <c r="H34" s="119">
        <f>LOOKUP(G34,104:104,105:105)-LOOKUP(C34,104:104,105:105)+100</f>
        <v>108</v>
      </c>
      <c r="I34" s="407">
        <v>100</v>
      </c>
      <c r="J34" s="119">
        <f>LOOKUP(I34,104:104,105:105)-LOOKUP(C34,104:104,105:105)+100</f>
        <v>108</v>
      </c>
      <c r="K34" s="539"/>
      <c r="L34" s="2490"/>
      <c r="M34" s="2492"/>
      <c r="N34" s="2492"/>
      <c r="O34" s="2492"/>
      <c r="P34" s="3411"/>
      <c r="Q34" s="531" t="str">
        <f t="shared" si="11"/>
        <v>项目建筑规模</v>
      </c>
      <c r="R34" s="669" t="s">
        <v>14</v>
      </c>
      <c r="S34" s="670">
        <f t="shared" si="12"/>
        <v>108</v>
      </c>
      <c r="T34" s="669" t="s">
        <v>14</v>
      </c>
      <c r="U34" s="670">
        <f t="shared" si="13"/>
        <v>108</v>
      </c>
      <c r="V34" s="669" t="s">
        <v>14</v>
      </c>
      <c r="W34" s="670">
        <f t="shared" si="14"/>
        <v>108</v>
      </c>
      <c r="X34" s="671"/>
      <c r="Y34" s="3413"/>
      <c r="Z34" s="672" t="str">
        <f t="shared" si="15"/>
        <v>项目建筑规模</v>
      </c>
      <c r="AA34" s="1264">
        <f t="shared" si="3"/>
        <v>0.92592592592592593</v>
      </c>
      <c r="AB34" s="1264">
        <f t="shared" si="4"/>
        <v>0.92592592592592593</v>
      </c>
      <c r="AC34" s="1812">
        <f t="shared" si="5"/>
        <v>0.92592592592592593</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3169">
        <v>0.8</v>
      </c>
      <c r="F37" s="400">
        <f>LOOKUP(E37,111:111,112:112)-LOOKUP(C37,111:111,112:112)+100</f>
        <v>100</v>
      </c>
      <c r="G37" s="3169">
        <v>0.8</v>
      </c>
      <c r="H37" s="400">
        <f>LOOKUP(G37,111:111,112:112)-LOOKUP(C37,111:111,112:112)+100</f>
        <v>100</v>
      </c>
      <c r="I37" s="3169">
        <v>0.8</v>
      </c>
      <c r="J37" s="374">
        <f>LOOKUP(I37,111:111,112:112)-LOOKUP(C37,111:111,112:112)+100</f>
        <v>100</v>
      </c>
      <c r="K37" s="538">
        <v>0</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t="s">
        <v>3448</v>
      </c>
      <c r="D39" s="374">
        <v>100</v>
      </c>
      <c r="E39" s="399" t="s">
        <v>3448</v>
      </c>
      <c r="F39" s="400">
        <f>SUMIF(115:115,E39,116:116)-SUMIF(115:115,C39,116:116)+100</f>
        <v>100</v>
      </c>
      <c r="G39" s="399" t="s">
        <v>3448</v>
      </c>
      <c r="H39" s="374">
        <f>SUMIF(115:115,G39,116:116)-SUMIF(115:115,C39,116:116)+100</f>
        <v>100</v>
      </c>
      <c r="I39" s="399" t="s">
        <v>3448</v>
      </c>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t="s">
        <v>3444</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t="s">
        <v>3449</v>
      </c>
      <c r="D41" s="374">
        <v>100</v>
      </c>
      <c r="E41" s="542" t="s">
        <v>3449</v>
      </c>
      <c r="F41" s="400">
        <f>SUMIF(119:119,E41,120:120)-SUMIF(119:119,C41,120:120)+100</f>
        <v>100</v>
      </c>
      <c r="G41" s="542" t="s">
        <v>3449</v>
      </c>
      <c r="H41" s="374">
        <f>SUMIF(119:119,G41,120:120)-SUMIF(119:119,C41,120:120)+100</f>
        <v>100</v>
      </c>
      <c r="I41" s="542" t="s">
        <v>3449</v>
      </c>
      <c r="J41" s="374">
        <f>SUMIF(119:119,I41,120:120)-SUMIF(119:119,C41,120:120)+100</f>
        <v>100</v>
      </c>
      <c r="K41" s="538">
        <v>2</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t="s">
        <v>3471</v>
      </c>
      <c r="D43" s="374">
        <v>100</v>
      </c>
      <c r="E43" s="399" t="s">
        <v>3471</v>
      </c>
      <c r="F43" s="400">
        <f>SUMIF(123:123,E43,124:124)-SUMIF(123:123,C43,124:124)+100</f>
        <v>100</v>
      </c>
      <c r="G43" s="399" t="s">
        <v>3471</v>
      </c>
      <c r="H43" s="374">
        <f>SUMIF(123:123,G43,124:124)-SUMIF(123:123,C43,124:124)+100</f>
        <v>100</v>
      </c>
      <c r="I43" s="399" t="s">
        <v>3471</v>
      </c>
      <c r="J43" s="374">
        <f>SUMIF(123:123,I43,124:124)-SUMIF(123:123,C43,124:124)+100</f>
        <v>100</v>
      </c>
      <c r="K43" s="538">
        <v>3</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15">
      <c r="A44" s="409"/>
      <c r="B44" s="364" t="s">
        <v>1707</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5">
      <c r="A48" s="416" t="s">
        <v>1708</v>
      </c>
      <c r="B48" s="417"/>
      <c r="C48" s="1081" t="s">
        <v>0</v>
      </c>
      <c r="D48" s="418"/>
      <c r="E48" s="419">
        <v>10000</v>
      </c>
      <c r="F48" s="420"/>
      <c r="G48" s="421">
        <v>10000</v>
      </c>
      <c r="H48" s="422"/>
      <c r="I48" s="419">
        <v>10000</v>
      </c>
      <c r="J48" s="422"/>
      <c r="K48" s="674"/>
      <c r="L48" s="2493"/>
      <c r="M48" s="2486"/>
      <c r="N48" s="2486"/>
      <c r="O48" s="2486"/>
      <c r="P48" s="3386" t="str">
        <f>A48</f>
        <v>成交单价（元/平方米）</v>
      </c>
      <c r="Q48" s="3415"/>
      <c r="R48" s="3403">
        <f>E48</f>
        <v>10000</v>
      </c>
      <c r="S48" s="3403"/>
      <c r="T48" s="3403">
        <f>G48</f>
        <v>10000</v>
      </c>
      <c r="U48" s="3403"/>
      <c r="V48" s="3403">
        <f>I48</f>
        <v>10000</v>
      </c>
      <c r="W48" s="3403"/>
      <c r="X48" s="385"/>
      <c r="Y48" s="673"/>
      <c r="Z48" s="385"/>
      <c r="AA48" s="385"/>
      <c r="AB48" s="385"/>
      <c r="AC48" s="555"/>
    </row>
    <row r="49" spans="1:29" ht="15.75" thickBot="1">
      <c r="A49" s="423" t="s">
        <v>1793</v>
      </c>
      <c r="B49" s="424"/>
      <c r="C49" s="1082">
        <f>R50</f>
        <v>8398</v>
      </c>
      <c r="D49" s="2141" t="s">
        <v>2137</v>
      </c>
      <c r="E49" s="1083">
        <f>R49</f>
        <v>8398</v>
      </c>
      <c r="F49" s="2142"/>
      <c r="G49" s="1082">
        <f>T49</f>
        <v>8398</v>
      </c>
      <c r="H49" s="2142"/>
      <c r="I49" s="1083">
        <f>V49</f>
        <v>8398</v>
      </c>
      <c r="J49" s="2142"/>
      <c r="K49" s="2144">
        <f>F49+H49+J49</f>
        <v>0</v>
      </c>
      <c r="L49" s="2493"/>
      <c r="M49" s="2486"/>
      <c r="N49" s="2486"/>
      <c r="O49" s="2486"/>
      <c r="P49" s="3386" t="str">
        <f>A49</f>
        <v>比较价值（元/平方米）</v>
      </c>
      <c r="Q49" s="3415"/>
      <c r="R49" s="3403">
        <f>IF(F1="售价",ROUND(PRODUCT(R48,AA7:AA47),0),ROUND(PRODUCT(R48,AA7:AA47),1))</f>
        <v>8398</v>
      </c>
      <c r="S49" s="3403"/>
      <c r="T49" s="3403">
        <f>IF(F1="售价",ROUND(PRODUCT(T48,AB7:AB47),0),ROUND(PRODUCT(T48,AB7:AB47),1))</f>
        <v>8398</v>
      </c>
      <c r="U49" s="3403"/>
      <c r="V49" s="3403">
        <f>IF(F1="售价",ROUND(PRODUCT(V48,AC7:AC47),0),ROUND(PRODUCT(V48,AC7:AC47),1))</f>
        <v>8398</v>
      </c>
      <c r="W49" s="3403"/>
      <c r="X49" s="385"/>
      <c r="Y49" s="385"/>
      <c r="Z49" s="385"/>
      <c r="AA49" s="385"/>
      <c r="AB49" s="385"/>
      <c r="AC49" s="555"/>
    </row>
    <row r="50" spans="1:29" ht="15.75" thickBot="1">
      <c r="A50" s="427" t="s">
        <v>1794</v>
      </c>
      <c r="B50" s="428"/>
      <c r="C50" s="351">
        <f>R50</f>
        <v>8398</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8398</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0.1907597046915932</v>
      </c>
      <c r="F53" s="435" t="str">
        <f>IF(OR(E53&gt;=0.3,E53&lt;=-0.3),"超过30%","")</f>
        <v/>
      </c>
      <c r="G53" s="434">
        <f>IF(G48&lt;G49,G49/G48-1,G48/G49-1)</f>
        <v>0.1907597046915932</v>
      </c>
      <c r="H53" s="435" t="str">
        <f>IF(OR(G53&gt;=0.3,G53&lt;=-0.3),"超过30%","")</f>
        <v/>
      </c>
      <c r="I53" s="434">
        <f>IF(I48&lt;I49,I49/I48-1,I48/I49-1)</f>
        <v>0.1907597046915932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61" t="s">
        <v>3421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67" t="s">
        <v>3433</v>
      </c>
      <c r="D87" s="3167" t="s">
        <v>3434</v>
      </c>
      <c r="E87" s="3167" t="s">
        <v>3435</v>
      </c>
      <c r="F87" s="3167" t="s">
        <v>3436</v>
      </c>
      <c r="G87" s="3167" t="s">
        <v>3437</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67" t="s">
        <v>3438</v>
      </c>
      <c r="D89" s="3167" t="s">
        <v>3439</v>
      </c>
      <c r="E89" s="3167" t="s">
        <v>3440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6" t="s">
        <v>3455</v>
      </c>
      <c r="D101" s="3166" t="s">
        <v>3486</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3000(含)-4000</v>
      </c>
      <c r="H103" s="509" t="str">
        <f t="shared" si="23"/>
        <v>4000(含)-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2000</v>
      </c>
      <c r="G104" s="6">
        <v>3000</v>
      </c>
      <c r="H104" s="6">
        <v>4000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C105-2</f>
        <v>98</v>
      </c>
      <c r="E105" s="467">
        <f t="shared" ref="E105:F105" si="24">D105-2</f>
        <v>96</v>
      </c>
      <c r="F105" s="467">
        <f t="shared" si="24"/>
        <v>94</v>
      </c>
      <c r="G105" s="467">
        <f>F105-2</f>
        <v>92</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7" t="s">
        <v>3441</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7" t="s">
        <v>3442</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67"/>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7" t="s">
        <v>3443</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t="s">
        <v>3444</v>
      </c>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8" t="s">
        <v>3450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3167" t="s">
        <v>3484</v>
      </c>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7" t="s">
        <v>3442</v>
      </c>
      <c r="D123" s="3167" t="s">
        <v>3447</v>
      </c>
      <c r="E123" s="3167" t="s">
        <v>3445</v>
      </c>
      <c r="F123" s="3167" t="s">
        <v>3446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97</v>
      </c>
      <c r="E124" s="475">
        <f t="shared" si="31"/>
        <v>94</v>
      </c>
      <c r="F124" s="475">
        <f t="shared" si="31"/>
        <v>91</v>
      </c>
      <c r="G124" s="475">
        <f t="shared" si="31"/>
        <v>88</v>
      </c>
      <c r="H124" s="475">
        <f t="shared" si="31"/>
        <v>85</v>
      </c>
      <c r="I124" s="475">
        <f t="shared" si="31"/>
        <v>82</v>
      </c>
      <c r="J124" s="475">
        <f t="shared" si="31"/>
        <v>79</v>
      </c>
      <c r="K124" s="475">
        <f t="shared" si="31"/>
        <v>76</v>
      </c>
      <c r="L124" s="475">
        <f t="shared" si="31"/>
        <v>73</v>
      </c>
      <c r="M124" s="476">
        <f t="shared" si="31"/>
        <v>70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45776</v>
      </c>
      <c r="B1" s="2928" t="s">
        <v>3373</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4.25" thickBot="1">
      <c r="B2" s="2880"/>
      <c r="C2" s="2881"/>
      <c r="D2" s="2011" t="s">
        <v>2805</v>
      </c>
      <c r="E2" s="2012" t="s">
        <v>2806</v>
      </c>
      <c r="F2" s="2012" t="s">
        <v>2807</v>
      </c>
      <c r="G2" s="2012" t="s">
        <v>2808</v>
      </c>
      <c r="H2" s="2012" t="s">
        <v>2809</v>
      </c>
      <c r="I2" s="2012" t="s">
        <v>2626</v>
      </c>
      <c r="J2" s="2882"/>
      <c r="K2" s="2011" t="s">
        <v>2805</v>
      </c>
      <c r="L2" s="2012" t="s">
        <v>2806</v>
      </c>
      <c r="M2" s="2012" t="s">
        <v>2807</v>
      </c>
      <c r="N2" s="2012" t="s">
        <v>2808</v>
      </c>
      <c r="O2" s="2012" t="s">
        <v>2810</v>
      </c>
      <c r="P2" s="2012" t="s">
        <v>2626</v>
      </c>
      <c r="Q2" s="2882"/>
      <c r="R2" s="2011" t="s">
        <v>2805</v>
      </c>
      <c r="S2" s="2012" t="s">
        <v>2806</v>
      </c>
      <c r="T2" s="2012" t="s">
        <v>2807</v>
      </c>
      <c r="U2" s="2012" t="s">
        <v>2811</v>
      </c>
      <c r="V2" s="2012" t="s">
        <v>2812</v>
      </c>
      <c r="W2" s="2012" t="s">
        <v>2626</v>
      </c>
      <c r="X2" s="2882"/>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5" customFormat="1" ht="12.75">
      <c r="A3" s="2883" t="s">
        <v>2814</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2.75">
      <c r="A6" s="2040" t="s">
        <v>3398</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3397</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2.75">
      <c r="A11" s="2904" t="s">
        <v>3371</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2.75">
      <c r="A12" s="2904" t="s">
        <v>3370</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2.75">
      <c r="A13" s="2904" t="s">
        <v>3366</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2.75">
      <c r="A14" s="2904" t="s">
        <v>3365</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2.75">
      <c r="A15" s="2904" t="s">
        <v>3363</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2.75">
      <c r="A16" s="2904" t="s">
        <v>3362</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2.75">
      <c r="A17" s="2904" t="s">
        <v>3361</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2.75">
      <c r="A18" s="2904" t="s">
        <v>3359</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2.75">
      <c r="A19" s="2904" t="s">
        <v>3350</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2.75">
      <c r="A20" s="2904" t="s">
        <v>2815</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2.75">
      <c r="A21" s="2904" t="s">
        <v>2816</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2.75">
      <c r="A22" s="2904" t="s">
        <v>2817</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2.75">
      <c r="A23" s="2904" t="s">
        <v>2818</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2819</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3376</v>
      </c>
    </row>
    <row r="27" spans="1:44">
      <c r="I27" s="1405" t="s">
        <v>2820</v>
      </c>
    </row>
    <row r="29" spans="1:44" s="2009" customFormat="1" ht="12.75">
      <c r="B29" s="2928" t="s">
        <v>3374</v>
      </c>
      <c r="C29" s="2929"/>
      <c r="D29" s="2929"/>
      <c r="E29" s="2929"/>
      <c r="F29" s="2929"/>
      <c r="G29" s="2929"/>
      <c r="H29" s="2929"/>
      <c r="I29" s="2929"/>
      <c r="J29" s="2895"/>
      <c r="K29" s="2929" t="s">
        <v>2821</v>
      </c>
      <c r="L29" s="2929"/>
      <c r="M29" s="2929"/>
      <c r="N29" s="2929"/>
      <c r="O29" s="2929"/>
      <c r="P29" s="2929"/>
      <c r="Q29" s="2895"/>
      <c r="R29" s="3495" t="s">
        <v>2822</v>
      </c>
      <c r="S29" s="3496"/>
      <c r="T29" s="3496"/>
      <c r="U29" s="3496"/>
      <c r="V29" s="3496"/>
      <c r="W29" s="3496"/>
      <c r="X29" s="2895"/>
      <c r="Y29" s="3495" t="s">
        <v>2823</v>
      </c>
      <c r="Z29" s="3496"/>
      <c r="AA29" s="3496"/>
      <c r="AB29" s="3496"/>
      <c r="AC29" s="3496"/>
      <c r="AD29" s="3496"/>
    </row>
    <row r="30" spans="1:44" s="2010" customFormat="1" ht="14.25" thickBot="1">
      <c r="B30" s="2880"/>
      <c r="C30" s="2881"/>
      <c r="D30" s="2011" t="s">
        <v>2824</v>
      </c>
      <c r="E30" s="2012" t="s">
        <v>2825</v>
      </c>
      <c r="F30" s="2012" t="s">
        <v>2826</v>
      </c>
      <c r="G30" s="2012" t="s">
        <v>2827</v>
      </c>
      <c r="H30" s="2012"/>
      <c r="I30" s="2012" t="s">
        <v>2828</v>
      </c>
      <c r="J30" s="2882"/>
      <c r="K30" s="2011" t="s">
        <v>2824</v>
      </c>
      <c r="L30" s="2012" t="s">
        <v>2825</v>
      </c>
      <c r="M30" s="2012" t="s">
        <v>2826</v>
      </c>
      <c r="N30" s="2012" t="s">
        <v>2827</v>
      </c>
      <c r="O30" s="2012"/>
      <c r="P30" s="2012" t="s">
        <v>2828</v>
      </c>
      <c r="Q30" s="2882"/>
      <c r="R30" s="2011" t="s">
        <v>2824</v>
      </c>
      <c r="S30" s="2012" t="s">
        <v>2825</v>
      </c>
      <c r="T30" s="2012" t="s">
        <v>2826</v>
      </c>
      <c r="U30" s="2012" t="s">
        <v>2827</v>
      </c>
      <c r="V30" s="2012"/>
      <c r="W30" s="2012" t="s">
        <v>2828</v>
      </c>
      <c r="X30" s="2882"/>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5" customFormat="1" ht="12.75">
      <c r="A31" s="2883" t="s">
        <v>2829</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2.75">
      <c r="A34" s="2040" t="s">
        <v>3398</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3406</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2.75">
      <c r="A39" s="2904" t="s">
        <v>3372</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2.75">
      <c r="A40" s="2904" t="s">
        <v>3369</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2.75">
      <c r="A41" s="2904" t="s">
        <v>3367</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2.75">
      <c r="A42" s="2904" t="s">
        <v>3365</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2.75">
      <c r="A43" s="2904" t="s">
        <v>3364</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2.75">
      <c r="A44" s="2904" t="s">
        <v>3362</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2.75">
      <c r="A45" s="2904" t="s">
        <v>3361</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2.75">
      <c r="A46" s="2904" t="s">
        <v>3360</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2.75">
      <c r="A47" s="2904" t="s">
        <v>3350</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2.75">
      <c r="A48" s="2904" t="s">
        <v>2830</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2.75">
      <c r="A49" s="2904" t="s">
        <v>2831</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2.75">
      <c r="A50" s="2904" t="s">
        <v>2832</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2.75">
      <c r="A51" s="2904" t="s">
        <v>2833</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2819</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8" t="s">
        <v>2834</v>
      </c>
      <c r="B1" s="3508"/>
      <c r="C1" s="3508"/>
      <c r="D1" s="3508"/>
      <c r="E1" s="3508"/>
      <c r="F1" s="3508"/>
      <c r="G1" s="3509"/>
      <c r="I1" s="2937" t="s">
        <v>2835</v>
      </c>
      <c r="J1" s="2938" t="s">
        <v>2836</v>
      </c>
      <c r="K1" s="2938" t="s">
        <v>2837</v>
      </c>
      <c r="L1" s="2938" t="s">
        <v>2838</v>
      </c>
      <c r="M1" s="2938" t="s">
        <v>2839</v>
      </c>
      <c r="N1" s="2938" t="s">
        <v>2840</v>
      </c>
      <c r="O1" s="2938" t="s">
        <v>2841</v>
      </c>
      <c r="P1" s="2938" t="s">
        <v>2842</v>
      </c>
      <c r="Q1" s="2938" t="s">
        <v>2843</v>
      </c>
      <c r="R1" s="2938" t="s">
        <v>2844</v>
      </c>
      <c r="S1" s="2938" t="s">
        <v>2845</v>
      </c>
      <c r="T1" s="2939" t="s">
        <v>2846</v>
      </c>
    </row>
    <row r="2" spans="1:20" ht="12" thickBot="1">
      <c r="A2" s="2940" t="s">
        <v>2847</v>
      </c>
      <c r="B2" s="2940"/>
      <c r="C2" s="2940"/>
      <c r="D2" s="2940"/>
      <c r="E2" s="2940"/>
      <c r="F2" s="2940"/>
      <c r="G2" s="2941" t="s">
        <v>2848</v>
      </c>
      <c r="I2" s="2942" t="s">
        <v>2849</v>
      </c>
      <c r="J2" s="2942" t="s">
        <v>2850</v>
      </c>
      <c r="K2" s="2942" t="s">
        <v>2851</v>
      </c>
      <c r="L2" s="2942" t="s">
        <v>2852</v>
      </c>
      <c r="M2" s="2942" t="s">
        <v>2853</v>
      </c>
      <c r="N2" s="2942" t="s">
        <v>2854</v>
      </c>
      <c r="O2" s="2942" t="s">
        <v>2855</v>
      </c>
      <c r="P2" s="2942" t="s">
        <v>2856</v>
      </c>
      <c r="Q2" s="2942" t="s">
        <v>2857</v>
      </c>
      <c r="R2" s="2942" t="s">
        <v>2858</v>
      </c>
      <c r="S2" s="2942" t="s">
        <v>2859</v>
      </c>
      <c r="T2" s="2942" t="s">
        <v>2860</v>
      </c>
    </row>
    <row r="3" spans="1:20" s="2948" customFormat="1">
      <c r="A3" s="3506" t="s">
        <v>2861</v>
      </c>
      <c r="B3" s="2943"/>
      <c r="C3" s="2944" t="s">
        <v>2806</v>
      </c>
      <c r="D3" s="2944" t="s">
        <v>2862</v>
      </c>
      <c r="E3" s="2944" t="s">
        <v>2808</v>
      </c>
      <c r="F3" s="2944" t="s">
        <v>2863</v>
      </c>
      <c r="G3" s="2944" t="s">
        <v>2626</v>
      </c>
      <c r="H3" s="2945"/>
      <c r="I3" s="2946" t="s">
        <v>2864</v>
      </c>
      <c r="J3" s="2947" t="s">
        <v>128</v>
      </c>
      <c r="K3" s="2947" t="s">
        <v>129</v>
      </c>
      <c r="L3" s="2946" t="s">
        <v>130</v>
      </c>
      <c r="M3" s="2946" t="s">
        <v>131</v>
      </c>
      <c r="N3" s="2946" t="s">
        <v>132</v>
      </c>
      <c r="O3" s="2946" t="s">
        <v>133</v>
      </c>
      <c r="P3" s="2946" t="s">
        <v>134</v>
      </c>
      <c r="Q3" s="2946" t="s">
        <v>135</v>
      </c>
      <c r="R3" s="2946" t="s">
        <v>136</v>
      </c>
      <c r="S3" s="2946" t="s">
        <v>2865</v>
      </c>
      <c r="T3" s="2946" t="s">
        <v>2866</v>
      </c>
    </row>
    <row r="4" spans="1:20" s="2948" customFormat="1" ht="12" thickBot="1">
      <c r="A4" s="3507"/>
      <c r="B4" s="2949" t="s">
        <v>2867</v>
      </c>
      <c r="C4" s="2949" t="s">
        <v>2868</v>
      </c>
      <c r="D4" s="2949" t="s">
        <v>2868</v>
      </c>
      <c r="E4" s="2949" t="s">
        <v>2868</v>
      </c>
      <c r="F4" s="2950" t="s">
        <v>2868</v>
      </c>
      <c r="G4" s="2950" t="s">
        <v>2868</v>
      </c>
      <c r="H4" s="2945"/>
      <c r="I4" s="2947" t="s">
        <v>137</v>
      </c>
      <c r="J4" s="2947" t="s">
        <v>111</v>
      </c>
      <c r="K4" s="2947" t="s">
        <v>138</v>
      </c>
      <c r="L4" s="2946" t="s">
        <v>139</v>
      </c>
      <c r="M4" s="2946" t="s">
        <v>140</v>
      </c>
      <c r="N4" s="2946" t="s">
        <v>141</v>
      </c>
      <c r="O4" s="2946" t="s">
        <v>142</v>
      </c>
      <c r="P4" s="2946" t="s">
        <v>143</v>
      </c>
      <c r="Q4" s="2946" t="s">
        <v>2869</v>
      </c>
      <c r="R4" s="2946" t="s">
        <v>2870</v>
      </c>
      <c r="S4" s="2946" t="s">
        <v>2871</v>
      </c>
      <c r="T4" s="2946" t="s">
        <v>2872</v>
      </c>
    </row>
    <row r="5" spans="1:20">
      <c r="A5" s="2951" t="s">
        <v>2835</v>
      </c>
      <c r="B5" s="2942" t="s">
        <v>2849</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2873</v>
      </c>
      <c r="R5" s="2946" t="s">
        <v>2874</v>
      </c>
      <c r="S5" s="2946" t="s">
        <v>153</v>
      </c>
      <c r="T5" s="2946" t="s">
        <v>2875</v>
      </c>
    </row>
    <row r="6" spans="1:20" ht="12" thickBot="1">
      <c r="A6" s="2946" t="s">
        <v>144</v>
      </c>
      <c r="B6" s="2946" t="s">
        <v>2864</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2876</v>
      </c>
      <c r="Q6" s="2946" t="s">
        <v>2877</v>
      </c>
      <c r="R6" s="2946" t="s">
        <v>161</v>
      </c>
      <c r="S6" s="2946" t="s">
        <v>2878</v>
      </c>
      <c r="T6" s="2946" t="s">
        <v>2879</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2880</v>
      </c>
      <c r="Q7" s="2946" t="s">
        <v>2881</v>
      </c>
      <c r="R7" s="2946" t="s">
        <v>2882</v>
      </c>
      <c r="S7" s="2946" t="s">
        <v>2883</v>
      </c>
      <c r="T7" s="2946" t="s">
        <v>2884</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2885</v>
      </c>
      <c r="Q8" s="2946" t="s">
        <v>174</v>
      </c>
      <c r="R8" s="2946" t="s">
        <v>2886</v>
      </c>
      <c r="S8" s="2946" t="s">
        <v>2887</v>
      </c>
      <c r="T8" s="2953" t="s">
        <v>2888</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2889</v>
      </c>
      <c r="Q9" s="2946" t="s">
        <v>182</v>
      </c>
      <c r="R9" s="2946" t="s">
        <v>183</v>
      </c>
      <c r="S9" s="2946" t="s">
        <v>200</v>
      </c>
    </row>
    <row r="10" spans="1:20">
      <c r="A10" s="2951" t="s">
        <v>184</v>
      </c>
      <c r="B10" s="2942" t="s">
        <v>2850</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2890</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2891</v>
      </c>
      <c r="P11" s="2946" t="s">
        <v>191</v>
      </c>
      <c r="Q11" s="2946" t="s">
        <v>199</v>
      </c>
      <c r="R11" s="2946" t="s">
        <v>2892</v>
      </c>
      <c r="S11" s="2946" t="s">
        <v>2893</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2894</v>
      </c>
      <c r="P12" s="2946" t="s">
        <v>2895</v>
      </c>
      <c r="Q12" s="2946" t="s">
        <v>2896</v>
      </c>
      <c r="R12" s="2946" t="s">
        <v>2897</v>
      </c>
      <c r="S12" s="2946" t="s">
        <v>2898</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2899</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2900</v>
      </c>
      <c r="K14" s="2947" t="s">
        <v>215</v>
      </c>
      <c r="L14" s="2946" t="s">
        <v>216</v>
      </c>
      <c r="M14" s="2946" t="s">
        <v>217</v>
      </c>
      <c r="N14" s="2946" t="s">
        <v>218</v>
      </c>
      <c r="O14" s="2946" t="s">
        <v>240</v>
      </c>
      <c r="P14" s="2946" t="s">
        <v>213</v>
      </c>
      <c r="Q14" s="2946" t="s">
        <v>2901</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2902</v>
      </c>
      <c r="P15" s="2946" t="s">
        <v>2903</v>
      </c>
      <c r="Q15" s="2946" t="s">
        <v>242</v>
      </c>
      <c r="R15" s="2946" t="s">
        <v>2904</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2905</v>
      </c>
      <c r="P16" s="2946" t="s">
        <v>227</v>
      </c>
      <c r="Q16" s="2946" t="s">
        <v>250</v>
      </c>
      <c r="R16" s="2946" t="s">
        <v>207</v>
      </c>
      <c r="S16" s="2946" t="s">
        <v>2906</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2907</v>
      </c>
      <c r="P17" s="2946" t="s">
        <v>2908</v>
      </c>
      <c r="Q17" s="2946" t="s">
        <v>256</v>
      </c>
      <c r="R17" s="2946" t="s">
        <v>2909</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2910</v>
      </c>
      <c r="P18" s="2946" t="s">
        <v>241</v>
      </c>
      <c r="Q18" s="2946" t="s">
        <v>2911</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2912</v>
      </c>
      <c r="P19" s="2946" t="s">
        <v>249</v>
      </c>
      <c r="Q19" s="2946" t="s">
        <v>2913</v>
      </c>
      <c r="R19" s="2946" t="s">
        <v>265</v>
      </c>
      <c r="S19" s="2946" t="s">
        <v>2914</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2915</v>
      </c>
      <c r="P20" s="2946" t="s">
        <v>2916</v>
      </c>
      <c r="Q20" s="2946" t="s">
        <v>290</v>
      </c>
      <c r="R20" s="2946" t="s">
        <v>2917</v>
      </c>
      <c r="S20" s="2946" t="s">
        <v>277</v>
      </c>
    </row>
    <row r="21" spans="1:19" ht="14.25" customHeight="1" thickBot="1">
      <c r="A21" s="2946" t="s">
        <v>184</v>
      </c>
      <c r="B21" s="2947" t="s">
        <v>208</v>
      </c>
      <c r="C21" s="2946">
        <v>32370</v>
      </c>
      <c r="D21" s="2946">
        <v>26730</v>
      </c>
      <c r="E21" s="2946">
        <v>26640</v>
      </c>
      <c r="F21" s="2946"/>
      <c r="G21" s="2946">
        <v>19440</v>
      </c>
      <c r="J21" s="2953" t="s">
        <v>2918</v>
      </c>
      <c r="K21" s="2947" t="s">
        <v>267</v>
      </c>
      <c r="L21" s="2946" t="s">
        <v>268</v>
      </c>
      <c r="M21" s="2946" t="s">
        <v>269</v>
      </c>
      <c r="N21" s="2946" t="s">
        <v>270</v>
      </c>
      <c r="O21" s="2946" t="s">
        <v>264</v>
      </c>
      <c r="P21" s="2946" t="s">
        <v>283</v>
      </c>
      <c r="Q21" s="2946" t="s">
        <v>293</v>
      </c>
      <c r="R21" s="2946" t="s">
        <v>2919</v>
      </c>
      <c r="S21" s="2953" t="s">
        <v>2920</v>
      </c>
    </row>
    <row r="22" spans="1:19" ht="14.25" customHeight="1">
      <c r="A22" s="2946" t="s">
        <v>184</v>
      </c>
      <c r="B22" s="2947" t="s">
        <v>2900</v>
      </c>
      <c r="C22" s="2946">
        <v>29830</v>
      </c>
      <c r="D22" s="2946">
        <v>27600</v>
      </c>
      <c r="E22" s="2946">
        <v>28150</v>
      </c>
      <c r="F22" s="2946"/>
      <c r="G22" s="2946">
        <v>20080</v>
      </c>
      <c r="K22" s="2947" t="s">
        <v>2921</v>
      </c>
      <c r="L22" s="2946" t="s">
        <v>272</v>
      </c>
      <c r="M22" s="2946" t="s">
        <v>273</v>
      </c>
      <c r="N22" s="2946" t="s">
        <v>274</v>
      </c>
      <c r="O22" s="2946" t="s">
        <v>2922</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2923</v>
      </c>
      <c r="L23" s="2946" t="s">
        <v>278</v>
      </c>
      <c r="M23" s="2946" t="s">
        <v>279</v>
      </c>
      <c r="N23" s="2946" t="s">
        <v>2924</v>
      </c>
      <c r="O23" s="2946" t="s">
        <v>2925</v>
      </c>
      <c r="P23" s="2946" t="s">
        <v>289</v>
      </c>
      <c r="Q23" s="2946" t="s">
        <v>298</v>
      </c>
      <c r="R23" s="2946" t="s">
        <v>2926</v>
      </c>
    </row>
    <row r="24" spans="1:19" ht="14.25" customHeight="1">
      <c r="A24" s="2946" t="s">
        <v>184</v>
      </c>
      <c r="B24" s="2947" t="s">
        <v>230</v>
      </c>
      <c r="C24" s="2946">
        <v>27930</v>
      </c>
      <c r="D24" s="2946">
        <v>32260</v>
      </c>
      <c r="E24" s="2946">
        <v>32120</v>
      </c>
      <c r="F24" s="2946"/>
      <c r="G24" s="2946">
        <v>23470</v>
      </c>
      <c r="K24" s="2947" t="s">
        <v>2927</v>
      </c>
      <c r="L24" s="2946" t="s">
        <v>281</v>
      </c>
      <c r="M24" s="2946" t="s">
        <v>282</v>
      </c>
      <c r="N24" s="2946" t="s">
        <v>2928</v>
      </c>
      <c r="O24" s="2946" t="s">
        <v>285</v>
      </c>
      <c r="P24" s="2946" t="s">
        <v>2929</v>
      </c>
      <c r="Q24" s="2955" t="s">
        <v>2930</v>
      </c>
      <c r="R24" s="2946" t="s">
        <v>2931</v>
      </c>
    </row>
    <row r="25" spans="1:19" ht="14.25" customHeight="1">
      <c r="A25" s="2946" t="s">
        <v>184</v>
      </c>
      <c r="B25" s="2947" t="s">
        <v>235</v>
      </c>
      <c r="C25" s="2946">
        <v>32230</v>
      </c>
      <c r="D25" s="2946">
        <v>29640</v>
      </c>
      <c r="E25" s="2946">
        <v>29510</v>
      </c>
      <c r="F25" s="2946"/>
      <c r="G25" s="2946">
        <v>21560</v>
      </c>
      <c r="K25" s="2947" t="s">
        <v>2932</v>
      </c>
      <c r="L25" s="2946" t="s">
        <v>2933</v>
      </c>
      <c r="M25" s="2946" t="s">
        <v>284</v>
      </c>
      <c r="N25" s="2946" t="s">
        <v>292</v>
      </c>
      <c r="O25" s="2946" t="s">
        <v>288</v>
      </c>
      <c r="P25" s="2946" t="s">
        <v>275</v>
      </c>
      <c r="Q25" s="2955" t="s">
        <v>271</v>
      </c>
      <c r="R25" s="2946" t="s">
        <v>2934</v>
      </c>
    </row>
    <row r="26" spans="1:19" ht="14.25" customHeight="1" thickBot="1">
      <c r="A26" s="2946" t="s">
        <v>184</v>
      </c>
      <c r="B26" s="2947" t="s">
        <v>244</v>
      </c>
      <c r="C26" s="2946">
        <v>31690</v>
      </c>
      <c r="D26" s="2946">
        <v>27650</v>
      </c>
      <c r="E26" s="2946">
        <v>28200</v>
      </c>
      <c r="F26" s="2946"/>
      <c r="G26" s="2946">
        <v>20110</v>
      </c>
      <c r="K26" s="2952" t="s">
        <v>2935</v>
      </c>
      <c r="L26" s="2946" t="s">
        <v>2936</v>
      </c>
      <c r="M26" s="2946" t="s">
        <v>287</v>
      </c>
      <c r="N26" s="2946" t="s">
        <v>294</v>
      </c>
      <c r="O26" s="2946" t="s">
        <v>2937</v>
      </c>
      <c r="P26" s="2946" t="s">
        <v>2938</v>
      </c>
      <c r="Q26" s="2955" t="s">
        <v>276</v>
      </c>
      <c r="R26" s="2946" t="s">
        <v>2939</v>
      </c>
    </row>
    <row r="27" spans="1:19" ht="14.25" customHeight="1">
      <c r="A27" s="2946" t="s">
        <v>184</v>
      </c>
      <c r="B27" s="2947" t="s">
        <v>251</v>
      </c>
      <c r="C27" s="2946">
        <v>29610</v>
      </c>
      <c r="D27" s="2946">
        <v>27770</v>
      </c>
      <c r="E27" s="2946">
        <v>28300</v>
      </c>
      <c r="F27" s="2946"/>
      <c r="G27" s="2946">
        <v>20210</v>
      </c>
      <c r="L27" s="2946" t="s">
        <v>2940</v>
      </c>
      <c r="M27" s="2946" t="s">
        <v>291</v>
      </c>
      <c r="N27" s="2946" t="s">
        <v>297</v>
      </c>
      <c r="O27" s="2946" t="s">
        <v>2941</v>
      </c>
      <c r="P27" s="2946" t="s">
        <v>2942</v>
      </c>
      <c r="Q27" s="2946" t="s">
        <v>2943</v>
      </c>
      <c r="R27" s="2946" t="s">
        <v>2944</v>
      </c>
    </row>
    <row r="28" spans="1:19" ht="14.25" customHeight="1">
      <c r="A28" s="2946" t="s">
        <v>184</v>
      </c>
      <c r="B28" s="2947" t="s">
        <v>259</v>
      </c>
      <c r="C28" s="2946"/>
      <c r="D28" s="2946">
        <v>31520</v>
      </c>
      <c r="E28" s="2946">
        <v>31410</v>
      </c>
      <c r="F28" s="2946"/>
      <c r="G28" s="2946">
        <v>22940</v>
      </c>
      <c r="L28" s="2946" t="s">
        <v>2945</v>
      </c>
      <c r="M28" s="2946" t="s">
        <v>2946</v>
      </c>
      <c r="N28" s="2946" t="s">
        <v>2947</v>
      </c>
      <c r="O28" s="2946" t="s">
        <v>2948</v>
      </c>
      <c r="P28" s="2946" t="s">
        <v>2949</v>
      </c>
      <c r="Q28" s="2946" t="s">
        <v>2950</v>
      </c>
      <c r="R28" s="2946" t="s">
        <v>2951</v>
      </c>
    </row>
    <row r="29" spans="1:19" ht="14.25" customHeight="1" thickBot="1">
      <c r="A29" s="2954" t="s">
        <v>184</v>
      </c>
      <c r="B29" s="2956" t="s">
        <v>2918</v>
      </c>
      <c r="C29" s="2957"/>
      <c r="D29" s="2957">
        <v>29460</v>
      </c>
      <c r="E29" s="2957">
        <v>28640</v>
      </c>
      <c r="F29" s="2957"/>
      <c r="G29" s="2957">
        <v>21430</v>
      </c>
      <c r="L29" s="2946" t="s">
        <v>2952</v>
      </c>
      <c r="M29" s="2946" t="s">
        <v>2953</v>
      </c>
      <c r="N29" s="2946" t="s">
        <v>2954</v>
      </c>
      <c r="O29" s="2946" t="s">
        <v>2955</v>
      </c>
      <c r="P29" s="2946" t="s">
        <v>2956</v>
      </c>
      <c r="Q29" s="2946" t="s">
        <v>2957</v>
      </c>
      <c r="R29" s="2946" t="s">
        <v>280</v>
      </c>
    </row>
    <row r="30" spans="1:19" ht="14.25" customHeight="1">
      <c r="A30" s="2951" t="s">
        <v>296</v>
      </c>
      <c r="B30" s="2942" t="s">
        <v>2851</v>
      </c>
      <c r="C30" s="2942">
        <v>26890</v>
      </c>
      <c r="D30" s="2942">
        <v>26770</v>
      </c>
      <c r="E30" s="2942">
        <v>25700</v>
      </c>
      <c r="F30" s="2942">
        <v>8180</v>
      </c>
      <c r="G30" s="2958">
        <v>18740</v>
      </c>
      <c r="L30" s="2946" t="s">
        <v>2958</v>
      </c>
      <c r="M30" s="2946" t="s">
        <v>2959</v>
      </c>
      <c r="N30" s="2946" t="s">
        <v>2960</v>
      </c>
      <c r="O30" s="2946" t="s">
        <v>2961</v>
      </c>
      <c r="P30" s="2946" t="s">
        <v>2962</v>
      </c>
      <c r="Q30" s="2946" t="s">
        <v>2963</v>
      </c>
      <c r="R30" s="2946" t="s">
        <v>2964</v>
      </c>
    </row>
    <row r="31" spans="1:19" ht="14.25" customHeight="1">
      <c r="A31" s="2946" t="s">
        <v>296</v>
      </c>
      <c r="B31" s="2947" t="s">
        <v>129</v>
      </c>
      <c r="C31" s="2946">
        <v>24550</v>
      </c>
      <c r="D31" s="2946">
        <v>23990</v>
      </c>
      <c r="E31" s="2946">
        <v>22930</v>
      </c>
      <c r="F31" s="2946">
        <v>7470</v>
      </c>
      <c r="G31" s="2959">
        <v>16790</v>
      </c>
      <c r="L31" s="2946" t="s">
        <v>2965</v>
      </c>
      <c r="M31" s="2946" t="s">
        <v>2966</v>
      </c>
      <c r="N31" s="2946" t="s">
        <v>2967</v>
      </c>
      <c r="O31" s="2946" t="s">
        <v>2968</v>
      </c>
      <c r="P31" s="2946" t="s">
        <v>2969</v>
      </c>
      <c r="Q31" s="2946" t="s">
        <v>2970</v>
      </c>
      <c r="R31" s="2946" t="s">
        <v>2971</v>
      </c>
    </row>
    <row r="32" spans="1:19" ht="14.25" customHeight="1" thickBot="1">
      <c r="A32" s="2946" t="s">
        <v>296</v>
      </c>
      <c r="B32" s="2947" t="s">
        <v>138</v>
      </c>
      <c r="C32" s="2946">
        <v>27210</v>
      </c>
      <c r="D32" s="2946">
        <v>23240</v>
      </c>
      <c r="E32" s="2946">
        <v>23260</v>
      </c>
      <c r="F32" s="2946">
        <v>7130</v>
      </c>
      <c r="G32" s="2959">
        <v>16270</v>
      </c>
      <c r="L32" s="2946" t="s">
        <v>2972</v>
      </c>
      <c r="M32" s="2946" t="s">
        <v>2973</v>
      </c>
      <c r="N32" s="2946" t="s">
        <v>300</v>
      </c>
      <c r="O32" s="2946" t="s">
        <v>2974</v>
      </c>
      <c r="P32" s="2946" t="s">
        <v>299</v>
      </c>
      <c r="Q32" s="2946" t="s">
        <v>2975</v>
      </c>
      <c r="R32" s="2953" t="s">
        <v>2976</v>
      </c>
    </row>
    <row r="33" spans="1:17" ht="14.25" customHeight="1" thickBot="1">
      <c r="A33" s="2946" t="s">
        <v>296</v>
      </c>
      <c r="B33" s="2947" t="s">
        <v>147</v>
      </c>
      <c r="C33" s="2946">
        <v>27300</v>
      </c>
      <c r="D33" s="2946">
        <v>22980</v>
      </c>
      <c r="E33" s="2946">
        <v>24260</v>
      </c>
      <c r="F33" s="2946">
        <v>5860</v>
      </c>
      <c r="G33" s="2959">
        <v>16090</v>
      </c>
      <c r="L33" s="2953" t="s">
        <v>2977</v>
      </c>
      <c r="M33" s="2946" t="s">
        <v>2978</v>
      </c>
      <c r="N33" s="2946" t="s">
        <v>301</v>
      </c>
      <c r="O33" s="2946" t="s">
        <v>2979</v>
      </c>
      <c r="P33" s="2946" t="s">
        <v>2980</v>
      </c>
      <c r="Q33" s="2946" t="s">
        <v>2981</v>
      </c>
    </row>
    <row r="34" spans="1:17" ht="14.25" customHeight="1">
      <c r="A34" s="2946" t="s">
        <v>296</v>
      </c>
      <c r="B34" s="2947" t="s">
        <v>156</v>
      </c>
      <c r="C34" s="2946">
        <v>23090</v>
      </c>
      <c r="D34" s="2946">
        <v>23390</v>
      </c>
      <c r="E34" s="2946">
        <v>23510</v>
      </c>
      <c r="F34" s="2946">
        <v>6700</v>
      </c>
      <c r="G34" s="2959">
        <v>16370</v>
      </c>
      <c r="M34" s="2946" t="s">
        <v>2982</v>
      </c>
      <c r="N34" s="2946" t="s">
        <v>302</v>
      </c>
      <c r="O34" s="2946" t="s">
        <v>2983</v>
      </c>
      <c r="P34" s="2946" t="s">
        <v>2984</v>
      </c>
      <c r="Q34" s="2946" t="s">
        <v>2985</v>
      </c>
    </row>
    <row r="35" spans="1:17" ht="14.25" customHeight="1">
      <c r="A35" s="2946" t="s">
        <v>296</v>
      </c>
      <c r="B35" s="2947" t="s">
        <v>163</v>
      </c>
      <c r="C35" s="2946">
        <v>27270</v>
      </c>
      <c r="D35" s="2946">
        <v>24270</v>
      </c>
      <c r="E35" s="2946">
        <v>24950</v>
      </c>
      <c r="F35" s="2946">
        <v>6600</v>
      </c>
      <c r="G35" s="2959">
        <v>16990</v>
      </c>
      <c r="M35" s="2946" t="s">
        <v>2986</v>
      </c>
      <c r="N35" s="2946" t="s">
        <v>2987</v>
      </c>
      <c r="O35" s="2946" t="s">
        <v>2988</v>
      </c>
      <c r="P35" s="2946" t="s">
        <v>2989</v>
      </c>
      <c r="Q35" s="2946" t="s">
        <v>2990</v>
      </c>
    </row>
    <row r="36" spans="1:17" ht="14.25" customHeight="1">
      <c r="A36" s="2946" t="s">
        <v>296</v>
      </c>
      <c r="B36" s="2947" t="s">
        <v>169</v>
      </c>
      <c r="C36" s="2946">
        <v>23490</v>
      </c>
      <c r="D36" s="2946">
        <v>23020</v>
      </c>
      <c r="E36" s="2946">
        <v>25230</v>
      </c>
      <c r="F36" s="2946">
        <v>6780</v>
      </c>
      <c r="G36" s="2959">
        <v>16120</v>
      </c>
      <c r="M36" s="2946" t="s">
        <v>2991</v>
      </c>
      <c r="N36" s="2946" t="s">
        <v>2992</v>
      </c>
      <c r="O36" s="2946" t="s">
        <v>2993</v>
      </c>
      <c r="P36" s="2946" t="s">
        <v>2994</v>
      </c>
      <c r="Q36" s="2946" t="s">
        <v>2995</v>
      </c>
    </row>
    <row r="37" spans="1:17" ht="14.25" customHeight="1">
      <c r="A37" s="2946" t="s">
        <v>296</v>
      </c>
      <c r="B37" s="2947" t="s">
        <v>176</v>
      </c>
      <c r="C37" s="2946">
        <v>24380</v>
      </c>
      <c r="D37" s="2946">
        <v>22240</v>
      </c>
      <c r="E37" s="2946">
        <v>25980</v>
      </c>
      <c r="F37" s="2946">
        <v>8160</v>
      </c>
      <c r="G37" s="2959">
        <v>15570</v>
      </c>
      <c r="M37" s="2946" t="s">
        <v>2996</v>
      </c>
      <c r="N37" s="2946" t="s">
        <v>2997</v>
      </c>
      <c r="O37" s="2946" t="s">
        <v>2998</v>
      </c>
      <c r="P37" s="2946" t="s">
        <v>2999</v>
      </c>
      <c r="Q37" s="2946" t="s">
        <v>3000</v>
      </c>
    </row>
    <row r="38" spans="1:17" ht="14.25" customHeight="1">
      <c r="A38" s="2946" t="s">
        <v>296</v>
      </c>
      <c r="B38" s="2947" t="s">
        <v>186</v>
      </c>
      <c r="C38" s="2946">
        <v>23120</v>
      </c>
      <c r="D38" s="2946">
        <v>24630</v>
      </c>
      <c r="E38" s="2946">
        <v>25030</v>
      </c>
      <c r="F38" s="2946">
        <v>7710</v>
      </c>
      <c r="G38" s="2959">
        <v>17240</v>
      </c>
      <c r="M38" s="2946" t="s">
        <v>3001</v>
      </c>
      <c r="N38" s="2946" t="s">
        <v>3002</v>
      </c>
      <c r="O38" s="2946" t="s">
        <v>3003</v>
      </c>
      <c r="P38" s="2946" t="s">
        <v>3004</v>
      </c>
      <c r="Q38" s="2946" t="s">
        <v>3005</v>
      </c>
    </row>
    <row r="39" spans="1:17" ht="14.25" customHeight="1">
      <c r="A39" s="2946" t="s">
        <v>296</v>
      </c>
      <c r="B39" s="2947" t="s">
        <v>195</v>
      </c>
      <c r="C39" s="2946">
        <v>22330</v>
      </c>
      <c r="D39" s="2946">
        <v>21140</v>
      </c>
      <c r="E39" s="2946">
        <v>23970</v>
      </c>
      <c r="F39" s="2946">
        <v>7940</v>
      </c>
      <c r="G39" s="2959">
        <v>14790</v>
      </c>
      <c r="M39" s="2946" t="s">
        <v>3006</v>
      </c>
      <c r="N39" s="2946" t="s">
        <v>3007</v>
      </c>
      <c r="O39" s="2946" t="s">
        <v>3008</v>
      </c>
      <c r="P39" s="2946" t="s">
        <v>3009</v>
      </c>
      <c r="Q39" s="2946" t="s">
        <v>3010</v>
      </c>
    </row>
    <row r="40" spans="1:17" ht="14.25" customHeight="1">
      <c r="A40" s="2946" t="s">
        <v>296</v>
      </c>
      <c r="B40" s="2947" t="s">
        <v>202</v>
      </c>
      <c r="C40" s="2946">
        <v>24740</v>
      </c>
      <c r="D40" s="2946">
        <v>24690</v>
      </c>
      <c r="E40" s="2946">
        <v>22610</v>
      </c>
      <c r="F40" s="2946"/>
      <c r="G40" s="2959">
        <v>17280</v>
      </c>
      <c r="M40" s="2946" t="s">
        <v>3011</v>
      </c>
      <c r="N40" s="2946" t="s">
        <v>3012</v>
      </c>
      <c r="O40" s="2946" t="s">
        <v>3013</v>
      </c>
      <c r="P40" s="2946" t="s">
        <v>3014</v>
      </c>
      <c r="Q40" s="2946" t="s">
        <v>3015</v>
      </c>
    </row>
    <row r="41" spans="1:17" ht="14.25" customHeight="1" thickBot="1">
      <c r="A41" s="2946" t="s">
        <v>296</v>
      </c>
      <c r="B41" s="2947" t="s">
        <v>209</v>
      </c>
      <c r="C41" s="2946">
        <v>21220</v>
      </c>
      <c r="D41" s="2946">
        <v>21120</v>
      </c>
      <c r="E41" s="2946">
        <v>22590</v>
      </c>
      <c r="F41" s="2946"/>
      <c r="G41" s="2959">
        <v>14780</v>
      </c>
      <c r="M41" s="2953" t="s">
        <v>3016</v>
      </c>
      <c r="N41" s="2946" t="s">
        <v>3017</v>
      </c>
      <c r="O41" s="2946" t="s">
        <v>3018</v>
      </c>
      <c r="P41" s="2946" t="s">
        <v>3019</v>
      </c>
      <c r="Q41" s="2946" t="s">
        <v>3020</v>
      </c>
    </row>
    <row r="42" spans="1:17" ht="14.25" customHeight="1">
      <c r="A42" s="2946" t="s">
        <v>296</v>
      </c>
      <c r="B42" s="2947" t="s">
        <v>215</v>
      </c>
      <c r="C42" s="2946">
        <v>24800</v>
      </c>
      <c r="D42" s="2946">
        <v>22280</v>
      </c>
      <c r="E42" s="2946">
        <v>24350</v>
      </c>
      <c r="F42" s="2946"/>
      <c r="G42" s="2959">
        <v>15590</v>
      </c>
      <c r="N42" s="2946" t="s">
        <v>3021</v>
      </c>
      <c r="O42" s="2946" t="s">
        <v>3022</v>
      </c>
      <c r="P42" s="2946" t="s">
        <v>3023</v>
      </c>
      <c r="Q42" s="2946" t="s">
        <v>3024</v>
      </c>
    </row>
    <row r="43" spans="1:17" ht="14.25" customHeight="1">
      <c r="A43" s="2946" t="s">
        <v>3025</v>
      </c>
      <c r="B43" s="2947" t="s">
        <v>223</v>
      </c>
      <c r="C43" s="2946">
        <v>21210</v>
      </c>
      <c r="D43" s="2946">
        <v>21160</v>
      </c>
      <c r="E43" s="2946">
        <v>22650</v>
      </c>
      <c r="F43" s="2946"/>
      <c r="G43" s="2959">
        <v>14800</v>
      </c>
      <c r="N43" s="2946" t="s">
        <v>3026</v>
      </c>
      <c r="O43" s="2946" t="s">
        <v>3027</v>
      </c>
      <c r="P43" s="2946" t="s">
        <v>3028</v>
      </c>
      <c r="Q43" s="2946" t="s">
        <v>3029</v>
      </c>
    </row>
    <row r="44" spans="1:17" ht="14.25" customHeight="1" thickBot="1">
      <c r="A44" s="2946" t="s">
        <v>296</v>
      </c>
      <c r="B44" s="2947" t="s">
        <v>231</v>
      </c>
      <c r="C44" s="2946">
        <v>22370</v>
      </c>
      <c r="D44" s="2946">
        <v>23140</v>
      </c>
      <c r="E44" s="2946">
        <v>25090</v>
      </c>
      <c r="F44" s="2946"/>
      <c r="G44" s="2959">
        <v>16190</v>
      </c>
      <c r="N44" s="2946" t="s">
        <v>3030</v>
      </c>
      <c r="O44" s="2946" t="s">
        <v>3031</v>
      </c>
      <c r="P44" s="2953" t="s">
        <v>3032</v>
      </c>
      <c r="Q44" s="2946" t="s">
        <v>3033</v>
      </c>
    </row>
    <row r="45" spans="1:17" ht="14.25" customHeight="1" thickBot="1">
      <c r="A45" s="2946" t="s">
        <v>296</v>
      </c>
      <c r="B45" s="2947" t="s">
        <v>236</v>
      </c>
      <c r="C45" s="2946">
        <v>21240</v>
      </c>
      <c r="D45" s="2946">
        <v>27050</v>
      </c>
      <c r="E45" s="2946">
        <v>28000</v>
      </c>
      <c r="F45" s="2946"/>
      <c r="G45" s="2959">
        <v>18940</v>
      </c>
      <c r="N45" s="2946" t="s">
        <v>3034</v>
      </c>
      <c r="O45" s="2953" t="s">
        <v>3035</v>
      </c>
      <c r="Q45" s="2946" t="s">
        <v>3036</v>
      </c>
    </row>
    <row r="46" spans="1:17" ht="14.25" customHeight="1">
      <c r="A46" s="2946" t="s">
        <v>296</v>
      </c>
      <c r="B46" s="2947" t="s">
        <v>245</v>
      </c>
      <c r="C46" s="2946">
        <v>23240</v>
      </c>
      <c r="D46" s="2946">
        <v>23000</v>
      </c>
      <c r="E46" s="2946">
        <v>24980</v>
      </c>
      <c r="F46" s="2946"/>
      <c r="G46" s="2959">
        <v>16100</v>
      </c>
      <c r="N46" s="2946" t="s">
        <v>3037</v>
      </c>
      <c r="Q46" s="2946" t="s">
        <v>3038</v>
      </c>
    </row>
    <row r="47" spans="1:17" ht="14.25" customHeight="1">
      <c r="A47" s="2946" t="s">
        <v>296</v>
      </c>
      <c r="B47" s="2947" t="s">
        <v>252</v>
      </c>
      <c r="C47" s="2946">
        <v>27150</v>
      </c>
      <c r="D47" s="2946">
        <v>23310</v>
      </c>
      <c r="E47" s="2946">
        <v>25150</v>
      </c>
      <c r="F47" s="2946"/>
      <c r="G47" s="2959">
        <v>16310</v>
      </c>
      <c r="N47" s="2946" t="s">
        <v>3039</v>
      </c>
      <c r="Q47" s="2946" t="s">
        <v>3040</v>
      </c>
    </row>
    <row r="48" spans="1:17" ht="14.25" customHeight="1">
      <c r="A48" s="2946" t="s">
        <v>296</v>
      </c>
      <c r="B48" s="2947" t="s">
        <v>260</v>
      </c>
      <c r="C48" s="2946">
        <v>23100</v>
      </c>
      <c r="D48" s="2946">
        <v>21110</v>
      </c>
      <c r="E48" s="2946">
        <v>23080</v>
      </c>
      <c r="F48" s="2946"/>
      <c r="G48" s="2959">
        <v>14780</v>
      </c>
      <c r="N48" s="2946" t="s">
        <v>3041</v>
      </c>
      <c r="Q48" s="2946" t="s">
        <v>3042</v>
      </c>
    </row>
    <row r="49" spans="1:17" ht="14.25" customHeight="1">
      <c r="A49" s="2946" t="s">
        <v>296</v>
      </c>
      <c r="B49" s="2947" t="s">
        <v>267</v>
      </c>
      <c r="C49" s="2946">
        <v>23400</v>
      </c>
      <c r="D49" s="2946">
        <v>22920</v>
      </c>
      <c r="E49" s="2946">
        <v>24900</v>
      </c>
      <c r="F49" s="2946"/>
      <c r="G49" s="2959">
        <v>16040</v>
      </c>
      <c r="N49" s="2946" t="s">
        <v>3043</v>
      </c>
      <c r="Q49" s="2946" t="s">
        <v>3044</v>
      </c>
    </row>
    <row r="50" spans="1:17" ht="14.25" customHeight="1">
      <c r="A50" s="2946" t="s">
        <v>296</v>
      </c>
      <c r="B50" s="2947" t="s">
        <v>2921</v>
      </c>
      <c r="C50" s="2946">
        <v>21200</v>
      </c>
      <c r="D50" s="2946">
        <v>26540</v>
      </c>
      <c r="E50" s="2946">
        <v>23200</v>
      </c>
      <c r="F50" s="2946"/>
      <c r="G50" s="2959">
        <v>18580</v>
      </c>
      <c r="N50" s="2946" t="s">
        <v>3045</v>
      </c>
      <c r="Q50" s="2947" t="s">
        <v>3046</v>
      </c>
    </row>
    <row r="51" spans="1:17" ht="14.25" customHeight="1" thickBot="1">
      <c r="A51" s="2946" t="s">
        <v>296</v>
      </c>
      <c r="B51" s="2947" t="s">
        <v>2923</v>
      </c>
      <c r="C51" s="2946">
        <v>23000</v>
      </c>
      <c r="D51" s="2946">
        <v>23460</v>
      </c>
      <c r="E51" s="2946">
        <v>25290</v>
      </c>
      <c r="F51" s="2946"/>
      <c r="G51" s="2959">
        <v>16420</v>
      </c>
      <c r="N51" s="2946" t="s">
        <v>3047</v>
      </c>
      <c r="Q51" s="2953" t="s">
        <v>3048</v>
      </c>
    </row>
    <row r="52" spans="1:17" ht="14.25" customHeight="1">
      <c r="A52" s="2946" t="s">
        <v>296</v>
      </c>
      <c r="B52" s="2947" t="s">
        <v>2927</v>
      </c>
      <c r="C52" s="2946">
        <v>26660</v>
      </c>
      <c r="D52" s="2946">
        <v>22350</v>
      </c>
      <c r="E52" s="2946">
        <v>22920</v>
      </c>
      <c r="F52" s="2946"/>
      <c r="G52" s="2959">
        <v>15640</v>
      </c>
      <c r="N52" s="2946" t="s">
        <v>3049</v>
      </c>
    </row>
    <row r="53" spans="1:17" ht="14.25" customHeight="1">
      <c r="A53" s="2946" t="s">
        <v>296</v>
      </c>
      <c r="B53" s="2947" t="s">
        <v>2932</v>
      </c>
      <c r="C53" s="2946">
        <v>23580</v>
      </c>
      <c r="D53" s="2946"/>
      <c r="E53" s="2946">
        <v>24280</v>
      </c>
      <c r="F53" s="2946"/>
      <c r="G53" s="2959"/>
      <c r="N53" s="2946" t="s">
        <v>3050</v>
      </c>
    </row>
    <row r="54" spans="1:17" ht="14.25" customHeight="1" thickBot="1">
      <c r="A54" s="2960" t="s">
        <v>296</v>
      </c>
      <c r="B54" s="2952" t="s">
        <v>2935</v>
      </c>
      <c r="C54" s="2953">
        <v>22460</v>
      </c>
      <c r="D54" s="2953"/>
      <c r="E54" s="2953"/>
      <c r="F54" s="2953"/>
      <c r="G54" s="2961"/>
      <c r="N54" s="2946" t="s">
        <v>3051</v>
      </c>
    </row>
    <row r="55" spans="1:17" ht="14.25" customHeight="1">
      <c r="A55" s="2951" t="s">
        <v>110</v>
      </c>
      <c r="B55" s="2942" t="s">
        <v>3052</v>
      </c>
      <c r="C55" s="2946">
        <v>21970</v>
      </c>
      <c r="D55" s="2946">
        <v>20370</v>
      </c>
      <c r="E55" s="2946">
        <v>20180</v>
      </c>
      <c r="F55" s="2946">
        <v>5730</v>
      </c>
      <c r="G55" s="2946">
        <v>13820</v>
      </c>
      <c r="N55" s="2946" t="s">
        <v>3053</v>
      </c>
    </row>
    <row r="56" spans="1:17" ht="14.25" customHeight="1">
      <c r="A56" s="2946" t="s">
        <v>110</v>
      </c>
      <c r="B56" s="2946" t="s">
        <v>130</v>
      </c>
      <c r="C56" s="2946">
        <v>20470</v>
      </c>
      <c r="D56" s="2946">
        <v>20700</v>
      </c>
      <c r="E56" s="2946">
        <v>20380</v>
      </c>
      <c r="F56" s="2946">
        <v>4760</v>
      </c>
      <c r="G56" s="2946">
        <v>14050</v>
      </c>
      <c r="N56" s="2946" t="s">
        <v>3054</v>
      </c>
    </row>
    <row r="57" spans="1:17" ht="14.25" customHeight="1">
      <c r="A57" s="2946" t="s">
        <v>110</v>
      </c>
      <c r="B57" s="2946" t="s">
        <v>139</v>
      </c>
      <c r="C57" s="2946">
        <v>20790</v>
      </c>
      <c r="D57" s="2946">
        <v>21370</v>
      </c>
      <c r="E57" s="2946">
        <v>20890</v>
      </c>
      <c r="F57" s="2946">
        <v>4910</v>
      </c>
      <c r="G57" s="2946">
        <v>14510</v>
      </c>
      <c r="N57" s="2946" t="s">
        <v>3055</v>
      </c>
    </row>
    <row r="58" spans="1:17" ht="14.25" customHeight="1">
      <c r="A58" s="2946" t="s">
        <v>110</v>
      </c>
      <c r="B58" s="2946" t="s">
        <v>148</v>
      </c>
      <c r="C58" s="2946">
        <v>21460</v>
      </c>
      <c r="D58" s="2946">
        <v>20920</v>
      </c>
      <c r="E58" s="2946">
        <v>23410</v>
      </c>
      <c r="F58" s="2946">
        <v>5100</v>
      </c>
      <c r="G58" s="2946">
        <v>14200</v>
      </c>
      <c r="N58" s="2946" t="s">
        <v>3056</v>
      </c>
    </row>
    <row r="59" spans="1:17" ht="14.25" customHeight="1">
      <c r="A59" s="2946" t="s">
        <v>110</v>
      </c>
      <c r="B59" s="2946" t="s">
        <v>157</v>
      </c>
      <c r="C59" s="2946">
        <v>21000</v>
      </c>
      <c r="D59" s="2946">
        <v>21550</v>
      </c>
      <c r="E59" s="2946">
        <v>21150</v>
      </c>
      <c r="F59" s="2946">
        <v>5250</v>
      </c>
      <c r="G59" s="2946">
        <v>14630</v>
      </c>
      <c r="N59" s="2946" t="s">
        <v>3057</v>
      </c>
    </row>
    <row r="60" spans="1:17" ht="14.25" customHeight="1">
      <c r="A60" s="2946" t="s">
        <v>110</v>
      </c>
      <c r="B60" s="2946" t="s">
        <v>164</v>
      </c>
      <c r="C60" s="2946">
        <v>21640</v>
      </c>
      <c r="D60" s="2946">
        <v>21260</v>
      </c>
      <c r="E60" s="2946">
        <v>24040</v>
      </c>
      <c r="F60" s="2946">
        <v>4470</v>
      </c>
      <c r="G60" s="2946">
        <v>14430</v>
      </c>
      <c r="N60" s="2946" t="s">
        <v>3058</v>
      </c>
    </row>
    <row r="61" spans="1:17" ht="14.25" customHeight="1">
      <c r="A61" s="2946" t="s">
        <v>110</v>
      </c>
      <c r="B61" s="2946" t="s">
        <v>170</v>
      </c>
      <c r="C61" s="2946">
        <v>21330</v>
      </c>
      <c r="D61" s="2946">
        <v>18640</v>
      </c>
      <c r="E61" s="2946">
        <v>21190</v>
      </c>
      <c r="F61" s="2946">
        <v>4180</v>
      </c>
      <c r="G61" s="2946">
        <v>12650</v>
      </c>
      <c r="N61" s="2946" t="s">
        <v>3059</v>
      </c>
    </row>
    <row r="62" spans="1:17" ht="14.25" customHeight="1">
      <c r="A62" s="2946" t="s">
        <v>110</v>
      </c>
      <c r="B62" s="2946" t="s">
        <v>177</v>
      </c>
      <c r="C62" s="2946">
        <v>18710</v>
      </c>
      <c r="D62" s="2946">
        <v>19400</v>
      </c>
      <c r="E62" s="2946">
        <v>23750</v>
      </c>
      <c r="F62" s="2946">
        <v>4860</v>
      </c>
      <c r="G62" s="2946">
        <v>13170</v>
      </c>
      <c r="N62" s="2946" t="s">
        <v>3060</v>
      </c>
    </row>
    <row r="63" spans="1:17" ht="14.25" customHeight="1">
      <c r="A63" s="2946" t="s">
        <v>110</v>
      </c>
      <c r="B63" s="2946" t="s">
        <v>187</v>
      </c>
      <c r="C63" s="2946">
        <v>19480</v>
      </c>
      <c r="D63" s="2946">
        <v>16830</v>
      </c>
      <c r="E63" s="2946">
        <v>21590</v>
      </c>
      <c r="F63" s="2946">
        <v>4560</v>
      </c>
      <c r="G63" s="2946">
        <v>11420</v>
      </c>
      <c r="N63" s="2946" t="s">
        <v>3061</v>
      </c>
    </row>
    <row r="64" spans="1:17" ht="14.25" customHeight="1" thickBot="1">
      <c r="A64" s="2946" t="s">
        <v>110</v>
      </c>
      <c r="B64" s="2946" t="s">
        <v>196</v>
      </c>
      <c r="C64" s="2946">
        <v>16920</v>
      </c>
      <c r="D64" s="2946">
        <v>19190</v>
      </c>
      <c r="E64" s="2946">
        <v>22200</v>
      </c>
      <c r="F64" s="2946">
        <v>4390</v>
      </c>
      <c r="G64" s="2946">
        <v>13030</v>
      </c>
      <c r="N64" s="2953" t="s">
        <v>3062</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2933</v>
      </c>
      <c r="C78" s="2946">
        <v>19820</v>
      </c>
      <c r="D78" s="2946">
        <v>19780</v>
      </c>
      <c r="E78" s="2946">
        <v>18560</v>
      </c>
      <c r="F78" s="2946"/>
      <c r="G78" s="2946">
        <v>13430</v>
      </c>
    </row>
    <row r="79" spans="1:7" s="2780" customFormat="1" ht="14.25" customHeight="1">
      <c r="A79" s="2946" t="s">
        <v>110</v>
      </c>
      <c r="B79" s="2946" t="s">
        <v>2936</v>
      </c>
      <c r="C79" s="2946">
        <v>21660</v>
      </c>
      <c r="D79" s="2946">
        <v>18000</v>
      </c>
      <c r="E79" s="2946">
        <v>22570</v>
      </c>
      <c r="F79" s="2946"/>
      <c r="G79" s="2946">
        <v>12220</v>
      </c>
    </row>
    <row r="80" spans="1:7" s="2780" customFormat="1" ht="14.25" customHeight="1">
      <c r="A80" s="2946" t="s">
        <v>110</v>
      </c>
      <c r="B80" s="2946" t="s">
        <v>2940</v>
      </c>
      <c r="C80" s="2946">
        <v>19850</v>
      </c>
      <c r="D80" s="2946"/>
      <c r="E80" s="2946">
        <v>21700</v>
      </c>
      <c r="F80" s="2946"/>
      <c r="G80" s="2946"/>
    </row>
    <row r="81" spans="1:7" s="2780" customFormat="1" ht="14.25" customHeight="1">
      <c r="A81" s="2946" t="s">
        <v>110</v>
      </c>
      <c r="B81" s="2946" t="s">
        <v>2945</v>
      </c>
      <c r="C81" s="2946">
        <v>18080</v>
      </c>
      <c r="D81" s="2946"/>
      <c r="E81" s="2946">
        <v>20900</v>
      </c>
      <c r="F81" s="2946"/>
      <c r="G81" s="2946"/>
    </row>
    <row r="82" spans="1:7" s="2780" customFormat="1" ht="14.25" customHeight="1">
      <c r="A82" s="2946" t="s">
        <v>110</v>
      </c>
      <c r="B82" s="2946" t="s">
        <v>2952</v>
      </c>
      <c r="C82" s="2946"/>
      <c r="D82" s="2946"/>
      <c r="E82" s="2946">
        <v>20840</v>
      </c>
      <c r="F82" s="2946"/>
      <c r="G82" s="2946"/>
    </row>
    <row r="83" spans="1:7" s="2780" customFormat="1" ht="14.25" customHeight="1">
      <c r="A83" s="2946" t="s">
        <v>110</v>
      </c>
      <c r="B83" s="2946" t="s">
        <v>3063</v>
      </c>
      <c r="C83" s="2946"/>
      <c r="D83" s="2946"/>
      <c r="E83" s="2946"/>
      <c r="F83" s="2946">
        <v>4770</v>
      </c>
      <c r="G83" s="2946"/>
    </row>
    <row r="84" spans="1:7" s="2780" customFormat="1" ht="14.25" customHeight="1">
      <c r="A84" s="2946" t="s">
        <v>110</v>
      </c>
      <c r="B84" s="2946" t="s">
        <v>3064</v>
      </c>
      <c r="C84" s="2946"/>
      <c r="D84" s="2946"/>
      <c r="E84" s="2946"/>
      <c r="F84" s="2946">
        <v>4600</v>
      </c>
      <c r="G84" s="2946"/>
    </row>
    <row r="85" spans="1:7" s="2780" customFormat="1" ht="14.25" customHeight="1">
      <c r="A85" s="2946" t="s">
        <v>110</v>
      </c>
      <c r="B85" s="2946" t="s">
        <v>3065</v>
      </c>
      <c r="C85" s="2946"/>
      <c r="D85" s="2946"/>
      <c r="E85" s="2946"/>
      <c r="F85" s="2946">
        <v>4680</v>
      </c>
      <c r="G85" s="2946"/>
    </row>
    <row r="86" spans="1:7" s="2780" customFormat="1" ht="14.25" customHeight="1" thickBot="1">
      <c r="A86" s="2954" t="s">
        <v>110</v>
      </c>
      <c r="B86" s="2956" t="s">
        <v>3066</v>
      </c>
      <c r="C86" s="2957">
        <v>16610</v>
      </c>
      <c r="D86" s="2957">
        <v>16540</v>
      </c>
      <c r="E86" s="2957">
        <v>18850</v>
      </c>
      <c r="F86" s="2957"/>
      <c r="G86" s="2957">
        <v>11220</v>
      </c>
    </row>
    <row r="87" spans="1:7" s="2780" customFormat="1" ht="14.25" customHeight="1">
      <c r="A87" s="2951" t="s">
        <v>303</v>
      </c>
      <c r="B87" s="2942" t="s">
        <v>3067</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2946</v>
      </c>
      <c r="C113" s="2946">
        <v>15520</v>
      </c>
      <c r="D113" s="2946">
        <v>15450</v>
      </c>
      <c r="E113" s="2946"/>
      <c r="F113" s="2946"/>
      <c r="G113" s="2959">
        <v>10210</v>
      </c>
    </row>
    <row r="114" spans="1:7" s="2780" customFormat="1" ht="14.25" customHeight="1">
      <c r="A114" s="2946" t="s">
        <v>303</v>
      </c>
      <c r="B114" s="2946" t="s">
        <v>2953</v>
      </c>
      <c r="C114" s="2946">
        <v>13110</v>
      </c>
      <c r="D114" s="2946">
        <v>13050</v>
      </c>
      <c r="E114" s="2946"/>
      <c r="F114" s="2946"/>
      <c r="G114" s="2959">
        <v>8620</v>
      </c>
    </row>
    <row r="115" spans="1:7" s="2780" customFormat="1" ht="14.25" customHeight="1">
      <c r="A115" s="2946" t="s">
        <v>303</v>
      </c>
      <c r="B115" s="2946" t="s">
        <v>2959</v>
      </c>
      <c r="C115" s="2946">
        <v>12460</v>
      </c>
      <c r="D115" s="2946">
        <v>12390</v>
      </c>
      <c r="E115" s="2946"/>
      <c r="F115" s="2946"/>
      <c r="G115" s="2959">
        <v>8190</v>
      </c>
    </row>
    <row r="116" spans="1:7" s="2780" customFormat="1" ht="14.25" customHeight="1">
      <c r="A116" s="2946" t="s">
        <v>303</v>
      </c>
      <c r="B116" s="2946" t="s">
        <v>2966</v>
      </c>
      <c r="C116" s="2946">
        <v>13580</v>
      </c>
      <c r="D116" s="2946">
        <v>13520</v>
      </c>
      <c r="E116" s="2946"/>
      <c r="F116" s="2946"/>
      <c r="G116" s="2959">
        <v>8930</v>
      </c>
    </row>
    <row r="117" spans="1:7" s="2780" customFormat="1" ht="14.25" customHeight="1">
      <c r="A117" s="2946" t="s">
        <v>303</v>
      </c>
      <c r="B117" s="2946" t="s">
        <v>2973</v>
      </c>
      <c r="C117" s="2946">
        <v>17120</v>
      </c>
      <c r="D117" s="2946">
        <v>17040</v>
      </c>
      <c r="E117" s="2946"/>
      <c r="F117" s="2946"/>
      <c r="G117" s="2959">
        <v>11260</v>
      </c>
    </row>
    <row r="118" spans="1:7" s="2780" customFormat="1" ht="14.25" customHeight="1">
      <c r="A118" s="2946" t="s">
        <v>303</v>
      </c>
      <c r="B118" s="2946" t="s">
        <v>2978</v>
      </c>
      <c r="C118" s="2946">
        <v>14860</v>
      </c>
      <c r="D118" s="2946">
        <v>14790</v>
      </c>
      <c r="E118" s="2946"/>
      <c r="F118" s="2946"/>
      <c r="G118" s="2959">
        <v>9780</v>
      </c>
    </row>
    <row r="119" spans="1:7" s="2780" customFormat="1" ht="14.25" customHeight="1">
      <c r="A119" s="2946" t="s">
        <v>303</v>
      </c>
      <c r="B119" s="2946" t="s">
        <v>2982</v>
      </c>
      <c r="C119" s="2946">
        <v>16470</v>
      </c>
      <c r="D119" s="2946">
        <v>16400</v>
      </c>
      <c r="E119" s="2946"/>
      <c r="F119" s="2946"/>
      <c r="G119" s="2959">
        <v>10840</v>
      </c>
    </row>
    <row r="120" spans="1:7" s="2780" customFormat="1" ht="14.25" customHeight="1">
      <c r="A120" s="2946" t="s">
        <v>303</v>
      </c>
      <c r="B120" s="2946" t="s">
        <v>3068</v>
      </c>
      <c r="C120" s="2946"/>
      <c r="D120" s="2946"/>
      <c r="E120" s="2946"/>
      <c r="F120" s="2946">
        <v>4160</v>
      </c>
      <c r="G120" s="2959"/>
    </row>
    <row r="121" spans="1:7" s="2780" customFormat="1" ht="14.25" customHeight="1">
      <c r="A121" s="2946" t="s">
        <v>303</v>
      </c>
      <c r="B121" s="2946" t="s">
        <v>3069</v>
      </c>
      <c r="C121" s="2946"/>
      <c r="D121" s="2946"/>
      <c r="E121" s="2946"/>
      <c r="F121" s="2946">
        <v>3880</v>
      </c>
      <c r="G121" s="2959"/>
    </row>
    <row r="122" spans="1:7" s="2780" customFormat="1" ht="14.25" customHeight="1">
      <c r="A122" s="2946" t="s">
        <v>303</v>
      </c>
      <c r="B122" s="2946" t="s">
        <v>3070</v>
      </c>
      <c r="C122" s="2946">
        <v>13750</v>
      </c>
      <c r="D122" s="2946">
        <v>13680</v>
      </c>
      <c r="E122" s="2946">
        <v>16460</v>
      </c>
      <c r="F122" s="2946">
        <v>2880</v>
      </c>
      <c r="G122" s="2959">
        <v>9040</v>
      </c>
    </row>
    <row r="123" spans="1:7" s="2780" customFormat="1" ht="14.25" customHeight="1">
      <c r="A123" s="2946" t="s">
        <v>303</v>
      </c>
      <c r="B123" s="2946" t="s">
        <v>3001</v>
      </c>
      <c r="C123" s="2946">
        <v>13590</v>
      </c>
      <c r="D123" s="2946">
        <v>13520</v>
      </c>
      <c r="E123" s="2946">
        <v>16290</v>
      </c>
      <c r="F123" s="2946">
        <v>2790</v>
      </c>
      <c r="G123" s="2959">
        <v>8930</v>
      </c>
    </row>
    <row r="124" spans="1:7" s="2780" customFormat="1" ht="14.25" customHeight="1">
      <c r="A124" s="2946" t="s">
        <v>303</v>
      </c>
      <c r="B124" s="2946" t="s">
        <v>3006</v>
      </c>
      <c r="C124" s="2946">
        <v>13400</v>
      </c>
      <c r="D124" s="2946">
        <v>13320</v>
      </c>
      <c r="E124" s="2946">
        <v>16100</v>
      </c>
      <c r="F124" s="2946">
        <v>2320</v>
      </c>
      <c r="G124" s="2959">
        <v>8800</v>
      </c>
    </row>
    <row r="125" spans="1:7" s="2780" customFormat="1" ht="14.25" customHeight="1">
      <c r="A125" s="2946" t="s">
        <v>303</v>
      </c>
      <c r="B125" s="2946" t="s">
        <v>3011</v>
      </c>
      <c r="C125" s="2946">
        <v>12860</v>
      </c>
      <c r="D125" s="2946">
        <v>12790</v>
      </c>
      <c r="E125" s="2946">
        <v>15370</v>
      </c>
      <c r="F125" s="2946">
        <v>2280</v>
      </c>
      <c r="G125" s="2959">
        <v>8450</v>
      </c>
    </row>
    <row r="126" spans="1:7" s="2780" customFormat="1" ht="14.25" customHeight="1" thickBot="1">
      <c r="A126" s="2960" t="s">
        <v>303</v>
      </c>
      <c r="B126" s="2953" t="s">
        <v>3016</v>
      </c>
      <c r="C126" s="2953">
        <v>12960</v>
      </c>
      <c r="D126" s="2953">
        <v>12890</v>
      </c>
      <c r="E126" s="2953">
        <v>15530</v>
      </c>
      <c r="F126" s="2953">
        <v>2910</v>
      </c>
      <c r="G126" s="2961">
        <v>8520</v>
      </c>
    </row>
    <row r="127" spans="1:7" s="2780" customFormat="1" ht="14.25" customHeight="1">
      <c r="A127" s="2951" t="s">
        <v>29</v>
      </c>
      <c r="B127" s="2942" t="s">
        <v>3071</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3072</v>
      </c>
      <c r="C148" s="2946">
        <v>10370</v>
      </c>
      <c r="D148" s="2946">
        <v>10310</v>
      </c>
      <c r="E148" s="2946">
        <v>12970</v>
      </c>
      <c r="F148" s="2946"/>
      <c r="G148" s="2946">
        <v>6630</v>
      </c>
    </row>
    <row r="149" spans="1:7" s="2780" customFormat="1" ht="14.25" customHeight="1">
      <c r="A149" s="2946" t="s">
        <v>29</v>
      </c>
      <c r="B149" s="2946" t="s">
        <v>3073</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2947</v>
      </c>
      <c r="C153" s="2946">
        <v>10880</v>
      </c>
      <c r="D153" s="2946">
        <v>10820</v>
      </c>
      <c r="E153" s="2946">
        <v>13660</v>
      </c>
      <c r="F153" s="2946">
        <v>2260</v>
      </c>
      <c r="G153" s="2946">
        <v>6970</v>
      </c>
    </row>
    <row r="154" spans="1:7" s="2780" customFormat="1" ht="14.25" customHeight="1">
      <c r="A154" s="2946" t="s">
        <v>29</v>
      </c>
      <c r="B154" s="2946" t="s">
        <v>3074</v>
      </c>
      <c r="C154" s="2946">
        <v>11220</v>
      </c>
      <c r="D154" s="2946">
        <v>11160</v>
      </c>
      <c r="E154" s="2946">
        <v>14130</v>
      </c>
      <c r="F154" s="2946">
        <v>2230</v>
      </c>
      <c r="G154" s="2946">
        <v>7180</v>
      </c>
    </row>
    <row r="155" spans="1:7" s="2780" customFormat="1" ht="14.25" customHeight="1">
      <c r="A155" s="2946" t="s">
        <v>29</v>
      </c>
      <c r="B155" s="2946" t="s">
        <v>2960</v>
      </c>
      <c r="C155" s="2946">
        <v>10430</v>
      </c>
      <c r="D155" s="2946">
        <v>10380</v>
      </c>
      <c r="E155" s="2946">
        <v>13140</v>
      </c>
      <c r="F155" s="2946">
        <v>2080</v>
      </c>
      <c r="G155" s="2946">
        <v>6650</v>
      </c>
    </row>
    <row r="156" spans="1:7" s="2780" customFormat="1" ht="14.25" customHeight="1">
      <c r="A156" s="2946" t="s">
        <v>29</v>
      </c>
      <c r="B156" s="2946" t="s">
        <v>3075</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3076</v>
      </c>
      <c r="C160" s="2946">
        <v>11180</v>
      </c>
      <c r="D160" s="2946">
        <v>11140</v>
      </c>
      <c r="E160" s="2946">
        <v>14050</v>
      </c>
      <c r="F160" s="2946">
        <v>2270</v>
      </c>
      <c r="G160" s="2946">
        <v>7170</v>
      </c>
    </row>
    <row r="161" spans="1:7" s="2780" customFormat="1" ht="14.25" customHeight="1">
      <c r="A161" s="2946" t="s">
        <v>29</v>
      </c>
      <c r="B161" s="2946" t="s">
        <v>2992</v>
      </c>
      <c r="C161" s="2946">
        <v>11160</v>
      </c>
      <c r="D161" s="2946">
        <v>11120</v>
      </c>
      <c r="E161" s="2946">
        <v>14020</v>
      </c>
      <c r="F161" s="2946">
        <v>2150</v>
      </c>
      <c r="G161" s="2946">
        <v>7160</v>
      </c>
    </row>
    <row r="162" spans="1:7" s="2780" customFormat="1" ht="14.25" customHeight="1">
      <c r="A162" s="2946" t="s">
        <v>29</v>
      </c>
      <c r="B162" s="2946" t="s">
        <v>2997</v>
      </c>
      <c r="C162" s="2946">
        <v>9620</v>
      </c>
      <c r="D162" s="2946">
        <v>9570</v>
      </c>
      <c r="E162" s="2946">
        <v>12320</v>
      </c>
      <c r="F162" s="2946">
        <v>2010</v>
      </c>
      <c r="G162" s="2946">
        <v>6160</v>
      </c>
    </row>
    <row r="163" spans="1:7" s="2780" customFormat="1" ht="14.25" customHeight="1">
      <c r="A163" s="2946" t="s">
        <v>29</v>
      </c>
      <c r="B163" s="2946" t="s">
        <v>3002</v>
      </c>
      <c r="C163" s="2946">
        <v>9320</v>
      </c>
      <c r="D163" s="2946">
        <v>9270</v>
      </c>
      <c r="E163" s="2946">
        <v>11790</v>
      </c>
      <c r="F163" s="2946">
        <v>1920</v>
      </c>
      <c r="G163" s="2946">
        <v>5960</v>
      </c>
    </row>
    <row r="164" spans="1:7" s="2780" customFormat="1" ht="14.25" customHeight="1">
      <c r="A164" s="2946" t="s">
        <v>29</v>
      </c>
      <c r="B164" s="2946" t="s">
        <v>3007</v>
      </c>
      <c r="C164" s="2946"/>
      <c r="D164" s="2946"/>
      <c r="E164" s="2946"/>
      <c r="F164" s="2946">
        <v>1980</v>
      </c>
      <c r="G164" s="2946"/>
    </row>
    <row r="165" spans="1:7" s="2780" customFormat="1" ht="14.25" customHeight="1">
      <c r="A165" s="2946" t="s">
        <v>29</v>
      </c>
      <c r="B165" s="2946" t="s">
        <v>3077</v>
      </c>
      <c r="C165" s="2946">
        <v>11060</v>
      </c>
      <c r="D165" s="2946">
        <v>11030</v>
      </c>
      <c r="E165" s="2946">
        <v>13850</v>
      </c>
      <c r="F165" s="2946">
        <v>2170</v>
      </c>
      <c r="G165" s="2946">
        <v>7090</v>
      </c>
    </row>
    <row r="166" spans="1:7" s="2780" customFormat="1" ht="14.25" customHeight="1">
      <c r="A166" s="2946" t="s">
        <v>29</v>
      </c>
      <c r="B166" s="2946" t="s">
        <v>3017</v>
      </c>
      <c r="C166" s="2946">
        <v>11050</v>
      </c>
      <c r="D166" s="2946">
        <v>11010</v>
      </c>
      <c r="E166" s="2946">
        <v>13920</v>
      </c>
      <c r="F166" s="2946">
        <v>2140</v>
      </c>
      <c r="G166" s="2946">
        <v>7080</v>
      </c>
    </row>
    <row r="167" spans="1:7" s="2780" customFormat="1" ht="14.25" customHeight="1">
      <c r="A167" s="2946" t="s">
        <v>29</v>
      </c>
      <c r="B167" s="2946" t="s">
        <v>3021</v>
      </c>
      <c r="C167" s="2946">
        <v>10930</v>
      </c>
      <c r="D167" s="2946">
        <v>10890</v>
      </c>
      <c r="E167" s="2946">
        <v>13790</v>
      </c>
      <c r="F167" s="2946">
        <v>2010</v>
      </c>
      <c r="G167" s="2946">
        <v>7000</v>
      </c>
    </row>
    <row r="168" spans="1:7" s="2780" customFormat="1" ht="14.25" customHeight="1">
      <c r="A168" s="2946" t="s">
        <v>29</v>
      </c>
      <c r="B168" s="2946" t="s">
        <v>3026</v>
      </c>
      <c r="C168" s="2946">
        <v>9420</v>
      </c>
      <c r="D168" s="2946">
        <v>9380</v>
      </c>
      <c r="E168" s="2946">
        <v>11970</v>
      </c>
      <c r="F168" s="2946"/>
      <c r="G168" s="2946">
        <v>6040</v>
      </c>
    </row>
    <row r="169" spans="1:7" s="2780" customFormat="1" ht="14.25" customHeight="1">
      <c r="A169" s="2946" t="s">
        <v>29</v>
      </c>
      <c r="B169" s="2946" t="s">
        <v>3078</v>
      </c>
      <c r="C169" s="2946"/>
      <c r="D169" s="2946"/>
      <c r="E169" s="2946"/>
      <c r="F169" s="2946">
        <v>2880</v>
      </c>
      <c r="G169" s="2946"/>
    </row>
    <row r="170" spans="1:7" s="2780" customFormat="1" ht="14.25" customHeight="1">
      <c r="A170" s="2946" t="s">
        <v>29</v>
      </c>
      <c r="B170" s="2946" t="s">
        <v>3034</v>
      </c>
      <c r="C170" s="2946"/>
      <c r="D170" s="2946"/>
      <c r="E170" s="2946"/>
      <c r="F170" s="2946">
        <v>2880</v>
      </c>
      <c r="G170" s="2946"/>
    </row>
    <row r="171" spans="1:7" s="2780" customFormat="1" ht="14.25" customHeight="1">
      <c r="A171" s="2946" t="s">
        <v>29</v>
      </c>
      <c r="B171" s="2946" t="s">
        <v>3037</v>
      </c>
      <c r="C171" s="2946"/>
      <c r="D171" s="2946"/>
      <c r="E171" s="2946"/>
      <c r="F171" s="2946">
        <v>2880</v>
      </c>
      <c r="G171" s="2946"/>
    </row>
    <row r="172" spans="1:7" s="2780" customFormat="1" ht="14.25" customHeight="1">
      <c r="A172" s="2946" t="s">
        <v>29</v>
      </c>
      <c r="B172" s="2946" t="s">
        <v>3039</v>
      </c>
      <c r="C172" s="2946"/>
      <c r="D172" s="2946"/>
      <c r="E172" s="2946"/>
      <c r="F172" s="2946">
        <v>2880</v>
      </c>
      <c r="G172" s="2946"/>
    </row>
    <row r="173" spans="1:7" s="2780" customFormat="1" ht="14.25" customHeight="1">
      <c r="A173" s="2946" t="s">
        <v>29</v>
      </c>
      <c r="B173" s="2946" t="s">
        <v>3041</v>
      </c>
      <c r="C173" s="2946"/>
      <c r="D173" s="2946"/>
      <c r="E173" s="2946"/>
      <c r="F173" s="2946">
        <v>2150</v>
      </c>
      <c r="G173" s="2946"/>
    </row>
    <row r="174" spans="1:7" s="2780" customFormat="1" ht="14.25" customHeight="1">
      <c r="A174" s="2946" t="s">
        <v>29</v>
      </c>
      <c r="B174" s="2946" t="s">
        <v>3043</v>
      </c>
      <c r="C174" s="2946"/>
      <c r="D174" s="2946"/>
      <c r="E174" s="2946"/>
      <c r="F174" s="2946">
        <v>2030</v>
      </c>
      <c r="G174" s="2946"/>
    </row>
    <row r="175" spans="1:7" s="2780" customFormat="1" ht="14.25" customHeight="1">
      <c r="A175" s="2946" t="s">
        <v>29</v>
      </c>
      <c r="B175" s="2946" t="s">
        <v>3045</v>
      </c>
      <c r="C175" s="2946"/>
      <c r="D175" s="2946"/>
      <c r="E175" s="2946"/>
      <c r="F175" s="2946">
        <v>2780</v>
      </c>
      <c r="G175" s="2946"/>
    </row>
    <row r="176" spans="1:7" s="2780" customFormat="1" ht="14.25" customHeight="1">
      <c r="A176" s="2946" t="s">
        <v>29</v>
      </c>
      <c r="B176" s="2946" t="s">
        <v>3047</v>
      </c>
      <c r="C176" s="2946"/>
      <c r="D176" s="2946"/>
      <c r="E176" s="2946"/>
      <c r="F176" s="2946">
        <v>2780</v>
      </c>
      <c r="G176" s="2946"/>
    </row>
    <row r="177" spans="1:7" s="2780" customFormat="1" ht="14.25" customHeight="1">
      <c r="A177" s="2946" t="s">
        <v>29</v>
      </c>
      <c r="B177" s="2946" t="s">
        <v>3079</v>
      </c>
      <c r="C177" s="2946"/>
      <c r="D177" s="2946"/>
      <c r="E177" s="2946"/>
      <c r="F177" s="2946">
        <v>2780</v>
      </c>
      <c r="G177" s="2946"/>
    </row>
    <row r="178" spans="1:7" s="2780" customFormat="1" ht="14.25" customHeight="1">
      <c r="A178" s="2946" t="s">
        <v>29</v>
      </c>
      <c r="B178" s="2946" t="s">
        <v>3080</v>
      </c>
      <c r="C178" s="2946"/>
      <c r="D178" s="2946"/>
      <c r="E178" s="2946"/>
      <c r="F178" s="2946">
        <v>2060</v>
      </c>
      <c r="G178" s="2946"/>
    </row>
    <row r="179" spans="1:7" s="2780" customFormat="1" ht="14.25" customHeight="1">
      <c r="A179" s="2946" t="s">
        <v>29</v>
      </c>
      <c r="B179" s="2946" t="s">
        <v>3081</v>
      </c>
      <c r="C179" s="2946"/>
      <c r="D179" s="2946"/>
      <c r="E179" s="2946"/>
      <c r="F179" s="2946">
        <v>2120</v>
      </c>
      <c r="G179" s="2946"/>
    </row>
    <row r="180" spans="1:7" s="2780" customFormat="1" ht="14.25" customHeight="1">
      <c r="A180" s="2946" t="s">
        <v>29</v>
      </c>
      <c r="B180" s="2946" t="s">
        <v>3053</v>
      </c>
      <c r="C180" s="2946"/>
      <c r="D180" s="2946"/>
      <c r="E180" s="2946"/>
      <c r="F180" s="2946">
        <v>2340</v>
      </c>
      <c r="G180" s="2946"/>
    </row>
    <row r="181" spans="1:7" s="2780" customFormat="1" ht="14.25" customHeight="1">
      <c r="A181" s="2946" t="s">
        <v>29</v>
      </c>
      <c r="B181" s="2946" t="s">
        <v>3054</v>
      </c>
      <c r="C181" s="2946"/>
      <c r="D181" s="2946"/>
      <c r="E181" s="2946"/>
      <c r="F181" s="2946">
        <v>2340</v>
      </c>
      <c r="G181" s="2946"/>
    </row>
    <row r="182" spans="1:7" s="2780" customFormat="1" ht="14.25" customHeight="1">
      <c r="A182" s="2946" t="s">
        <v>29</v>
      </c>
      <c r="B182" s="2946" t="s">
        <v>3055</v>
      </c>
      <c r="C182" s="2946"/>
      <c r="D182" s="2946"/>
      <c r="E182" s="2946"/>
      <c r="F182" s="2946">
        <v>2340</v>
      </c>
      <c r="G182" s="2946"/>
    </row>
    <row r="183" spans="1:7" s="2780" customFormat="1" ht="14.25" customHeight="1">
      <c r="A183" s="2946" t="s">
        <v>29</v>
      </c>
      <c r="B183" s="2946" t="s">
        <v>3056</v>
      </c>
      <c r="C183" s="2946"/>
      <c r="D183" s="2946"/>
      <c r="E183" s="2946"/>
      <c r="F183" s="2946">
        <v>2340</v>
      </c>
      <c r="G183" s="2946"/>
    </row>
    <row r="184" spans="1:7" s="2780" customFormat="1" ht="14.25" customHeight="1">
      <c r="A184" s="2946" t="s">
        <v>29</v>
      </c>
      <c r="B184" s="2946" t="s">
        <v>3057</v>
      </c>
      <c r="C184" s="2946"/>
      <c r="D184" s="2946"/>
      <c r="E184" s="2946"/>
      <c r="F184" s="2946">
        <v>2340</v>
      </c>
      <c r="G184" s="2946"/>
    </row>
    <row r="185" spans="1:7" s="2780" customFormat="1" ht="14.25" customHeight="1">
      <c r="A185" s="2946" t="s">
        <v>29</v>
      </c>
      <c r="B185" s="2946" t="s">
        <v>3058</v>
      </c>
      <c r="C185" s="2946"/>
      <c r="D185" s="2946"/>
      <c r="E185" s="2946"/>
      <c r="F185" s="2946">
        <v>2530</v>
      </c>
      <c r="G185" s="2946"/>
    </row>
    <row r="186" spans="1:7" s="2780" customFormat="1" ht="14.25" customHeight="1">
      <c r="A186" s="2946" t="s">
        <v>29</v>
      </c>
      <c r="B186" s="2946" t="s">
        <v>3059</v>
      </c>
      <c r="C186" s="2946"/>
      <c r="D186" s="2946"/>
      <c r="E186" s="2946"/>
      <c r="F186" s="2946">
        <v>2550</v>
      </c>
      <c r="G186" s="2946"/>
    </row>
    <row r="187" spans="1:7" s="2780" customFormat="1" ht="14.25" customHeight="1">
      <c r="A187" s="2946" t="s">
        <v>29</v>
      </c>
      <c r="B187" s="2946" t="s">
        <v>3060</v>
      </c>
      <c r="C187" s="2946"/>
      <c r="D187" s="2946"/>
      <c r="E187" s="2946"/>
      <c r="F187" s="2946">
        <v>2070</v>
      </c>
      <c r="G187" s="2946"/>
    </row>
    <row r="188" spans="1:7" s="2780" customFormat="1" ht="14.25" customHeight="1">
      <c r="A188" s="2946" t="s">
        <v>29</v>
      </c>
      <c r="B188" s="2946" t="s">
        <v>3061</v>
      </c>
      <c r="C188" s="2946"/>
      <c r="D188" s="2946"/>
      <c r="E188" s="2946"/>
      <c r="F188" s="2946">
        <v>2340</v>
      </c>
      <c r="G188" s="2946"/>
    </row>
    <row r="189" spans="1:7" s="2780" customFormat="1" ht="14.25" customHeight="1" thickBot="1">
      <c r="A189" s="2954" t="s">
        <v>29</v>
      </c>
      <c r="B189" s="2957" t="s">
        <v>3062</v>
      </c>
      <c r="C189" s="2957"/>
      <c r="D189" s="2957"/>
      <c r="E189" s="2957"/>
      <c r="F189" s="2957">
        <v>2050</v>
      </c>
      <c r="G189" s="2957"/>
    </row>
    <row r="190" spans="1:7" s="2780" customFormat="1" ht="14.25" customHeight="1">
      <c r="A190" s="2951" t="s">
        <v>304</v>
      </c>
      <c r="B190" s="2942" t="s">
        <v>3082</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3083</v>
      </c>
      <c r="C199" s="2946">
        <v>8690</v>
      </c>
      <c r="D199" s="2946">
        <v>8630</v>
      </c>
      <c r="E199" s="2946">
        <v>11350</v>
      </c>
      <c r="F199" s="2946">
        <v>1600</v>
      </c>
      <c r="G199" s="2959">
        <v>5450</v>
      </c>
    </row>
    <row r="200" spans="1:7" s="2780" customFormat="1" ht="14.25" customHeight="1">
      <c r="A200" s="2946" t="s">
        <v>304</v>
      </c>
      <c r="B200" s="2946" t="s">
        <v>2894</v>
      </c>
      <c r="C200" s="2946"/>
      <c r="D200" s="2946"/>
      <c r="E200" s="2946"/>
      <c r="F200" s="2946">
        <v>1510</v>
      </c>
      <c r="G200" s="2959"/>
    </row>
    <row r="201" spans="1:7" s="2780" customFormat="1" ht="14.25" customHeight="1">
      <c r="A201" s="2946" t="s">
        <v>304</v>
      </c>
      <c r="B201" s="2946" t="s">
        <v>3084</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3085</v>
      </c>
      <c r="C203" s="2946">
        <v>8130</v>
      </c>
      <c r="D203" s="2946">
        <v>8070</v>
      </c>
      <c r="E203" s="2946">
        <v>10820</v>
      </c>
      <c r="F203" s="2946">
        <v>1690</v>
      </c>
      <c r="G203" s="2959">
        <v>5100</v>
      </c>
    </row>
    <row r="204" spans="1:7" s="2780" customFormat="1" ht="14.25" customHeight="1">
      <c r="A204" s="2946" t="s">
        <v>304</v>
      </c>
      <c r="B204" s="2946" t="s">
        <v>2905</v>
      </c>
      <c r="C204" s="2946">
        <v>8350</v>
      </c>
      <c r="D204" s="2946">
        <v>8290</v>
      </c>
      <c r="E204" s="2946">
        <v>11080</v>
      </c>
      <c r="F204" s="2946">
        <v>1450</v>
      </c>
      <c r="G204" s="2959">
        <v>5240</v>
      </c>
    </row>
    <row r="205" spans="1:7" s="2780" customFormat="1" ht="14.25" customHeight="1">
      <c r="A205" s="2946" t="s">
        <v>304</v>
      </c>
      <c r="B205" s="2946" t="s">
        <v>2907</v>
      </c>
      <c r="C205" s="2946">
        <v>7190</v>
      </c>
      <c r="D205" s="2946">
        <v>7130</v>
      </c>
      <c r="E205" s="2946">
        <v>9490</v>
      </c>
      <c r="F205" s="2946">
        <v>1470</v>
      </c>
      <c r="G205" s="2959">
        <v>4510</v>
      </c>
    </row>
    <row r="206" spans="1:7" s="2780" customFormat="1" ht="14.25" customHeight="1">
      <c r="A206" s="2946" t="s">
        <v>304</v>
      </c>
      <c r="B206" s="2946" t="s">
        <v>2910</v>
      </c>
      <c r="C206" s="2946">
        <v>7000</v>
      </c>
      <c r="D206" s="2946">
        <v>6950</v>
      </c>
      <c r="E206" s="2946">
        <v>9170</v>
      </c>
      <c r="F206" s="2946">
        <v>1400</v>
      </c>
      <c r="G206" s="2959">
        <v>4380</v>
      </c>
    </row>
    <row r="207" spans="1:7" s="2780" customFormat="1" ht="14.25" customHeight="1">
      <c r="A207" s="2946" t="s">
        <v>304</v>
      </c>
      <c r="B207" s="2946" t="s">
        <v>2912</v>
      </c>
      <c r="C207" s="2946">
        <v>6950</v>
      </c>
      <c r="D207" s="2946">
        <v>6900</v>
      </c>
      <c r="E207" s="2946">
        <v>9110</v>
      </c>
      <c r="F207" s="2946">
        <v>1790</v>
      </c>
      <c r="G207" s="2959">
        <v>4360</v>
      </c>
    </row>
    <row r="208" spans="1:7" s="2780" customFormat="1" ht="14.25" customHeight="1">
      <c r="A208" s="2946" t="s">
        <v>304</v>
      </c>
      <c r="B208" s="2946" t="s">
        <v>3086</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2922</v>
      </c>
      <c r="C210" s="2946">
        <v>8710</v>
      </c>
      <c r="D210" s="2946">
        <v>8660</v>
      </c>
      <c r="E210" s="2946">
        <v>11440</v>
      </c>
      <c r="F210" s="2946">
        <v>1740</v>
      </c>
      <c r="G210" s="2959">
        <v>5470</v>
      </c>
    </row>
    <row r="211" spans="1:7" s="2780" customFormat="1" ht="14.25" customHeight="1">
      <c r="A211" s="2946" t="s">
        <v>304</v>
      </c>
      <c r="B211" s="2946" t="s">
        <v>3087</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3088</v>
      </c>
      <c r="C214" s="2946">
        <v>8090</v>
      </c>
      <c r="D214" s="2946">
        <v>8030</v>
      </c>
      <c r="E214" s="2946">
        <v>10780</v>
      </c>
      <c r="F214" s="2946">
        <v>1570</v>
      </c>
      <c r="G214" s="2959">
        <v>5070</v>
      </c>
    </row>
    <row r="215" spans="1:7" s="2780" customFormat="1" ht="14.25" customHeight="1">
      <c r="A215" s="2946" t="s">
        <v>304</v>
      </c>
      <c r="B215" s="2946" t="s">
        <v>3089</v>
      </c>
      <c r="C215" s="2946">
        <v>7950</v>
      </c>
      <c r="D215" s="2946">
        <v>7900</v>
      </c>
      <c r="E215" s="2946">
        <v>10560</v>
      </c>
      <c r="F215" s="2946">
        <v>1630</v>
      </c>
      <c r="G215" s="2959">
        <v>4990</v>
      </c>
    </row>
    <row r="216" spans="1:7" s="2780" customFormat="1" ht="14.25" customHeight="1">
      <c r="A216" s="2946" t="s">
        <v>304</v>
      </c>
      <c r="B216" s="2946" t="s">
        <v>3090</v>
      </c>
      <c r="C216" s="2946">
        <v>8490</v>
      </c>
      <c r="D216" s="2946">
        <v>8440</v>
      </c>
      <c r="E216" s="2946">
        <v>11260</v>
      </c>
      <c r="F216" s="2946">
        <v>1690</v>
      </c>
      <c r="G216" s="2959">
        <v>5330</v>
      </c>
    </row>
    <row r="217" spans="1:7" s="2780" customFormat="1" ht="14.25" customHeight="1">
      <c r="A217" s="2946" t="s">
        <v>304</v>
      </c>
      <c r="B217" s="2946" t="s">
        <v>2955</v>
      </c>
      <c r="C217" s="2946">
        <v>8200</v>
      </c>
      <c r="D217" s="2946">
        <v>8150</v>
      </c>
      <c r="E217" s="2946">
        <v>10910</v>
      </c>
      <c r="F217" s="2946">
        <v>1670</v>
      </c>
      <c r="G217" s="2959">
        <v>5150</v>
      </c>
    </row>
    <row r="218" spans="1:7" s="2780" customFormat="1" ht="14.25" customHeight="1">
      <c r="A218" s="2946" t="s">
        <v>304</v>
      </c>
      <c r="B218" s="2946" t="s">
        <v>3091</v>
      </c>
      <c r="C218" s="2946"/>
      <c r="D218" s="2946"/>
      <c r="E218" s="2946"/>
      <c r="F218" s="2946">
        <v>2040</v>
      </c>
      <c r="G218" s="2959"/>
    </row>
    <row r="219" spans="1:7" s="2780" customFormat="1" ht="14.25" customHeight="1">
      <c r="A219" s="2946" t="s">
        <v>304</v>
      </c>
      <c r="B219" s="2946" t="s">
        <v>3092</v>
      </c>
      <c r="C219" s="2946"/>
      <c r="D219" s="2946"/>
      <c r="E219" s="2946"/>
      <c r="F219" s="2946">
        <v>2040</v>
      </c>
      <c r="G219" s="2959"/>
    </row>
    <row r="220" spans="1:7" s="2780" customFormat="1" ht="14.25" customHeight="1">
      <c r="A220" s="2946" t="s">
        <v>304</v>
      </c>
      <c r="B220" s="2946" t="s">
        <v>3093</v>
      </c>
      <c r="C220" s="2946"/>
      <c r="D220" s="2946"/>
      <c r="E220" s="2946"/>
      <c r="F220" s="2946">
        <v>2040</v>
      </c>
      <c r="G220" s="2959"/>
    </row>
    <row r="221" spans="1:7" s="2780" customFormat="1" ht="14.25" customHeight="1">
      <c r="A221" s="2946" t="s">
        <v>304</v>
      </c>
      <c r="B221" s="2946" t="s">
        <v>3094</v>
      </c>
      <c r="C221" s="2946"/>
      <c r="D221" s="2946"/>
      <c r="E221" s="2946"/>
      <c r="F221" s="2946">
        <v>2040</v>
      </c>
      <c r="G221" s="2959"/>
    </row>
    <row r="222" spans="1:7" s="2780" customFormat="1" ht="14.25" customHeight="1">
      <c r="A222" s="2946" t="s">
        <v>304</v>
      </c>
      <c r="B222" s="2946" t="s">
        <v>3095</v>
      </c>
      <c r="C222" s="2946"/>
      <c r="D222" s="2946"/>
      <c r="E222" s="2946"/>
      <c r="F222" s="2946">
        <v>2040</v>
      </c>
      <c r="G222" s="2959"/>
    </row>
    <row r="223" spans="1:7" s="2780" customFormat="1" ht="14.25" customHeight="1">
      <c r="A223" s="2946" t="s">
        <v>304</v>
      </c>
      <c r="B223" s="2946" t="s">
        <v>3096</v>
      </c>
      <c r="C223" s="2946"/>
      <c r="D223" s="2946"/>
      <c r="E223" s="2946"/>
      <c r="F223" s="2946">
        <v>1930</v>
      </c>
      <c r="G223" s="2959"/>
    </row>
    <row r="224" spans="1:7" s="2780" customFormat="1" ht="14.25" customHeight="1">
      <c r="A224" s="2946" t="s">
        <v>304</v>
      </c>
      <c r="B224" s="2946" t="s">
        <v>3097</v>
      </c>
      <c r="C224" s="2946"/>
      <c r="D224" s="2946"/>
      <c r="E224" s="2946"/>
      <c r="F224" s="2946">
        <v>1930</v>
      </c>
      <c r="G224" s="2959"/>
    </row>
    <row r="225" spans="1:7" s="2780" customFormat="1" ht="14.25" customHeight="1">
      <c r="A225" s="2946" t="s">
        <v>304</v>
      </c>
      <c r="B225" s="2946" t="s">
        <v>3098</v>
      </c>
      <c r="C225" s="2946"/>
      <c r="D225" s="2946"/>
      <c r="E225" s="2946"/>
      <c r="F225" s="2946">
        <v>1930</v>
      </c>
      <c r="G225" s="2959"/>
    </row>
    <row r="226" spans="1:7" s="2780" customFormat="1" ht="14.25" customHeight="1">
      <c r="A226" s="2946" t="s">
        <v>304</v>
      </c>
      <c r="B226" s="2946" t="s">
        <v>3099</v>
      </c>
      <c r="C226" s="2946"/>
      <c r="D226" s="2946"/>
      <c r="E226" s="2946"/>
      <c r="F226" s="2946">
        <v>1700</v>
      </c>
      <c r="G226" s="2959"/>
    </row>
    <row r="227" spans="1:7" s="2780" customFormat="1" ht="14.25" customHeight="1">
      <c r="A227" s="2946" t="s">
        <v>304</v>
      </c>
      <c r="B227" s="2946" t="s">
        <v>3100</v>
      </c>
      <c r="C227" s="2946"/>
      <c r="D227" s="2946"/>
      <c r="E227" s="2946"/>
      <c r="F227" s="2946">
        <v>1520</v>
      </c>
      <c r="G227" s="2959"/>
    </row>
    <row r="228" spans="1:7" s="2780" customFormat="1" ht="14.25" customHeight="1">
      <c r="A228" s="2946" t="s">
        <v>304</v>
      </c>
      <c r="B228" s="2946" t="s">
        <v>3101</v>
      </c>
      <c r="C228" s="2946"/>
      <c r="D228" s="2946"/>
      <c r="E228" s="2946"/>
      <c r="F228" s="2946">
        <v>1520</v>
      </c>
      <c r="G228" s="2959"/>
    </row>
    <row r="229" spans="1:7" s="2780" customFormat="1" ht="14.25" customHeight="1">
      <c r="A229" s="2946" t="s">
        <v>304</v>
      </c>
      <c r="B229" s="2946" t="s">
        <v>3018</v>
      </c>
      <c r="C229" s="2946"/>
      <c r="D229" s="2946"/>
      <c r="E229" s="2946"/>
      <c r="F229" s="2946">
        <v>1520</v>
      </c>
      <c r="G229" s="2959"/>
    </row>
    <row r="230" spans="1:7" s="2780" customFormat="1" ht="14.25" customHeight="1">
      <c r="A230" s="2946" t="s">
        <v>304</v>
      </c>
      <c r="B230" s="2946" t="s">
        <v>3102</v>
      </c>
      <c r="C230" s="2946"/>
      <c r="D230" s="2946"/>
      <c r="E230" s="2946"/>
      <c r="F230" s="2946">
        <v>1820</v>
      </c>
      <c r="G230" s="2959"/>
    </row>
    <row r="231" spans="1:7" s="2780" customFormat="1" ht="14.25" customHeight="1">
      <c r="A231" s="2946" t="s">
        <v>304</v>
      </c>
      <c r="B231" s="2946" t="s">
        <v>3103</v>
      </c>
      <c r="C231" s="2946"/>
      <c r="D231" s="2946"/>
      <c r="E231" s="2946"/>
      <c r="F231" s="2946">
        <v>1760</v>
      </c>
      <c r="G231" s="2959"/>
    </row>
    <row r="232" spans="1:7" s="2780" customFormat="1" ht="14.25" customHeight="1">
      <c r="A232" s="2946" t="s">
        <v>304</v>
      </c>
      <c r="B232" s="2946" t="s">
        <v>3104</v>
      </c>
      <c r="C232" s="2946"/>
      <c r="D232" s="2946"/>
      <c r="E232" s="2946"/>
      <c r="F232" s="2946">
        <v>1840</v>
      </c>
      <c r="G232" s="2959"/>
    </row>
    <row r="233" spans="1:7" s="2780" customFormat="1" ht="14.25" customHeight="1" thickBot="1">
      <c r="A233" s="2960" t="s">
        <v>304</v>
      </c>
      <c r="B233" s="2953" t="s">
        <v>3035</v>
      </c>
      <c r="C233" s="2953"/>
      <c r="D233" s="2953"/>
      <c r="E233" s="2953"/>
      <c r="F233" s="2953">
        <v>1770</v>
      </c>
      <c r="G233" s="2961"/>
    </row>
    <row r="234" spans="1:7" s="2780" customFormat="1" ht="14.25" customHeight="1">
      <c r="A234" s="2951" t="s">
        <v>305</v>
      </c>
      <c r="B234" s="2942" t="s">
        <v>3105</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2876</v>
      </c>
      <c r="C238" s="2946">
        <v>6920</v>
      </c>
      <c r="D238" s="2946">
        <v>6890</v>
      </c>
      <c r="E238" s="2946">
        <v>8640</v>
      </c>
      <c r="F238" s="2946">
        <v>1310</v>
      </c>
      <c r="G238" s="2946">
        <v>4230</v>
      </c>
    </row>
    <row r="239" spans="1:7" s="2780" customFormat="1" ht="14.25" customHeight="1">
      <c r="A239" s="2946" t="s">
        <v>305</v>
      </c>
      <c r="B239" s="2946" t="s">
        <v>3106</v>
      </c>
      <c r="C239" s="2946">
        <v>6780</v>
      </c>
      <c r="D239" s="2946">
        <v>6750</v>
      </c>
      <c r="E239" s="2946">
        <v>8440</v>
      </c>
      <c r="F239" s="2946">
        <v>1160</v>
      </c>
      <c r="G239" s="2946">
        <v>4140</v>
      </c>
    </row>
    <row r="240" spans="1:7" s="2780" customFormat="1" ht="14.25" customHeight="1">
      <c r="A240" s="2946" t="s">
        <v>305</v>
      </c>
      <c r="B240" s="2946" t="s">
        <v>3107</v>
      </c>
      <c r="C240" s="2946">
        <v>5420</v>
      </c>
      <c r="D240" s="2946">
        <v>5380</v>
      </c>
      <c r="E240" s="2946">
        <v>6640</v>
      </c>
      <c r="F240" s="2946">
        <v>1020</v>
      </c>
      <c r="G240" s="2946">
        <v>3300</v>
      </c>
    </row>
    <row r="241" spans="1:7" s="2780" customFormat="1" ht="14.25" customHeight="1">
      <c r="A241" s="2946" t="s">
        <v>305</v>
      </c>
      <c r="B241" s="2946" t="s">
        <v>3108</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3109</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3110</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3111</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3112</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3113</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2938</v>
      </c>
      <c r="C258" s="2946">
        <v>6190</v>
      </c>
      <c r="D258" s="2946">
        <v>6160</v>
      </c>
      <c r="E258" s="2946">
        <v>7680</v>
      </c>
      <c r="F258" s="2946">
        <v>1170</v>
      </c>
      <c r="G258" s="2946">
        <v>3780</v>
      </c>
    </row>
    <row r="259" spans="1:7" s="2780" customFormat="1" ht="14.25" customHeight="1">
      <c r="A259" s="2946" t="s">
        <v>305</v>
      </c>
      <c r="B259" s="2946" t="s">
        <v>3114</v>
      </c>
      <c r="C259" s="2946">
        <v>7610</v>
      </c>
      <c r="D259" s="2946">
        <v>7570</v>
      </c>
      <c r="E259" s="2946">
        <v>9350</v>
      </c>
      <c r="F259" s="2946">
        <v>1350</v>
      </c>
      <c r="G259" s="2946">
        <v>4650</v>
      </c>
    </row>
    <row r="260" spans="1:7" s="2780" customFormat="1" ht="14.25" customHeight="1">
      <c r="A260" s="2946" t="s">
        <v>305</v>
      </c>
      <c r="B260" s="2946" t="s">
        <v>3115</v>
      </c>
      <c r="C260" s="2946">
        <v>6920</v>
      </c>
      <c r="D260" s="2946">
        <v>6880</v>
      </c>
      <c r="E260" s="2946">
        <v>8380</v>
      </c>
      <c r="F260" s="2946">
        <v>1160</v>
      </c>
      <c r="G260" s="2946">
        <v>4220</v>
      </c>
    </row>
    <row r="261" spans="1:7" s="2780" customFormat="1" ht="14.25" customHeight="1">
      <c r="A261" s="2946" t="s">
        <v>305</v>
      </c>
      <c r="B261" s="2946" t="s">
        <v>3116</v>
      </c>
      <c r="C261" s="2946">
        <v>6850</v>
      </c>
      <c r="D261" s="2946">
        <v>6810</v>
      </c>
      <c r="E261" s="2946">
        <v>8290</v>
      </c>
      <c r="F261" s="2946">
        <v>1130</v>
      </c>
      <c r="G261" s="2946">
        <v>4180</v>
      </c>
    </row>
    <row r="262" spans="1:7" s="2780" customFormat="1" ht="14.25" customHeight="1">
      <c r="A262" s="2946" t="s">
        <v>305</v>
      </c>
      <c r="B262" s="2946" t="s">
        <v>3117</v>
      </c>
      <c r="C262" s="2946">
        <v>5860</v>
      </c>
      <c r="D262" s="2946">
        <v>5820</v>
      </c>
      <c r="E262" s="2946">
        <v>7640</v>
      </c>
      <c r="F262" s="2946">
        <v>1070</v>
      </c>
      <c r="G262" s="2946">
        <v>3570</v>
      </c>
    </row>
    <row r="263" spans="1:7" s="2780" customFormat="1" ht="14.25" customHeight="1">
      <c r="A263" s="2946" t="s">
        <v>305</v>
      </c>
      <c r="B263" s="2946" t="s">
        <v>3118</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3119</v>
      </c>
      <c r="C265" s="2946"/>
      <c r="D265" s="2946"/>
      <c r="E265" s="2946"/>
      <c r="F265" s="2946">
        <v>1500</v>
      </c>
      <c r="G265" s="2946"/>
    </row>
    <row r="266" spans="1:7" s="2780" customFormat="1" ht="14.25" customHeight="1">
      <c r="A266" s="2946" t="s">
        <v>305</v>
      </c>
      <c r="B266" s="2946" t="s">
        <v>3120</v>
      </c>
      <c r="C266" s="2946"/>
      <c r="D266" s="2946"/>
      <c r="E266" s="2946"/>
      <c r="F266" s="2946">
        <v>1500</v>
      </c>
      <c r="G266" s="2946"/>
    </row>
    <row r="267" spans="1:7" s="2780" customFormat="1" ht="14.25" customHeight="1">
      <c r="A267" s="2946" t="s">
        <v>305</v>
      </c>
      <c r="B267" s="2946" t="s">
        <v>3121</v>
      </c>
      <c r="C267" s="2946"/>
      <c r="D267" s="2946"/>
      <c r="E267" s="2946"/>
      <c r="F267" s="2946">
        <v>1500</v>
      </c>
      <c r="G267" s="2946"/>
    </row>
    <row r="268" spans="1:7" s="2780" customFormat="1" ht="14.25" customHeight="1">
      <c r="A268" s="2946" t="s">
        <v>305</v>
      </c>
      <c r="B268" s="2946" t="s">
        <v>3122</v>
      </c>
      <c r="C268" s="2946"/>
      <c r="D268" s="2946"/>
      <c r="E268" s="2946"/>
      <c r="F268" s="2946">
        <v>1290</v>
      </c>
      <c r="G268" s="2946"/>
    </row>
    <row r="269" spans="1:7" s="2780" customFormat="1" ht="14.25" customHeight="1">
      <c r="A269" s="2946" t="s">
        <v>305</v>
      </c>
      <c r="B269" s="2946" t="s">
        <v>3123</v>
      </c>
      <c r="C269" s="2946"/>
      <c r="D269" s="2946"/>
      <c r="E269" s="2946"/>
      <c r="F269" s="2946">
        <v>1150</v>
      </c>
      <c r="G269" s="2946"/>
    </row>
    <row r="270" spans="1:7" s="2780" customFormat="1" ht="14.25" customHeight="1">
      <c r="A270" s="2946" t="s">
        <v>305</v>
      </c>
      <c r="B270" s="2946" t="s">
        <v>3124</v>
      </c>
      <c r="C270" s="2946"/>
      <c r="D270" s="2946"/>
      <c r="E270" s="2946"/>
      <c r="F270" s="2946">
        <v>1380</v>
      </c>
      <c r="G270" s="2946"/>
    </row>
    <row r="271" spans="1:7" s="2780" customFormat="1" ht="14.25" customHeight="1">
      <c r="A271" s="2946" t="s">
        <v>305</v>
      </c>
      <c r="B271" s="2946" t="s">
        <v>3125</v>
      </c>
      <c r="C271" s="2946"/>
      <c r="D271" s="2946"/>
      <c r="E271" s="2946"/>
      <c r="F271" s="2946">
        <v>1460</v>
      </c>
      <c r="G271" s="2946"/>
    </row>
    <row r="272" spans="1:7" s="2780" customFormat="1" ht="14.25" customHeight="1">
      <c r="A272" s="2946" t="s">
        <v>305</v>
      </c>
      <c r="B272" s="2946" t="s">
        <v>3126</v>
      </c>
      <c r="C272" s="2946"/>
      <c r="D272" s="2946"/>
      <c r="E272" s="2946"/>
      <c r="F272" s="2946">
        <v>1460</v>
      </c>
      <c r="G272" s="2946"/>
    </row>
    <row r="273" spans="1:7" s="2780" customFormat="1" ht="14.25" customHeight="1">
      <c r="A273" s="2946" t="s">
        <v>305</v>
      </c>
      <c r="B273" s="2946" t="s">
        <v>3019</v>
      </c>
      <c r="C273" s="2946"/>
      <c r="D273" s="2946"/>
      <c r="E273" s="2946"/>
      <c r="F273" s="2946">
        <v>1490</v>
      </c>
      <c r="G273" s="2946"/>
    </row>
    <row r="274" spans="1:7" s="2780" customFormat="1" ht="14.25" customHeight="1">
      <c r="A274" s="2946" t="s">
        <v>305</v>
      </c>
      <c r="B274" s="2946" t="s">
        <v>3127</v>
      </c>
      <c r="C274" s="2946"/>
      <c r="D274" s="2946"/>
      <c r="E274" s="2946"/>
      <c r="F274" s="2946">
        <v>1490</v>
      </c>
      <c r="G274" s="2946"/>
    </row>
    <row r="275" spans="1:7" s="2780" customFormat="1" ht="14.25" customHeight="1">
      <c r="A275" s="2946" t="s">
        <v>305</v>
      </c>
      <c r="B275" s="2946" t="s">
        <v>3128</v>
      </c>
      <c r="C275" s="2946"/>
      <c r="D275" s="2946"/>
      <c r="E275" s="2946"/>
      <c r="F275" s="2946">
        <v>1220</v>
      </c>
      <c r="G275" s="2946"/>
    </row>
    <row r="276" spans="1:7" s="2780" customFormat="1" ht="14.25" customHeight="1" thickBot="1">
      <c r="A276" s="2954" t="s">
        <v>305</v>
      </c>
      <c r="B276" s="2956" t="s">
        <v>3129</v>
      </c>
      <c r="C276" s="2957"/>
      <c r="D276" s="2957"/>
      <c r="E276" s="2957"/>
      <c r="F276" s="2957">
        <v>1380</v>
      </c>
      <c r="G276" s="2957"/>
    </row>
    <row r="277" spans="1:7" s="2780" customFormat="1" ht="14.25" customHeight="1">
      <c r="A277" s="2951" t="s">
        <v>306</v>
      </c>
      <c r="B277" s="2942" t="s">
        <v>3130</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3131</v>
      </c>
      <c r="C279" s="2946">
        <v>4760</v>
      </c>
      <c r="D279" s="2946">
        <v>4720</v>
      </c>
      <c r="E279" s="2946">
        <v>5540</v>
      </c>
      <c r="F279" s="2946">
        <v>810</v>
      </c>
      <c r="G279" s="2959">
        <v>2850</v>
      </c>
    </row>
    <row r="280" spans="1:7" s="2780" customFormat="1" ht="14.25" customHeight="1">
      <c r="A280" s="2946" t="s">
        <v>306</v>
      </c>
      <c r="B280" s="2946" t="s">
        <v>3132</v>
      </c>
      <c r="C280" s="2946">
        <v>4010</v>
      </c>
      <c r="D280" s="2946">
        <v>3950</v>
      </c>
      <c r="E280" s="2946">
        <v>4710</v>
      </c>
      <c r="F280" s="2946">
        <v>800</v>
      </c>
      <c r="G280" s="2959">
        <v>2390</v>
      </c>
    </row>
    <row r="281" spans="1:7" s="2780" customFormat="1" ht="14.25" customHeight="1">
      <c r="A281" s="2946" t="s">
        <v>306</v>
      </c>
      <c r="B281" s="2946" t="s">
        <v>3133</v>
      </c>
      <c r="C281" s="2946">
        <v>4480</v>
      </c>
      <c r="D281" s="2946">
        <v>4420</v>
      </c>
      <c r="E281" s="2946">
        <v>5230</v>
      </c>
      <c r="F281" s="2946">
        <v>870</v>
      </c>
      <c r="G281" s="2959">
        <v>2660</v>
      </c>
    </row>
    <row r="282" spans="1:7" s="2780" customFormat="1" ht="14.25" customHeight="1">
      <c r="A282" s="2946" t="s">
        <v>306</v>
      </c>
      <c r="B282" s="2946" t="s">
        <v>3134</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3135</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3136</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2911</v>
      </c>
      <c r="C293" s="2946">
        <v>5320</v>
      </c>
      <c r="D293" s="2946">
        <v>5270</v>
      </c>
      <c r="E293" s="2946">
        <v>6160</v>
      </c>
      <c r="F293" s="2946">
        <v>990</v>
      </c>
      <c r="G293" s="2959">
        <v>3170</v>
      </c>
    </row>
    <row r="294" spans="1:7" s="2780" customFormat="1" ht="14.25" customHeight="1">
      <c r="A294" s="2946" t="s">
        <v>306</v>
      </c>
      <c r="B294" s="2946" t="s">
        <v>3137</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2930</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3138</v>
      </c>
      <c r="C302" s="2946">
        <v>5520</v>
      </c>
      <c r="D302" s="2946">
        <v>5470</v>
      </c>
      <c r="E302" s="2946">
        <v>6410</v>
      </c>
      <c r="F302" s="2946">
        <v>950</v>
      </c>
      <c r="G302" s="2959">
        <v>3300</v>
      </c>
    </row>
    <row r="303" spans="1:7" s="2780" customFormat="1" ht="14.25" customHeight="1">
      <c r="A303" s="2946" t="s">
        <v>306</v>
      </c>
      <c r="B303" s="2946" t="s">
        <v>2950</v>
      </c>
      <c r="C303" s="2946">
        <v>5630</v>
      </c>
      <c r="D303" s="2946">
        <v>5590</v>
      </c>
      <c r="E303" s="2946">
        <v>6550</v>
      </c>
      <c r="F303" s="2946">
        <v>1010</v>
      </c>
      <c r="G303" s="2959">
        <v>3370</v>
      </c>
    </row>
    <row r="304" spans="1:7" s="2780" customFormat="1" ht="14.25" customHeight="1">
      <c r="A304" s="2946" t="s">
        <v>306</v>
      </c>
      <c r="B304" s="2946" t="s">
        <v>2957</v>
      </c>
      <c r="C304" s="2946">
        <v>5680</v>
      </c>
      <c r="D304" s="2946">
        <v>5620</v>
      </c>
      <c r="E304" s="2946">
        <v>6620</v>
      </c>
      <c r="F304" s="2946">
        <v>1050</v>
      </c>
      <c r="G304" s="2959">
        <v>3390</v>
      </c>
    </row>
    <row r="305" spans="1:7" s="2780" customFormat="1" ht="14.25" customHeight="1">
      <c r="A305" s="2946" t="s">
        <v>306</v>
      </c>
      <c r="B305" s="2946" t="s">
        <v>2963</v>
      </c>
      <c r="C305" s="2946">
        <v>5590</v>
      </c>
      <c r="D305" s="2946">
        <v>5530</v>
      </c>
      <c r="E305" s="2946">
        <v>6460</v>
      </c>
      <c r="F305" s="2946">
        <v>900</v>
      </c>
      <c r="G305" s="2959">
        <v>3340</v>
      </c>
    </row>
    <row r="306" spans="1:7" s="2780" customFormat="1" ht="14.25" customHeight="1">
      <c r="A306" s="2946" t="s">
        <v>306</v>
      </c>
      <c r="B306" s="2946" t="s">
        <v>3139</v>
      </c>
      <c r="C306" s="2946">
        <v>5560</v>
      </c>
      <c r="D306" s="2946">
        <v>5510</v>
      </c>
      <c r="E306" s="2946">
        <v>6440</v>
      </c>
      <c r="F306" s="2946">
        <v>900</v>
      </c>
      <c r="G306" s="2959">
        <v>3320</v>
      </c>
    </row>
    <row r="307" spans="1:7" s="2780" customFormat="1" ht="14.25" customHeight="1">
      <c r="A307" s="2946" t="s">
        <v>306</v>
      </c>
      <c r="B307" s="2946" t="s">
        <v>2975</v>
      </c>
      <c r="C307" s="2946">
        <v>5650</v>
      </c>
      <c r="D307" s="2946">
        <v>5600</v>
      </c>
      <c r="E307" s="2946">
        <v>6590</v>
      </c>
      <c r="F307" s="2946">
        <v>930</v>
      </c>
      <c r="G307" s="2959">
        <v>3380</v>
      </c>
    </row>
    <row r="308" spans="1:7" s="2780" customFormat="1" ht="14.25" customHeight="1">
      <c r="A308" s="2946" t="s">
        <v>306</v>
      </c>
      <c r="B308" s="2946" t="s">
        <v>3140</v>
      </c>
      <c r="C308" s="2946">
        <v>5620</v>
      </c>
      <c r="D308" s="2946">
        <v>5580</v>
      </c>
      <c r="E308" s="2946">
        <v>6540</v>
      </c>
      <c r="F308" s="2946">
        <v>910</v>
      </c>
      <c r="G308" s="2959">
        <v>3370</v>
      </c>
    </row>
    <row r="309" spans="1:7" s="2780" customFormat="1" ht="14.25" customHeight="1">
      <c r="A309" s="2946" t="s">
        <v>306</v>
      </c>
      <c r="B309" s="2946" t="s">
        <v>3141</v>
      </c>
      <c r="C309" s="2946">
        <v>5060</v>
      </c>
      <c r="D309" s="2946">
        <v>5020</v>
      </c>
      <c r="E309" s="2946">
        <v>6370</v>
      </c>
      <c r="F309" s="2946">
        <v>800</v>
      </c>
      <c r="G309" s="2959">
        <v>3020</v>
      </c>
    </row>
    <row r="310" spans="1:7" s="2780" customFormat="1" ht="14.25" customHeight="1">
      <c r="A310" s="2946" t="s">
        <v>306</v>
      </c>
      <c r="B310" s="2946" t="s">
        <v>2990</v>
      </c>
      <c r="C310" s="2946">
        <v>5150</v>
      </c>
      <c r="D310" s="2946">
        <v>5110</v>
      </c>
      <c r="E310" s="2946">
        <v>6500</v>
      </c>
      <c r="F310" s="2946">
        <v>880</v>
      </c>
      <c r="G310" s="2959">
        <v>3080</v>
      </c>
    </row>
    <row r="311" spans="1:7" s="2780" customFormat="1" ht="14.25" customHeight="1">
      <c r="A311" s="2946" t="s">
        <v>306</v>
      </c>
      <c r="B311" s="2946" t="s">
        <v>3142</v>
      </c>
      <c r="C311" s="2946">
        <v>4750</v>
      </c>
      <c r="D311" s="2946">
        <v>4710</v>
      </c>
      <c r="E311" s="2946">
        <v>5510</v>
      </c>
      <c r="F311" s="2946">
        <v>880</v>
      </c>
      <c r="G311" s="2959">
        <v>2840</v>
      </c>
    </row>
    <row r="312" spans="1:7" s="2780" customFormat="1" ht="14.25" customHeight="1">
      <c r="A312" s="2946" t="s">
        <v>306</v>
      </c>
      <c r="B312" s="2946" t="s">
        <v>3000</v>
      </c>
      <c r="C312" s="2946">
        <v>4690</v>
      </c>
      <c r="D312" s="2946">
        <v>4640</v>
      </c>
      <c r="E312" s="2946">
        <v>5420</v>
      </c>
      <c r="F312" s="2946">
        <v>800</v>
      </c>
      <c r="G312" s="2959">
        <v>2800</v>
      </c>
    </row>
    <row r="313" spans="1:7" s="2780" customFormat="1" ht="14.25" customHeight="1">
      <c r="A313" s="2946" t="s">
        <v>306</v>
      </c>
      <c r="B313" s="2946" t="s">
        <v>3005</v>
      </c>
      <c r="C313" s="2946">
        <v>4810</v>
      </c>
      <c r="D313" s="2946">
        <v>4760</v>
      </c>
      <c r="E313" s="2946">
        <v>5550</v>
      </c>
      <c r="F313" s="2946">
        <v>920</v>
      </c>
      <c r="G313" s="2959">
        <v>2870</v>
      </c>
    </row>
    <row r="314" spans="1:7" s="2780" customFormat="1" ht="14.25" customHeight="1">
      <c r="A314" s="2946" t="s">
        <v>306</v>
      </c>
      <c r="B314" s="2946" t="s">
        <v>3143</v>
      </c>
      <c r="C314" s="2946"/>
      <c r="D314" s="2946"/>
      <c r="E314" s="2946"/>
      <c r="F314" s="2946">
        <v>1020</v>
      </c>
      <c r="G314" s="2959"/>
    </row>
    <row r="315" spans="1:7" s="2780" customFormat="1" ht="14.25" customHeight="1">
      <c r="A315" s="2946" t="s">
        <v>306</v>
      </c>
      <c r="B315" s="2946" t="s">
        <v>3144</v>
      </c>
      <c r="C315" s="2946"/>
      <c r="D315" s="2946"/>
      <c r="E315" s="2946"/>
      <c r="F315" s="2946">
        <v>1050</v>
      </c>
      <c r="G315" s="2959"/>
    </row>
    <row r="316" spans="1:7" s="2780" customFormat="1" ht="14.25" customHeight="1">
      <c r="A316" s="2946" t="s">
        <v>306</v>
      </c>
      <c r="B316" s="2946" t="s">
        <v>3020</v>
      </c>
      <c r="C316" s="2946"/>
      <c r="D316" s="2946"/>
      <c r="E316" s="2946"/>
      <c r="F316" s="2946">
        <v>900</v>
      </c>
      <c r="G316" s="2959"/>
    </row>
    <row r="317" spans="1:7" s="2780" customFormat="1" ht="14.25" customHeight="1">
      <c r="A317" s="2946" t="s">
        <v>306</v>
      </c>
      <c r="B317" s="2946" t="s">
        <v>3145</v>
      </c>
      <c r="C317" s="2946"/>
      <c r="D317" s="2946"/>
      <c r="E317" s="2946"/>
      <c r="F317" s="2946">
        <v>920</v>
      </c>
      <c r="G317" s="2959"/>
    </row>
    <row r="318" spans="1:7" s="2780" customFormat="1" ht="14.25" customHeight="1">
      <c r="A318" s="2946" t="s">
        <v>306</v>
      </c>
      <c r="B318" s="2946" t="s">
        <v>3146</v>
      </c>
      <c r="C318" s="2946"/>
      <c r="D318" s="2946"/>
      <c r="E318" s="2946"/>
      <c r="F318" s="2946">
        <v>1080</v>
      </c>
      <c r="G318" s="2959"/>
    </row>
    <row r="319" spans="1:7" s="2780" customFormat="1" ht="14.25" customHeight="1">
      <c r="A319" s="2946" t="s">
        <v>306</v>
      </c>
      <c r="B319" s="2946" t="s">
        <v>3033</v>
      </c>
      <c r="C319" s="2946"/>
      <c r="D319" s="2946"/>
      <c r="E319" s="2946"/>
      <c r="F319" s="2946">
        <v>1020</v>
      </c>
      <c r="G319" s="2959"/>
    </row>
    <row r="320" spans="1:7" s="2780" customFormat="1" ht="14.25" customHeight="1">
      <c r="A320" s="2946" t="s">
        <v>306</v>
      </c>
      <c r="B320" s="2946" t="s">
        <v>3036</v>
      </c>
      <c r="C320" s="2946"/>
      <c r="D320" s="2946"/>
      <c r="E320" s="2946"/>
      <c r="F320" s="2946">
        <v>1050</v>
      </c>
      <c r="G320" s="2959"/>
    </row>
    <row r="321" spans="1:7" s="2780" customFormat="1" ht="14.25" customHeight="1">
      <c r="A321" s="2946" t="s">
        <v>306</v>
      </c>
      <c r="B321" s="2946" t="s">
        <v>3038</v>
      </c>
      <c r="C321" s="2946"/>
      <c r="D321" s="2946"/>
      <c r="E321" s="2946"/>
      <c r="F321" s="2946">
        <v>960</v>
      </c>
      <c r="G321" s="2959"/>
    </row>
    <row r="322" spans="1:7" s="2780" customFormat="1" ht="14.25" customHeight="1">
      <c r="A322" s="2946" t="s">
        <v>306</v>
      </c>
      <c r="B322" s="2946" t="s">
        <v>3040</v>
      </c>
      <c r="C322" s="2946"/>
      <c r="D322" s="2946"/>
      <c r="E322" s="2946"/>
      <c r="F322" s="2946">
        <v>960</v>
      </c>
      <c r="G322" s="2959"/>
    </row>
    <row r="323" spans="1:7" s="2780" customFormat="1" ht="14.25" customHeight="1">
      <c r="A323" s="2946" t="s">
        <v>306</v>
      </c>
      <c r="B323" s="2946" t="s">
        <v>3042</v>
      </c>
      <c r="C323" s="2946"/>
      <c r="D323" s="2946"/>
      <c r="E323" s="2946"/>
      <c r="F323" s="2946">
        <v>880</v>
      </c>
      <c r="G323" s="2959"/>
    </row>
    <row r="324" spans="1:7" s="2780" customFormat="1" ht="14.25" customHeight="1">
      <c r="A324" s="2946" t="s">
        <v>306</v>
      </c>
      <c r="B324" s="2946" t="s">
        <v>3044</v>
      </c>
      <c r="C324" s="2946"/>
      <c r="D324" s="2946"/>
      <c r="E324" s="2946"/>
      <c r="F324" s="2946">
        <v>930</v>
      </c>
      <c r="G324" s="2959"/>
    </row>
    <row r="325" spans="1:7" s="2780" customFormat="1" ht="14.25" customHeight="1">
      <c r="A325" s="2946" t="s">
        <v>306</v>
      </c>
      <c r="B325" s="2947" t="s">
        <v>3046</v>
      </c>
      <c r="C325" s="2946"/>
      <c r="D325" s="2946"/>
      <c r="E325" s="2946"/>
      <c r="F325" s="2946">
        <v>900</v>
      </c>
      <c r="G325" s="2959"/>
    </row>
    <row r="326" spans="1:7" s="2780" customFormat="1" ht="14.25" customHeight="1" thickBot="1">
      <c r="A326" s="2960" t="s">
        <v>306</v>
      </c>
      <c r="B326" s="2953" t="s">
        <v>3048</v>
      </c>
      <c r="C326" s="2953"/>
      <c r="D326" s="2953"/>
      <c r="E326" s="2953"/>
      <c r="F326" s="2953">
        <v>790</v>
      </c>
      <c r="G326" s="2961"/>
    </row>
    <row r="327" spans="1:7" s="2780" customFormat="1" ht="14.25" customHeight="1">
      <c r="A327" s="2951" t="s">
        <v>307</v>
      </c>
      <c r="B327" s="2942" t="s">
        <v>3147</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3148</v>
      </c>
      <c r="C329" s="2946">
        <v>2730</v>
      </c>
      <c r="D329" s="2946">
        <v>2690</v>
      </c>
      <c r="E329" s="2946">
        <v>3100</v>
      </c>
      <c r="F329" s="2946">
        <v>660</v>
      </c>
      <c r="G329" s="2946">
        <v>1610</v>
      </c>
    </row>
    <row r="330" spans="1:7" s="2780" customFormat="1" ht="14.25" customHeight="1">
      <c r="A330" s="2946" t="s">
        <v>307</v>
      </c>
      <c r="B330" s="2946" t="s">
        <v>3149</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2882</v>
      </c>
      <c r="C332" s="2946">
        <v>3520</v>
      </c>
      <c r="D332" s="2946">
        <v>3480</v>
      </c>
      <c r="E332" s="2946">
        <v>3830</v>
      </c>
      <c r="F332" s="2946">
        <v>720</v>
      </c>
      <c r="G332" s="2946">
        <v>2090</v>
      </c>
    </row>
    <row r="333" spans="1:7" s="2780" customFormat="1" ht="14.25" customHeight="1">
      <c r="A333" s="2946" t="s">
        <v>307</v>
      </c>
      <c r="B333" s="2946" t="s">
        <v>3150</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2892</v>
      </c>
      <c r="C336" s="2946">
        <v>3570</v>
      </c>
      <c r="D336" s="2946">
        <v>3530</v>
      </c>
      <c r="E336" s="2946">
        <v>3880</v>
      </c>
      <c r="F336" s="2946">
        <v>770</v>
      </c>
      <c r="G336" s="2946">
        <v>2110</v>
      </c>
    </row>
    <row r="337" spans="1:10" s="2780" customFormat="1" ht="14.25" customHeight="1">
      <c r="A337" s="2946" t="s">
        <v>307</v>
      </c>
      <c r="B337" s="2946" t="s">
        <v>3151</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3152</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3153</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2917</v>
      </c>
      <c r="C345" s="2946">
        <v>3190</v>
      </c>
      <c r="D345" s="2946">
        <v>3140</v>
      </c>
      <c r="E345" s="2946">
        <v>3450</v>
      </c>
      <c r="F345" s="2946">
        <v>720</v>
      </c>
      <c r="G345" s="2946">
        <v>1880</v>
      </c>
      <c r="J345" s="2780"/>
    </row>
    <row r="346" spans="1:10">
      <c r="A346" s="2946" t="s">
        <v>307</v>
      </c>
      <c r="B346" s="2946" t="s">
        <v>3154</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2926</v>
      </c>
      <c r="C348" s="2946">
        <v>4000</v>
      </c>
      <c r="D348" s="2946">
        <v>3950</v>
      </c>
      <c r="E348" s="2946">
        <v>4430</v>
      </c>
      <c r="F348" s="2946">
        <v>760</v>
      </c>
      <c r="G348" s="2946">
        <v>2360</v>
      </c>
      <c r="J348" s="2780"/>
    </row>
    <row r="349" spans="1:10">
      <c r="A349" s="2946" t="s">
        <v>307</v>
      </c>
      <c r="B349" s="2946" t="s">
        <v>2931</v>
      </c>
      <c r="C349" s="2946">
        <v>3820</v>
      </c>
      <c r="D349" s="2946">
        <v>3780</v>
      </c>
      <c r="E349" s="2946">
        <v>4170</v>
      </c>
      <c r="F349" s="2946">
        <v>710</v>
      </c>
      <c r="G349" s="2946">
        <v>2260</v>
      </c>
      <c r="J349" s="2780"/>
    </row>
    <row r="350" spans="1:10">
      <c r="A350" s="2946" t="s">
        <v>307</v>
      </c>
      <c r="B350" s="2946" t="s">
        <v>3155</v>
      </c>
      <c r="C350" s="2946">
        <v>3760</v>
      </c>
      <c r="D350" s="2946">
        <v>3730</v>
      </c>
      <c r="E350" s="2946">
        <v>4100</v>
      </c>
      <c r="F350" s="2946">
        <v>800</v>
      </c>
      <c r="G350" s="2946">
        <v>2230</v>
      </c>
      <c r="J350" s="2780"/>
    </row>
    <row r="351" spans="1:10">
      <c r="A351" s="2946" t="s">
        <v>307</v>
      </c>
      <c r="B351" s="2946" t="s">
        <v>2939</v>
      </c>
      <c r="C351" s="2946">
        <v>3610</v>
      </c>
      <c r="D351" s="2946">
        <v>3580</v>
      </c>
      <c r="E351" s="2946">
        <v>3930</v>
      </c>
      <c r="F351" s="2946">
        <v>700</v>
      </c>
      <c r="G351" s="2946">
        <v>2140</v>
      </c>
      <c r="J351" s="2780"/>
    </row>
    <row r="352" spans="1:10">
      <c r="A352" s="2946" t="s">
        <v>307</v>
      </c>
      <c r="B352" s="2946" t="s">
        <v>2944</v>
      </c>
      <c r="C352" s="2946">
        <v>3670</v>
      </c>
      <c r="D352" s="2946">
        <v>3630</v>
      </c>
      <c r="E352" s="2946">
        <v>4000</v>
      </c>
      <c r="F352" s="2946">
        <v>750</v>
      </c>
      <c r="G352" s="2946">
        <v>2180</v>
      </c>
    </row>
    <row r="353" spans="1:7" s="2781" customFormat="1">
      <c r="A353" s="2946" t="s">
        <v>307</v>
      </c>
      <c r="B353" s="2946" t="s">
        <v>3156</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2964</v>
      </c>
      <c r="C355" s="2946">
        <v>3650</v>
      </c>
      <c r="D355" s="2946">
        <v>3610</v>
      </c>
      <c r="E355" s="2946">
        <v>4200</v>
      </c>
      <c r="F355" s="2946">
        <v>640</v>
      </c>
      <c r="G355" s="2946">
        <v>2160</v>
      </c>
    </row>
    <row r="356" spans="1:7" s="2781" customFormat="1">
      <c r="A356" s="2946" t="s">
        <v>307</v>
      </c>
      <c r="B356" s="2946" t="s">
        <v>2971</v>
      </c>
      <c r="C356" s="2946">
        <v>3260</v>
      </c>
      <c r="D356" s="2946">
        <v>3230</v>
      </c>
      <c r="E356" s="2946">
        <v>3740</v>
      </c>
      <c r="F356" s="2946">
        <v>600</v>
      </c>
      <c r="G356" s="2946">
        <v>1930</v>
      </c>
    </row>
    <row r="357" spans="1:7" s="2781" customFormat="1" ht="12" thickBot="1">
      <c r="A357" s="2954" t="s">
        <v>307</v>
      </c>
      <c r="B357" s="2957" t="s">
        <v>3157</v>
      </c>
      <c r="C357" s="2957">
        <v>3690</v>
      </c>
      <c r="D357" s="2957">
        <v>3650</v>
      </c>
      <c r="E357" s="2957">
        <v>4020</v>
      </c>
      <c r="F357" s="2957">
        <v>700</v>
      </c>
      <c r="G357" s="2957">
        <v>2190</v>
      </c>
    </row>
    <row r="358" spans="1:7" s="2781" customFormat="1">
      <c r="A358" s="2951" t="s">
        <v>3158</v>
      </c>
      <c r="B358" s="2942" t="s">
        <v>3159</v>
      </c>
      <c r="C358" s="2942">
        <v>2080</v>
      </c>
      <c r="D358" s="2942">
        <v>2040</v>
      </c>
      <c r="E358" s="2942">
        <v>2010</v>
      </c>
      <c r="F358" s="2942">
        <v>530</v>
      </c>
      <c r="G358" s="2958">
        <v>1230</v>
      </c>
    </row>
    <row r="359" spans="1:7" s="2781" customFormat="1">
      <c r="A359" s="2946" t="s">
        <v>3158</v>
      </c>
      <c r="B359" s="2946" t="s">
        <v>3160</v>
      </c>
      <c r="C359" s="2946">
        <v>1850</v>
      </c>
      <c r="D359" s="2946">
        <v>1820</v>
      </c>
      <c r="E359" s="2946">
        <v>1780</v>
      </c>
      <c r="F359" s="2946">
        <v>520</v>
      </c>
      <c r="G359" s="2959">
        <v>1100</v>
      </c>
    </row>
    <row r="360" spans="1:7" s="2781" customFormat="1">
      <c r="A360" s="2946" t="s">
        <v>3158</v>
      </c>
      <c r="B360" s="2946" t="s">
        <v>3161</v>
      </c>
      <c r="C360" s="2946">
        <v>2020</v>
      </c>
      <c r="D360" s="2946">
        <v>1990</v>
      </c>
      <c r="E360" s="2946">
        <v>1950</v>
      </c>
      <c r="F360" s="2946">
        <v>500</v>
      </c>
      <c r="G360" s="2959">
        <v>1200</v>
      </c>
    </row>
    <row r="361" spans="1:7" s="2781" customFormat="1">
      <c r="A361" s="2946" t="s">
        <v>3158</v>
      </c>
      <c r="B361" s="2946" t="s">
        <v>153</v>
      </c>
      <c r="C361" s="2946">
        <v>2260</v>
      </c>
      <c r="D361" s="2946">
        <v>2220</v>
      </c>
      <c r="E361" s="2946">
        <v>2180</v>
      </c>
      <c r="F361" s="2946">
        <v>580</v>
      </c>
      <c r="G361" s="2959">
        <v>1340</v>
      </c>
    </row>
    <row r="362" spans="1:7" s="2781" customFormat="1">
      <c r="A362" s="2946" t="s">
        <v>3158</v>
      </c>
      <c r="B362" s="2946" t="s">
        <v>3162</v>
      </c>
      <c r="C362" s="2946">
        <v>2650</v>
      </c>
      <c r="D362" s="2946">
        <v>2610</v>
      </c>
      <c r="E362" s="2946">
        <v>2570</v>
      </c>
      <c r="F362" s="2946">
        <v>630</v>
      </c>
      <c r="G362" s="2959">
        <v>1570</v>
      </c>
    </row>
    <row r="363" spans="1:7" s="2781" customFormat="1">
      <c r="A363" s="2946" t="s">
        <v>3158</v>
      </c>
      <c r="B363" s="2946" t="s">
        <v>2883</v>
      </c>
      <c r="C363" s="2946">
        <v>2390</v>
      </c>
      <c r="D363" s="2946">
        <v>2360</v>
      </c>
      <c r="E363" s="2946">
        <v>2320</v>
      </c>
      <c r="F363" s="2946">
        <v>600</v>
      </c>
      <c r="G363" s="2959">
        <v>1420</v>
      </c>
    </row>
    <row r="364" spans="1:7" s="2781" customFormat="1">
      <c r="A364" s="2946" t="s">
        <v>3158</v>
      </c>
      <c r="B364" s="2946" t="s">
        <v>3163</v>
      </c>
      <c r="C364" s="2946">
        <v>2050</v>
      </c>
      <c r="D364" s="2946">
        <v>2030</v>
      </c>
      <c r="E364" s="2946">
        <v>1990</v>
      </c>
      <c r="F364" s="2946">
        <v>550</v>
      </c>
      <c r="G364" s="2959">
        <v>1220</v>
      </c>
    </row>
    <row r="365" spans="1:7" s="2781" customFormat="1">
      <c r="A365" s="2946" t="s">
        <v>3158</v>
      </c>
      <c r="B365" s="2946" t="s">
        <v>200</v>
      </c>
      <c r="C365" s="2946">
        <v>2140</v>
      </c>
      <c r="D365" s="2946">
        <v>2100</v>
      </c>
      <c r="E365" s="2946">
        <v>2060</v>
      </c>
      <c r="F365" s="2946">
        <v>540</v>
      </c>
      <c r="G365" s="2959">
        <v>1270</v>
      </c>
    </row>
    <row r="366" spans="1:7" s="2781" customFormat="1">
      <c r="A366" s="2946" t="s">
        <v>3158</v>
      </c>
      <c r="B366" s="2946" t="s">
        <v>2890</v>
      </c>
      <c r="C366" s="2946">
        <v>2410</v>
      </c>
      <c r="D366" s="2946">
        <v>2370</v>
      </c>
      <c r="E366" s="2946">
        <v>2330</v>
      </c>
      <c r="F366" s="2946">
        <v>570</v>
      </c>
      <c r="G366" s="2959">
        <v>1440</v>
      </c>
    </row>
    <row r="367" spans="1:7" s="2781" customFormat="1">
      <c r="A367" s="2946" t="s">
        <v>3158</v>
      </c>
      <c r="B367" s="2946" t="s">
        <v>3164</v>
      </c>
      <c r="C367" s="2946">
        <v>2300</v>
      </c>
      <c r="D367" s="2946">
        <v>2260</v>
      </c>
      <c r="E367" s="2946">
        <v>2220</v>
      </c>
      <c r="F367" s="2946">
        <v>560</v>
      </c>
      <c r="G367" s="2959">
        <v>1370</v>
      </c>
    </row>
    <row r="368" spans="1:7" s="2781" customFormat="1">
      <c r="A368" s="2946" t="s">
        <v>3158</v>
      </c>
      <c r="B368" s="2946" t="s">
        <v>3165</v>
      </c>
      <c r="C368" s="2946">
        <v>2430</v>
      </c>
      <c r="D368" s="2946">
        <v>2390</v>
      </c>
      <c r="E368" s="2946">
        <v>2350</v>
      </c>
      <c r="F368" s="2946">
        <v>570</v>
      </c>
      <c r="G368" s="2959">
        <v>1450</v>
      </c>
    </row>
    <row r="369" spans="1:7" s="2781" customFormat="1">
      <c r="A369" s="2946" t="s">
        <v>3158</v>
      </c>
      <c r="B369" s="2946" t="s">
        <v>214</v>
      </c>
      <c r="C369" s="2946">
        <v>2320</v>
      </c>
      <c r="D369" s="2946">
        <v>2290</v>
      </c>
      <c r="E369" s="2946">
        <v>2250</v>
      </c>
      <c r="F369" s="2946">
        <v>550</v>
      </c>
      <c r="G369" s="2959">
        <v>1380</v>
      </c>
    </row>
    <row r="370" spans="1:7" s="2781" customFormat="1">
      <c r="A370" s="2946" t="s">
        <v>3158</v>
      </c>
      <c r="B370" s="2946" t="s">
        <v>221</v>
      </c>
      <c r="C370" s="2946">
        <v>2190</v>
      </c>
      <c r="D370" s="2946">
        <v>2170</v>
      </c>
      <c r="E370" s="2946">
        <v>2130</v>
      </c>
      <c r="F370" s="2946">
        <v>530</v>
      </c>
      <c r="G370" s="2959">
        <v>1310</v>
      </c>
    </row>
    <row r="371" spans="1:7" s="2781" customFormat="1">
      <c r="A371" s="2946" t="s">
        <v>3158</v>
      </c>
      <c r="B371" s="2946" t="s">
        <v>229</v>
      </c>
      <c r="C371" s="2946">
        <v>2460</v>
      </c>
      <c r="D371" s="2946">
        <v>2420</v>
      </c>
      <c r="E371" s="2946">
        <v>2370</v>
      </c>
      <c r="F371" s="2946">
        <v>560</v>
      </c>
      <c r="G371" s="2959">
        <v>1470</v>
      </c>
    </row>
    <row r="372" spans="1:7" s="2781" customFormat="1">
      <c r="A372" s="2946" t="s">
        <v>3158</v>
      </c>
      <c r="B372" s="2946" t="s">
        <v>3166</v>
      </c>
      <c r="C372" s="2946">
        <v>2250</v>
      </c>
      <c r="D372" s="2946">
        <v>2210</v>
      </c>
      <c r="E372" s="2946">
        <v>2180</v>
      </c>
      <c r="F372" s="2946">
        <v>550</v>
      </c>
      <c r="G372" s="2959">
        <v>1340</v>
      </c>
    </row>
    <row r="373" spans="1:7" s="2781" customFormat="1">
      <c r="A373" s="2946" t="s">
        <v>3158</v>
      </c>
      <c r="B373" s="2946" t="s">
        <v>258</v>
      </c>
      <c r="C373" s="2946">
        <v>2210</v>
      </c>
      <c r="D373" s="2946">
        <v>2190</v>
      </c>
      <c r="E373" s="2946">
        <v>2150</v>
      </c>
      <c r="F373" s="2946">
        <v>530</v>
      </c>
      <c r="G373" s="2959">
        <v>1320</v>
      </c>
    </row>
    <row r="374" spans="1:7" s="2781" customFormat="1">
      <c r="A374" s="2946" t="s">
        <v>3158</v>
      </c>
      <c r="B374" s="2946" t="s">
        <v>266</v>
      </c>
      <c r="C374" s="2946">
        <v>2320</v>
      </c>
      <c r="D374" s="2946">
        <v>2280</v>
      </c>
      <c r="E374" s="2946">
        <v>2230</v>
      </c>
      <c r="F374" s="2946">
        <v>580</v>
      </c>
      <c r="G374" s="2959">
        <v>1380</v>
      </c>
    </row>
    <row r="375" spans="1:7" s="2781" customFormat="1">
      <c r="A375" s="2946" t="s">
        <v>3158</v>
      </c>
      <c r="B375" s="2946" t="s">
        <v>3167</v>
      </c>
      <c r="C375" s="2946">
        <v>2090</v>
      </c>
      <c r="D375" s="2946">
        <v>2050</v>
      </c>
      <c r="E375" s="2946">
        <v>2020</v>
      </c>
      <c r="F375" s="2946">
        <v>520</v>
      </c>
      <c r="G375" s="2959">
        <v>1240</v>
      </c>
    </row>
    <row r="376" spans="1:7" s="2781" customFormat="1">
      <c r="A376" s="2946" t="s">
        <v>3158</v>
      </c>
      <c r="B376" s="2946" t="s">
        <v>277</v>
      </c>
      <c r="C376" s="2946">
        <v>2010</v>
      </c>
      <c r="D376" s="2946">
        <v>1980</v>
      </c>
      <c r="E376" s="2946">
        <v>1940</v>
      </c>
      <c r="F376" s="2946">
        <v>540</v>
      </c>
      <c r="G376" s="2959">
        <v>1190</v>
      </c>
    </row>
    <row r="377" spans="1:7" s="2781" customFormat="1" ht="12" thickBot="1">
      <c r="A377" s="2954" t="s">
        <v>3158</v>
      </c>
      <c r="B377" s="2957" t="s">
        <v>2920</v>
      </c>
      <c r="C377" s="2957">
        <v>1930</v>
      </c>
      <c r="D377" s="2957">
        <v>1890</v>
      </c>
      <c r="E377" s="2957">
        <v>1860</v>
      </c>
      <c r="F377" s="2957">
        <v>530</v>
      </c>
      <c r="G377" s="2962">
        <v>1150</v>
      </c>
    </row>
    <row r="378" spans="1:7" s="2781" customFormat="1">
      <c r="A378" s="2963" t="s">
        <v>3168</v>
      </c>
      <c r="B378" s="2942" t="s">
        <v>3169</v>
      </c>
      <c r="C378" s="2942">
        <v>1520</v>
      </c>
      <c r="D378" s="2942">
        <v>1490</v>
      </c>
      <c r="E378" s="2942">
        <v>1460</v>
      </c>
      <c r="F378" s="2942">
        <v>460</v>
      </c>
      <c r="G378" s="2958">
        <v>940</v>
      </c>
    </row>
    <row r="379" spans="1:7" s="2781" customFormat="1">
      <c r="A379" s="2964" t="s">
        <v>3168</v>
      </c>
      <c r="B379" s="2946" t="s">
        <v>3170</v>
      </c>
      <c r="C379" s="2946">
        <v>1500</v>
      </c>
      <c r="D379" s="2946">
        <v>1470</v>
      </c>
      <c r="E379" s="2946">
        <v>1430</v>
      </c>
      <c r="F379" s="2946">
        <v>460</v>
      </c>
      <c r="G379" s="2959">
        <v>920</v>
      </c>
    </row>
    <row r="380" spans="1:7" s="2781" customFormat="1">
      <c r="A380" s="2964" t="s">
        <v>3168</v>
      </c>
      <c r="B380" s="2946" t="s">
        <v>3171</v>
      </c>
      <c r="C380" s="2946">
        <v>1620</v>
      </c>
      <c r="D380" s="2946">
        <v>1590</v>
      </c>
      <c r="E380" s="2946">
        <v>1560</v>
      </c>
      <c r="F380" s="2946">
        <v>480</v>
      </c>
      <c r="G380" s="2959">
        <v>1000</v>
      </c>
    </row>
    <row r="381" spans="1:7" s="2781" customFormat="1">
      <c r="A381" s="2964" t="s">
        <v>3168</v>
      </c>
      <c r="B381" s="2946" t="s">
        <v>3172</v>
      </c>
      <c r="C381" s="2946">
        <v>1460</v>
      </c>
      <c r="D381" s="2946">
        <v>1430</v>
      </c>
      <c r="E381" s="2946">
        <v>1390</v>
      </c>
      <c r="F381" s="2946">
        <v>450</v>
      </c>
      <c r="G381" s="2959">
        <v>900</v>
      </c>
    </row>
    <row r="382" spans="1:7" s="2781" customFormat="1">
      <c r="A382" s="2964" t="s">
        <v>3168</v>
      </c>
      <c r="B382" s="2946" t="s">
        <v>3173</v>
      </c>
      <c r="C382" s="2946">
        <v>1310</v>
      </c>
      <c r="D382" s="2946">
        <v>1280</v>
      </c>
      <c r="E382" s="2946">
        <v>1250</v>
      </c>
      <c r="F382" s="2946">
        <v>440</v>
      </c>
      <c r="G382" s="2959">
        <v>800</v>
      </c>
    </row>
    <row r="383" spans="1:7" s="2781" customFormat="1">
      <c r="A383" s="2964" t="s">
        <v>3168</v>
      </c>
      <c r="B383" s="2946" t="s">
        <v>3174</v>
      </c>
      <c r="C383" s="2946">
        <v>1260</v>
      </c>
      <c r="D383" s="2946">
        <v>1230</v>
      </c>
      <c r="E383" s="2946">
        <v>1200</v>
      </c>
      <c r="F383" s="2946">
        <v>420</v>
      </c>
      <c r="G383" s="2959">
        <v>770</v>
      </c>
    </row>
    <row r="384" spans="1:7" s="2781" customFormat="1" ht="12" thickBot="1">
      <c r="A384" s="2965" t="s">
        <v>3168</v>
      </c>
      <c r="B384" s="2953" t="s">
        <v>3175</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45776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3919.71</v>
      </c>
      <c r="C4" s="801">
        <f>项目基本情况!C18</f>
        <v>1942.76</v>
      </c>
      <c r="D4" s="801">
        <f>结果表!D118</f>
        <v>0</v>
      </c>
      <c r="E4" s="801">
        <f>结果表!E118</f>
        <v>0</v>
      </c>
      <c r="F4" s="801">
        <f>结果表!F118</f>
        <v>0</v>
      </c>
      <c r="G4" s="801">
        <f>结果表!G118</f>
        <v>0</v>
      </c>
      <c r="H4" s="801">
        <f ca="1">结果表!H118</f>
        <v>2430</v>
      </c>
      <c r="I4" s="801">
        <f ca="1">结果表!I118</f>
        <v>6199</v>
      </c>
    </row>
    <row r="5" spans="1:9" ht="30" customHeight="1">
      <c r="A5" s="3187" t="s">
        <v>927</v>
      </c>
      <c r="B5" s="3187"/>
      <c r="C5" s="3187"/>
      <c r="D5" s="3187" t="str">
        <f>结果表!D119</f>
        <v>零元整</v>
      </c>
      <c r="E5" s="3187"/>
      <c r="F5" s="3187" t="str">
        <f>结果表!F119</f>
        <v>零元整</v>
      </c>
      <c r="G5" s="3187"/>
      <c r="H5" s="3187" t="str">
        <f ca="1">结果表!H119</f>
        <v>贰仟肆佰叁拾万元整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2430</v>
      </c>
      <c r="E8" s="3188"/>
      <c r="F8" s="3188"/>
      <c r="G8" s="3188"/>
      <c r="H8" s="3188"/>
      <c r="I8" s="3188"/>
    </row>
    <row r="9" spans="1:9" ht="15">
      <c r="A9" s="3187" t="s">
        <v>927</v>
      </c>
      <c r="B9" s="3187"/>
      <c r="C9" s="3187"/>
      <c r="D9" s="3187" t="str">
        <f ca="1">结果表!D123</f>
        <v>贰仟肆佰叁拾万元整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45776</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2159</v>
      </c>
      <c r="B17" s="3211"/>
      <c r="C17" s="3211"/>
      <c r="D17" s="3211"/>
      <c r="E17" s="3211"/>
      <c r="F17" s="3211"/>
      <c r="G17" s="3211"/>
      <c r="H17" s="3211"/>
    </row>
    <row r="18" spans="1:8" ht="24" customHeight="1">
      <c r="A18" s="3212" t="s">
        <v>2160</v>
      </c>
      <c r="B18" s="3212"/>
      <c r="C18" s="3212"/>
      <c r="D18" s="2160"/>
      <c r="E18" s="3213" t="s">
        <v>2161</v>
      </c>
      <c r="F18" s="3212"/>
      <c r="G18" s="321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收益法 (元)</vt:lpstr>
      <vt:lpstr>比较法-办公</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2025-04-29T07:23:57Z</dcterms:modified>
</cp:coreProperties>
</file>